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hidePivotFieldList="1" defaultThemeVersion="124226"/>
  <bookViews>
    <workbookView xWindow="8955" yWindow="0" windowWidth="10410" windowHeight="10995" tabRatio="860" firstSheet="1" activeTab="2"/>
  </bookViews>
  <sheets>
    <sheet name="Faculty Salary Data" sheetId="4" r:id="rId1"/>
    <sheet name="Table 106" sheetId="19" r:id="rId2"/>
    <sheet name="Tables 107-126" sheetId="18" r:id="rId3"/>
    <sheet name="# Table" sheetId="21" r:id="rId4"/>
    <sheet name="Averages Pivot Table" sheetId="23" r:id="rId5"/>
    <sheet name="Format for avgs table" sheetId="25" r:id="rId6"/>
    <sheet name="Counts Pivot Table" sheetId="24" r:id="rId7"/>
  </sheets>
  <definedNames>
    <definedName name="APPHEAD">#REF!</definedName>
    <definedName name="CHHEAD">#REF!</definedName>
    <definedName name="PAGE_17">#REF!</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18">#REF!</definedName>
    <definedName name="PAGE19">#REF!</definedName>
    <definedName name="PAGE2">#REF!</definedName>
    <definedName name="PAGE20">#REF!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RT1">#REF!</definedName>
    <definedName name="PART2">#REF!</definedName>
    <definedName name="PART3">#REF!</definedName>
    <definedName name="PART4A">#REF!</definedName>
    <definedName name="PART4B">#REF!</definedName>
    <definedName name="PART5">#REF!</definedName>
    <definedName name="PART6A">#REF!</definedName>
    <definedName name="PART6B">#REF!</definedName>
    <definedName name="PART6C">#REF!</definedName>
    <definedName name="PART7B">#REF!</definedName>
    <definedName name="PART7C">#REF!</definedName>
    <definedName name="PART8">#REF!</definedName>
    <definedName name="_xlnm.Print_Area" localSheetId="3">'# Table'!$A$9:$S$127</definedName>
    <definedName name="_xlnm.Print_Area" localSheetId="4">'Averages Pivot Table'!$C$6:$S$341</definedName>
    <definedName name="_xlnm.Print_Area" localSheetId="6">'Counts Pivot Table'!$A$1</definedName>
    <definedName name="_xlnm.Print_Area" localSheetId="1">'Table 106'!$A$1:$H$28</definedName>
    <definedName name="_xlnm.Print_Area" localSheetId="2">'Tables 107-126'!$A$1:$O$600</definedName>
    <definedName name="_xlnm.Print_Area">#REF!</definedName>
    <definedName name="_xlnm.Print_Titles" localSheetId="3">'# Table'!$1:$8</definedName>
    <definedName name="_xlnm.Print_Titles" localSheetId="4">'Averages Pivot Table'!$A:$B,'Averages Pivot Table'!$4:$5</definedName>
    <definedName name="_xlnm.Print_Titles" localSheetId="6">'Counts Pivot Table'!$1:$5</definedName>
    <definedName name="RATIONALE">#REF!</definedName>
    <definedName name="RATIONALE2">#REF!</definedName>
    <definedName name="SALHEAD">#REF!</definedName>
  </definedNames>
  <calcPr calcId="125725"/>
  <pivotCaches>
    <pivotCache cacheId="24" r:id="rId8"/>
    <pivotCache cacheId="25" r:id="rId9"/>
  </pivotCaches>
</workbook>
</file>

<file path=xl/calcChain.xml><?xml version="1.0" encoding="utf-8"?>
<calcChain xmlns="http://schemas.openxmlformats.org/spreadsheetml/2006/main">
  <c r="AK556" i="4"/>
  <c r="AK557"/>
  <c r="AK555"/>
  <c r="AK559"/>
  <c r="AK563"/>
  <c r="AK565"/>
  <c r="AK566"/>
  <c r="AK567"/>
  <c r="AK568"/>
  <c r="AK570"/>
  <c r="AK571"/>
  <c r="AK572"/>
  <c r="AK573"/>
  <c r="AK574"/>
  <c r="AK576"/>
  <c r="AK577"/>
  <c r="AK578"/>
  <c r="AK581"/>
  <c r="AK582"/>
  <c r="AK583"/>
  <c r="AK585"/>
  <c r="AK586"/>
  <c r="AK587"/>
  <c r="AK589"/>
  <c r="AF226"/>
  <c r="AG226"/>
  <c r="AF222"/>
  <c r="AG222"/>
  <c r="AF217"/>
  <c r="AG217"/>
  <c r="AF213"/>
  <c r="AG213"/>
  <c r="AD222"/>
  <c r="AC213"/>
  <c r="AD213"/>
  <c r="BQ22"/>
  <c r="BR22" s="1"/>
  <c r="BX83"/>
  <c r="BU83"/>
  <c r="BR83"/>
  <c r="BO83"/>
  <c r="BL83"/>
  <c r="BI83"/>
  <c r="BF83"/>
  <c r="BC83"/>
  <c r="AZ83"/>
  <c r="AW83"/>
  <c r="AT83"/>
  <c r="AQ83"/>
  <c r="AN83"/>
  <c r="AK83"/>
  <c r="AH83"/>
  <c r="AE83"/>
  <c r="AB83"/>
  <c r="Y83"/>
  <c r="V83"/>
  <c r="S83"/>
  <c r="P83"/>
  <c r="M83"/>
  <c r="J83"/>
  <c r="G83"/>
  <c r="BX82"/>
  <c r="BU82"/>
  <c r="BR82"/>
  <c r="BO82"/>
  <c r="BL82"/>
  <c r="BI82"/>
  <c r="BF82"/>
  <c r="BC82"/>
  <c r="AZ82"/>
  <c r="AW82"/>
  <c r="AT82"/>
  <c r="AQ82"/>
  <c r="AN82"/>
  <c r="AK82"/>
  <c r="AH82"/>
  <c r="AE82"/>
  <c r="AB82"/>
  <c r="Y82"/>
  <c r="V82"/>
  <c r="S82"/>
  <c r="P82"/>
  <c r="M82"/>
  <c r="J82"/>
  <c r="G82"/>
  <c r="BX81"/>
  <c r="BU81"/>
  <c r="BR81"/>
  <c r="BO81"/>
  <c r="BL81"/>
  <c r="BI81"/>
  <c r="BF81"/>
  <c r="BC81"/>
  <c r="AZ81"/>
  <c r="AW81"/>
  <c r="AT81"/>
  <c r="AQ81"/>
  <c r="AN81"/>
  <c r="AK81"/>
  <c r="AH81"/>
  <c r="AE81"/>
  <c r="AB81"/>
  <c r="Y81"/>
  <c r="V81"/>
  <c r="S81"/>
  <c r="P81"/>
  <c r="M81"/>
  <c r="J81"/>
  <c r="G81"/>
  <c r="BX80"/>
  <c r="BU80"/>
  <c r="BR80"/>
  <c r="BO80"/>
  <c r="BL80"/>
  <c r="BI80"/>
  <c r="BF80"/>
  <c r="BC80"/>
  <c r="AZ80"/>
  <c r="AW80"/>
  <c r="AT80"/>
  <c r="AQ80"/>
  <c r="AN80"/>
  <c r="AK80"/>
  <c r="AH80"/>
  <c r="AE80"/>
  <c r="AB80"/>
  <c r="Y80"/>
  <c r="V80"/>
  <c r="S80"/>
  <c r="P80"/>
  <c r="M80"/>
  <c r="J80"/>
  <c r="G80"/>
  <c r="BX79"/>
  <c r="BU79"/>
  <c r="BR79"/>
  <c r="BO79"/>
  <c r="BL79"/>
  <c r="BI79"/>
  <c r="BF79"/>
  <c r="BC79"/>
  <c r="AZ79"/>
  <c r="AW79"/>
  <c r="AT79"/>
  <c r="AQ79"/>
  <c r="AN79"/>
  <c r="AK79"/>
  <c r="AH79"/>
  <c r="AE79"/>
  <c r="AB79"/>
  <c r="Y79"/>
  <c r="V79"/>
  <c r="S79"/>
  <c r="P79"/>
  <c r="M79"/>
  <c r="J79"/>
  <c r="G79"/>
  <c r="BX717"/>
  <c r="BX716"/>
  <c r="BX715"/>
  <c r="BX714"/>
  <c r="BX713"/>
  <c r="BX712"/>
  <c r="BX711"/>
  <c r="BX710"/>
  <c r="BX709"/>
  <c r="BX708"/>
  <c r="BX707"/>
  <c r="BX706"/>
  <c r="BX705"/>
  <c r="BX704"/>
  <c r="BX703"/>
  <c r="BX702"/>
  <c r="BX701"/>
  <c r="BX700"/>
  <c r="BX699"/>
  <c r="BX698"/>
  <c r="BX697"/>
  <c r="BX696"/>
  <c r="BX695"/>
  <c r="BX694"/>
  <c r="BX693"/>
  <c r="BX692"/>
  <c r="BX691"/>
  <c r="BX689"/>
  <c r="BX688"/>
  <c r="BX687"/>
  <c r="BX686"/>
  <c r="BX685"/>
  <c r="BX684"/>
  <c r="BX683"/>
  <c r="BX690"/>
  <c r="BX682"/>
  <c r="BX681"/>
  <c r="BX680"/>
  <c r="BX679"/>
  <c r="BX678"/>
  <c r="BX677"/>
  <c r="BX676"/>
  <c r="BX675"/>
  <c r="BX674"/>
  <c r="BX673"/>
  <c r="BX672"/>
  <c r="BX671"/>
  <c r="BX670"/>
  <c r="BX669"/>
  <c r="BX668"/>
  <c r="BX667"/>
  <c r="BX666"/>
  <c r="BX665"/>
  <c r="BX664"/>
  <c r="BX663"/>
  <c r="BX662"/>
  <c r="BX658"/>
  <c r="BX661"/>
  <c r="BX660"/>
  <c r="BX659"/>
  <c r="BX657"/>
  <c r="BX656"/>
  <c r="BX655"/>
  <c r="BX654"/>
  <c r="BX653"/>
  <c r="BX652"/>
  <c r="BX651"/>
  <c r="BX650"/>
  <c r="BX649"/>
  <c r="BX648"/>
  <c r="BX647"/>
  <c r="BX646"/>
  <c r="BX645"/>
  <c r="BX644"/>
  <c r="BX643"/>
  <c r="BX642"/>
  <c r="BX641"/>
  <c r="BX640"/>
  <c r="BX639"/>
  <c r="BX638"/>
  <c r="BX637"/>
  <c r="BX636"/>
  <c r="BX635"/>
  <c r="BX634"/>
  <c r="BX633"/>
  <c r="BX632"/>
  <c r="BX631"/>
  <c r="BX630"/>
  <c r="BX629"/>
  <c r="BX628"/>
  <c r="BX627"/>
  <c r="BX626"/>
  <c r="BX625"/>
  <c r="BX624"/>
  <c r="BX623"/>
  <c r="BX622"/>
  <c r="BX621"/>
  <c r="BX620"/>
  <c r="BX619"/>
  <c r="BX618"/>
  <c r="BX617"/>
  <c r="BX616"/>
  <c r="BX615"/>
  <c r="BX614"/>
  <c r="BX613"/>
  <c r="BX612"/>
  <c r="BX611"/>
  <c r="BX610"/>
  <c r="BX609"/>
  <c r="BX608"/>
  <c r="BX607"/>
  <c r="BX606"/>
  <c r="BX605"/>
  <c r="BX604"/>
  <c r="BX603"/>
  <c r="BX602"/>
  <c r="BX601"/>
  <c r="BX600"/>
  <c r="BX599"/>
  <c r="BX598"/>
  <c r="BX597"/>
  <c r="BX596"/>
  <c r="BX595"/>
  <c r="BX594"/>
  <c r="BX593"/>
  <c r="BX592"/>
  <c r="BX591"/>
  <c r="BX590"/>
  <c r="BX589"/>
  <c r="BX588"/>
  <c r="BX587"/>
  <c r="BX586"/>
  <c r="BX585"/>
  <c r="BX584"/>
  <c r="BX583"/>
  <c r="BX582"/>
  <c r="BX581"/>
  <c r="BX580"/>
  <c r="BX579"/>
  <c r="BX578"/>
  <c r="BX563"/>
  <c r="BX577"/>
  <c r="BX576"/>
  <c r="BX575"/>
  <c r="BX574"/>
  <c r="BX573"/>
  <c r="BX572"/>
  <c r="BX571"/>
  <c r="BX570"/>
  <c r="BX569"/>
  <c r="BX568"/>
  <c r="BX567"/>
  <c r="BX566"/>
  <c r="BX565"/>
  <c r="BX564"/>
  <c r="BX559"/>
  <c r="BX562"/>
  <c r="BX561"/>
  <c r="BX560"/>
  <c r="BX558"/>
  <c r="BX557"/>
  <c r="BX556"/>
  <c r="BX555"/>
  <c r="BX554"/>
  <c r="BX553"/>
  <c r="BX552"/>
  <c r="BX551"/>
  <c r="BX550"/>
  <c r="BX549"/>
  <c r="BX548"/>
  <c r="BX547"/>
  <c r="BX546"/>
  <c r="BX545"/>
  <c r="BX544"/>
  <c r="BX543"/>
  <c r="BX542"/>
  <c r="BX541"/>
  <c r="BX540"/>
  <c r="BX539"/>
  <c r="BX538"/>
  <c r="BX537"/>
  <c r="BX536"/>
  <c r="BX535"/>
  <c r="BX534"/>
  <c r="BX533"/>
  <c r="BX532"/>
  <c r="BX531"/>
  <c r="BX530"/>
  <c r="BX529"/>
  <c r="BX528"/>
  <c r="BX527"/>
  <c r="BX526"/>
  <c r="BX525"/>
  <c r="BX524"/>
  <c r="BX523"/>
  <c r="BX522"/>
  <c r="BX521"/>
  <c r="BX520"/>
  <c r="BX519"/>
  <c r="BX518"/>
  <c r="BX517"/>
  <c r="BX516"/>
  <c r="BX515"/>
  <c r="BX514"/>
  <c r="BX513"/>
  <c r="BX512"/>
  <c r="BX511"/>
  <c r="BX510"/>
  <c r="BX509"/>
  <c r="BX508"/>
  <c r="BX507"/>
  <c r="BX506"/>
  <c r="BX505"/>
  <c r="BX504"/>
  <c r="BX503"/>
  <c r="BX502"/>
  <c r="BX501"/>
  <c r="BX500"/>
  <c r="BX499"/>
  <c r="BX498"/>
  <c r="BX497"/>
  <c r="BX496"/>
  <c r="BX495"/>
  <c r="BX494"/>
  <c r="BX493"/>
  <c r="BX492"/>
  <c r="BX491"/>
  <c r="BX490"/>
  <c r="BX489"/>
  <c r="BX488"/>
  <c r="BX487"/>
  <c r="BX486"/>
  <c r="BX485"/>
  <c r="BX484"/>
  <c r="BX483"/>
  <c r="BX482"/>
  <c r="BX481"/>
  <c r="BX480"/>
  <c r="BX479"/>
  <c r="BX478"/>
  <c r="BX477"/>
  <c r="BX476"/>
  <c r="BX475"/>
  <c r="BX474"/>
  <c r="BX473"/>
  <c r="BX472"/>
  <c r="BX471"/>
  <c r="BX470"/>
  <c r="BX469"/>
  <c r="BX468"/>
  <c r="BX467"/>
  <c r="BX466"/>
  <c r="BX465"/>
  <c r="BX464"/>
  <c r="BX463"/>
  <c r="BX462"/>
  <c r="BX461"/>
  <c r="BX460"/>
  <c r="BX459"/>
  <c r="BX458"/>
  <c r="BX457"/>
  <c r="BX456"/>
  <c r="BX455"/>
  <c r="BX454"/>
  <c r="BX453"/>
  <c r="BX452"/>
  <c r="BX451"/>
  <c r="BX450"/>
  <c r="BX449"/>
  <c r="BX448"/>
  <c r="BX447"/>
  <c r="BX446"/>
  <c r="BX445"/>
  <c r="BX444"/>
  <c r="BX443"/>
  <c r="BX442"/>
  <c r="BX441"/>
  <c r="BX440"/>
  <c r="BX439"/>
  <c r="BX438"/>
  <c r="BX437"/>
  <c r="BX436"/>
  <c r="BX435"/>
  <c r="BX434"/>
  <c r="BX433"/>
  <c r="BX432"/>
  <c r="BX431"/>
  <c r="BX430"/>
  <c r="BX429"/>
  <c r="BX428"/>
  <c r="BX427"/>
  <c r="BX426"/>
  <c r="BX425"/>
  <c r="BX424"/>
  <c r="BX423"/>
  <c r="BX422"/>
  <c r="BX421"/>
  <c r="BX420"/>
  <c r="BX419"/>
  <c r="BX418"/>
  <c r="BX414"/>
  <c r="BX417"/>
  <c r="BX416"/>
  <c r="BX415"/>
  <c r="BX413"/>
  <c r="BX412"/>
  <c r="BX411"/>
  <c r="BX410"/>
  <c r="BX409"/>
  <c r="BX408"/>
  <c r="BX407"/>
  <c r="BX406"/>
  <c r="BX405"/>
  <c r="BX404"/>
  <c r="BX403"/>
  <c r="BX402"/>
  <c r="BX401"/>
  <c r="BX400"/>
  <c r="BX399"/>
  <c r="BX398"/>
  <c r="BX397"/>
  <c r="BX396"/>
  <c r="BX395"/>
  <c r="BX369"/>
  <c r="BX394"/>
  <c r="BX393"/>
  <c r="BX392"/>
  <c r="BX391"/>
  <c r="BX390"/>
  <c r="BX389"/>
  <c r="BX387"/>
  <c r="BX386"/>
  <c r="BX385"/>
  <c r="BX384"/>
  <c r="BX383"/>
  <c r="BX382"/>
  <c r="BX381"/>
  <c r="BX380"/>
  <c r="BX379"/>
  <c r="BX378"/>
  <c r="BX377"/>
  <c r="BX376"/>
  <c r="BX375"/>
  <c r="BX374"/>
  <c r="BX373"/>
  <c r="BX372"/>
  <c r="BX371"/>
  <c r="BX370"/>
  <c r="BX368"/>
  <c r="BX367"/>
  <c r="BX366"/>
  <c r="BX365"/>
  <c r="BX364"/>
  <c r="BX363"/>
  <c r="BX362"/>
  <c r="BX361"/>
  <c r="BX360"/>
  <c r="BX359"/>
  <c r="BX358"/>
  <c r="BX357"/>
  <c r="BX356"/>
  <c r="BX388"/>
  <c r="BX355"/>
  <c r="BX354"/>
  <c r="BX353"/>
  <c r="BX352"/>
  <c r="BX351"/>
  <c r="BX350"/>
  <c r="BX349"/>
  <c r="BX348"/>
  <c r="BX347"/>
  <c r="BX346"/>
  <c r="BX345"/>
  <c r="BX344"/>
  <c r="BX343"/>
  <c r="BX342"/>
  <c r="BX341"/>
  <c r="BX340"/>
  <c r="BX339"/>
  <c r="BX338"/>
  <c r="BX337"/>
  <c r="BX336"/>
  <c r="BX335"/>
  <c r="BX334"/>
  <c r="BX333"/>
  <c r="BX332"/>
  <c r="BX331"/>
  <c r="BX330"/>
  <c r="BX329"/>
  <c r="BX328"/>
  <c r="BW327"/>
  <c r="BX327"/>
  <c r="BW326"/>
  <c r="BX326"/>
  <c r="BW325"/>
  <c r="BX325"/>
  <c r="BW324"/>
  <c r="BX324"/>
  <c r="BW323"/>
  <c r="BX323"/>
  <c r="BW322"/>
  <c r="BX322"/>
  <c r="BW321"/>
  <c r="BX321"/>
  <c r="BW320"/>
  <c r="BX320"/>
  <c r="BW319"/>
  <c r="BX319"/>
  <c r="BW318"/>
  <c r="BX318"/>
  <c r="BW317"/>
  <c r="BX317"/>
  <c r="BX316"/>
  <c r="BW315"/>
  <c r="BX315" s="1"/>
  <c r="BW314"/>
  <c r="BX314" s="1"/>
  <c r="BW313"/>
  <c r="BX313" s="1"/>
  <c r="BX312"/>
  <c r="BX311"/>
  <c r="BX310"/>
  <c r="BX309"/>
  <c r="BX308"/>
  <c r="BX307"/>
  <c r="BX306"/>
  <c r="BX305"/>
  <c r="BX304"/>
  <c r="BX303"/>
  <c r="BX302"/>
  <c r="BX301"/>
  <c r="BX300"/>
  <c r="BX299"/>
  <c r="BX298"/>
  <c r="BX297"/>
  <c r="BX296"/>
  <c r="BX295"/>
  <c r="BX294"/>
  <c r="BX293"/>
  <c r="BX292"/>
  <c r="BX291"/>
  <c r="BX290"/>
  <c r="BX289"/>
  <c r="BX288"/>
  <c r="BX287"/>
  <c r="BX286"/>
  <c r="BX285"/>
  <c r="BX280"/>
  <c r="BX284"/>
  <c r="BX283"/>
  <c r="BX282"/>
  <c r="BX281"/>
  <c r="BX279"/>
  <c r="BX278"/>
  <c r="BX277"/>
  <c r="BX276"/>
  <c r="BX275"/>
  <c r="BX274"/>
  <c r="BX273"/>
  <c r="BX272"/>
  <c r="BX271"/>
  <c r="BX270"/>
  <c r="BX269"/>
  <c r="BX268"/>
  <c r="BX267"/>
  <c r="BX266"/>
  <c r="BX265"/>
  <c r="BX264"/>
  <c r="BX263"/>
  <c r="BX262"/>
  <c r="BX261"/>
  <c r="BX260"/>
  <c r="BX259"/>
  <c r="BX258"/>
  <c r="BX257"/>
  <c r="BX256"/>
  <c r="BX255"/>
  <c r="BX254"/>
  <c r="BX253"/>
  <c r="BX252"/>
  <c r="BX251"/>
  <c r="BX250"/>
  <c r="BX249"/>
  <c r="BX248"/>
  <c r="BX247"/>
  <c r="BX246"/>
  <c r="BX245"/>
  <c r="BX244"/>
  <c r="BX243"/>
  <c r="BX242"/>
  <c r="BX239"/>
  <c r="BX238"/>
  <c r="BX237"/>
  <c r="BX236"/>
  <c r="BX235"/>
  <c r="BX234"/>
  <c r="BX233"/>
  <c r="BX232"/>
  <c r="BX231"/>
  <c r="BX230"/>
  <c r="BX229"/>
  <c r="BX228"/>
  <c r="BX227"/>
  <c r="BX226"/>
  <c r="BX225"/>
  <c r="BX224"/>
  <c r="BX223"/>
  <c r="BX222"/>
  <c r="BX221"/>
  <c r="BX220"/>
  <c r="BX219"/>
  <c r="BX218"/>
  <c r="BX217"/>
  <c r="BX216"/>
  <c r="BX215"/>
  <c r="BX214"/>
  <c r="BX213"/>
  <c r="BX212"/>
  <c r="BX211"/>
  <c r="BX210"/>
  <c r="BX209"/>
  <c r="BX208"/>
  <c r="BX207"/>
  <c r="BX206"/>
  <c r="BX205"/>
  <c r="BX204"/>
  <c r="BX203"/>
  <c r="BX202"/>
  <c r="BX201"/>
  <c r="BX200"/>
  <c r="BX199"/>
  <c r="BX198"/>
  <c r="BX197"/>
  <c r="BX196"/>
  <c r="BX195"/>
  <c r="BX194"/>
  <c r="BX193"/>
  <c r="BX192"/>
  <c r="BX191"/>
  <c r="BX190"/>
  <c r="BX189"/>
  <c r="BX188"/>
  <c r="BX187"/>
  <c r="BX186"/>
  <c r="BX185"/>
  <c r="BX184"/>
  <c r="BX183"/>
  <c r="BX182"/>
  <c r="BX181"/>
  <c r="BX180"/>
  <c r="BX179"/>
  <c r="BX178"/>
  <c r="BX177"/>
  <c r="BX176"/>
  <c r="BX175"/>
  <c r="BX174"/>
  <c r="BX173"/>
  <c r="BX172"/>
  <c r="BX171"/>
  <c r="BX170"/>
  <c r="BX169"/>
  <c r="BX168"/>
  <c r="BX167"/>
  <c r="BX166"/>
  <c r="BX165"/>
  <c r="BX164"/>
  <c r="BX163"/>
  <c r="BX162"/>
  <c r="BX161"/>
  <c r="BX160"/>
  <c r="BX159"/>
  <c r="BX158"/>
  <c r="BX157"/>
  <c r="BX156"/>
  <c r="BX155"/>
  <c r="BX154"/>
  <c r="BX153"/>
  <c r="BX152"/>
  <c r="BX144"/>
  <c r="BX151"/>
  <c r="BX150"/>
  <c r="BX149"/>
  <c r="BX148"/>
  <c r="BX147"/>
  <c r="BX146"/>
  <c r="BX145"/>
  <c r="BX143"/>
  <c r="BX142"/>
  <c r="BX141"/>
  <c r="BX140"/>
  <c r="BX139"/>
  <c r="BX138"/>
  <c r="BX137"/>
  <c r="BX136"/>
  <c r="BX135"/>
  <c r="BX134"/>
  <c r="BX133"/>
  <c r="BX132"/>
  <c r="BX131"/>
  <c r="BX130"/>
  <c r="BX129"/>
  <c r="BX128"/>
  <c r="BX127"/>
  <c r="BX126"/>
  <c r="BX125"/>
  <c r="BX124"/>
  <c r="BX123"/>
  <c r="BX122"/>
  <c r="BX121"/>
  <c r="BX120"/>
  <c r="BX119"/>
  <c r="BX118"/>
  <c r="BX108"/>
  <c r="BX97"/>
  <c r="BX117"/>
  <c r="BX116"/>
  <c r="BX115"/>
  <c r="BX114"/>
  <c r="BX113"/>
  <c r="BX112"/>
  <c r="BX111"/>
  <c r="BX110"/>
  <c r="BX109"/>
  <c r="BX107"/>
  <c r="BX106"/>
  <c r="BX105"/>
  <c r="BX104"/>
  <c r="BX103"/>
  <c r="BX102"/>
  <c r="BX101"/>
  <c r="BX100"/>
  <c r="BX99"/>
  <c r="BX98"/>
  <c r="BX96"/>
  <c r="BX95"/>
  <c r="BX94"/>
  <c r="BX93"/>
  <c r="BX92"/>
  <c r="BX91"/>
  <c r="BX90"/>
  <c r="BX89"/>
  <c r="BX88"/>
  <c r="BX87"/>
  <c r="BX86"/>
  <c r="BX85"/>
  <c r="BX84"/>
  <c r="BX78"/>
  <c r="BX77"/>
  <c r="BX76"/>
  <c r="BX75"/>
  <c r="BX74"/>
  <c r="BX73"/>
  <c r="BX72"/>
  <c r="BX71"/>
  <c r="BX70"/>
  <c r="BX69"/>
  <c r="BX68"/>
  <c r="BX67"/>
  <c r="BX66"/>
  <c r="BX65"/>
  <c r="BX64"/>
  <c r="BX63"/>
  <c r="BX62"/>
  <c r="BX61"/>
  <c r="BX60"/>
  <c r="BX59"/>
  <c r="BX58"/>
  <c r="BX57"/>
  <c r="BX55"/>
  <c r="BX56"/>
  <c r="BX54"/>
  <c r="BX53"/>
  <c r="BX52"/>
  <c r="BX51"/>
  <c r="BX50"/>
  <c r="BX49"/>
  <c r="BX48"/>
  <c r="BX47"/>
  <c r="BX46"/>
  <c r="BX45"/>
  <c r="BX44"/>
  <c r="BX43"/>
  <c r="BX42"/>
  <c r="BX41"/>
  <c r="BX40"/>
  <c r="BX39"/>
  <c r="BX38"/>
  <c r="BX37"/>
  <c r="BX36"/>
  <c r="BX35"/>
  <c r="BX34"/>
  <c r="BX33"/>
  <c r="BX32"/>
  <c r="BX31"/>
  <c r="BX30"/>
  <c r="BX29"/>
  <c r="BX28"/>
  <c r="BX27"/>
  <c r="BX26"/>
  <c r="BX25"/>
  <c r="BX24"/>
  <c r="BX23"/>
  <c r="BX22"/>
  <c r="BX21"/>
  <c r="BX20"/>
  <c r="BX19"/>
  <c r="BX18"/>
  <c r="BX17"/>
  <c r="BX16"/>
  <c r="BX15"/>
  <c r="BX14"/>
  <c r="BX13"/>
  <c r="BX12"/>
  <c r="BX11"/>
  <c r="BX10"/>
  <c r="BX9"/>
  <c r="BU717"/>
  <c r="BU716"/>
  <c r="BU715"/>
  <c r="BU714"/>
  <c r="BU713"/>
  <c r="BU712"/>
  <c r="BU711"/>
  <c r="BU710"/>
  <c r="BU709"/>
  <c r="BU708"/>
  <c r="BU707"/>
  <c r="BU706"/>
  <c r="BU705"/>
  <c r="BU704"/>
  <c r="BU703"/>
  <c r="BU702"/>
  <c r="BU701"/>
  <c r="BU700"/>
  <c r="BU699"/>
  <c r="BU698"/>
  <c r="BU697"/>
  <c r="BU696"/>
  <c r="BU695"/>
  <c r="BU694"/>
  <c r="BU693"/>
  <c r="BU692"/>
  <c r="BU691"/>
  <c r="BU689"/>
  <c r="BU688"/>
  <c r="BU687"/>
  <c r="BU686"/>
  <c r="BU685"/>
  <c r="BU684"/>
  <c r="BU683"/>
  <c r="BU690"/>
  <c r="BU682"/>
  <c r="BU681"/>
  <c r="BU680"/>
  <c r="BU679"/>
  <c r="BU678"/>
  <c r="BU677"/>
  <c r="BU676"/>
  <c r="BU675"/>
  <c r="BU674"/>
  <c r="BU673"/>
  <c r="BU672"/>
  <c r="BU671"/>
  <c r="BU670"/>
  <c r="BU669"/>
  <c r="BU668"/>
  <c r="BU667"/>
  <c r="BU666"/>
  <c r="BU665"/>
  <c r="BU664"/>
  <c r="BU663"/>
  <c r="BU662"/>
  <c r="BU658"/>
  <c r="BU661"/>
  <c r="BU660"/>
  <c r="BU659"/>
  <c r="BU657"/>
  <c r="BU656"/>
  <c r="BU655"/>
  <c r="BU654"/>
  <c r="BU653"/>
  <c r="BU652"/>
  <c r="BU651"/>
  <c r="BU650"/>
  <c r="BU649"/>
  <c r="BU648"/>
  <c r="BU647"/>
  <c r="BU646"/>
  <c r="BU645"/>
  <c r="BU644"/>
  <c r="BU643"/>
  <c r="BU642"/>
  <c r="BU641"/>
  <c r="BU640"/>
  <c r="BU639"/>
  <c r="BU638"/>
  <c r="BU637"/>
  <c r="BU636"/>
  <c r="BU635"/>
  <c r="BU634"/>
  <c r="BU633"/>
  <c r="BU632"/>
  <c r="BU631"/>
  <c r="BU630"/>
  <c r="BU629"/>
  <c r="BU628"/>
  <c r="BU627"/>
  <c r="BU626"/>
  <c r="BU625"/>
  <c r="BU624"/>
  <c r="BU623"/>
  <c r="BU622"/>
  <c r="BU621"/>
  <c r="BU620"/>
  <c r="BU619"/>
  <c r="BU618"/>
  <c r="BU617"/>
  <c r="BU616"/>
  <c r="BU615"/>
  <c r="BU614"/>
  <c r="BU613"/>
  <c r="BU612"/>
  <c r="BU611"/>
  <c r="BU610"/>
  <c r="BU609"/>
  <c r="BU608"/>
  <c r="BU607"/>
  <c r="BU606"/>
  <c r="BU605"/>
  <c r="BU604"/>
  <c r="BU603"/>
  <c r="BU602"/>
  <c r="BU601"/>
  <c r="BU600"/>
  <c r="BU599"/>
  <c r="BU598"/>
  <c r="BU597"/>
  <c r="BU596"/>
  <c r="BU595"/>
  <c r="BU594"/>
  <c r="BU593"/>
  <c r="BU592"/>
  <c r="BU591"/>
  <c r="BU590"/>
  <c r="BU589"/>
  <c r="BU588"/>
  <c r="BU587"/>
  <c r="BU586"/>
  <c r="BU585"/>
  <c r="BU582"/>
  <c r="BU581"/>
  <c r="BU579"/>
  <c r="BU578"/>
  <c r="BU563"/>
  <c r="BU577"/>
  <c r="BU576"/>
  <c r="BU575"/>
  <c r="BU574"/>
  <c r="BU573"/>
  <c r="BU572"/>
  <c r="BU571"/>
  <c r="BU570"/>
  <c r="BU568"/>
  <c r="BU567"/>
  <c r="BU566"/>
  <c r="BU565"/>
  <c r="BU559"/>
  <c r="BU562"/>
  <c r="BU560"/>
  <c r="BU558"/>
  <c r="BU557"/>
  <c r="BU556"/>
  <c r="BU555"/>
  <c r="BU554"/>
  <c r="BU553"/>
  <c r="BU552"/>
  <c r="BU551"/>
  <c r="BU550"/>
  <c r="BU549"/>
  <c r="BU548"/>
  <c r="BU547"/>
  <c r="BU546"/>
  <c r="BU545"/>
  <c r="BU544"/>
  <c r="BU543"/>
  <c r="BU542"/>
  <c r="BU541"/>
  <c r="BU540"/>
  <c r="BU539"/>
  <c r="BU538"/>
  <c r="BU537"/>
  <c r="BU536"/>
  <c r="BU535"/>
  <c r="BU534"/>
  <c r="BU533"/>
  <c r="BU532"/>
  <c r="BU531"/>
  <c r="BU530"/>
  <c r="BU529"/>
  <c r="BU528"/>
  <c r="BU527"/>
  <c r="BU526"/>
  <c r="BU525"/>
  <c r="BU524"/>
  <c r="BU523"/>
  <c r="BU522"/>
  <c r="BU521"/>
  <c r="BU520"/>
  <c r="BU519"/>
  <c r="BU518"/>
  <c r="BU517"/>
  <c r="BU516"/>
  <c r="BU515"/>
  <c r="BU514"/>
  <c r="BU513"/>
  <c r="BU512"/>
  <c r="BU511"/>
  <c r="BU510"/>
  <c r="BU509"/>
  <c r="BU508"/>
  <c r="BU507"/>
  <c r="BU506"/>
  <c r="BU505"/>
  <c r="BU504"/>
  <c r="BU503"/>
  <c r="BU502"/>
  <c r="BU501"/>
  <c r="BU500"/>
  <c r="BU499"/>
  <c r="BU498"/>
  <c r="BU497"/>
  <c r="BU496"/>
  <c r="BU495"/>
  <c r="BU494"/>
  <c r="BU493"/>
  <c r="BU492"/>
  <c r="BU491"/>
  <c r="BU490"/>
  <c r="BU489"/>
  <c r="BU488"/>
  <c r="BU487"/>
  <c r="BU486"/>
  <c r="BU485"/>
  <c r="BU484"/>
  <c r="BU483"/>
  <c r="BU482"/>
  <c r="BU481"/>
  <c r="BU480"/>
  <c r="BU479"/>
  <c r="BU478"/>
  <c r="BU477"/>
  <c r="BU476"/>
  <c r="BU475"/>
  <c r="BU474"/>
  <c r="BU473"/>
  <c r="BU472"/>
  <c r="BU471"/>
  <c r="BU470"/>
  <c r="BU469"/>
  <c r="BU468"/>
  <c r="BU467"/>
  <c r="BU466"/>
  <c r="BU465"/>
  <c r="BU464"/>
  <c r="BU463"/>
  <c r="BU462"/>
  <c r="BU461"/>
  <c r="BU460"/>
  <c r="BU459"/>
  <c r="BU458"/>
  <c r="BU457"/>
  <c r="BU456"/>
  <c r="BU455"/>
  <c r="BU454"/>
  <c r="BU453"/>
  <c r="BU452"/>
  <c r="BU451"/>
  <c r="BU450"/>
  <c r="BU449"/>
  <c r="BU448"/>
  <c r="BU447"/>
  <c r="BU446"/>
  <c r="BU445"/>
  <c r="BU444"/>
  <c r="BU443"/>
  <c r="BU442"/>
  <c r="BU441"/>
  <c r="BU440"/>
  <c r="BU439"/>
  <c r="BU438"/>
  <c r="BU437"/>
  <c r="BU436"/>
  <c r="BU435"/>
  <c r="BU434"/>
  <c r="BU433"/>
  <c r="BU432"/>
  <c r="BU431"/>
  <c r="BU430"/>
  <c r="BU429"/>
  <c r="BU428"/>
  <c r="BU427"/>
  <c r="BU426"/>
  <c r="BU425"/>
  <c r="BU424"/>
  <c r="BU423"/>
  <c r="BU422"/>
  <c r="BU421"/>
  <c r="BU420"/>
  <c r="BU419"/>
  <c r="BU418"/>
  <c r="BU414"/>
  <c r="BU417"/>
  <c r="BU416"/>
  <c r="BU415"/>
  <c r="BU413"/>
  <c r="BU412"/>
  <c r="BU411"/>
  <c r="BU410"/>
  <c r="BU409"/>
  <c r="BU408"/>
  <c r="BU407"/>
  <c r="BU406"/>
  <c r="BU405"/>
  <c r="BU404"/>
  <c r="BU403"/>
  <c r="BU402"/>
  <c r="BU401"/>
  <c r="BU400"/>
  <c r="BU399"/>
  <c r="BU398"/>
  <c r="BU397"/>
  <c r="BU396"/>
  <c r="BU395"/>
  <c r="BU369"/>
  <c r="BU394"/>
  <c r="BU393"/>
  <c r="BU392"/>
  <c r="BU391"/>
  <c r="BU390"/>
  <c r="BU389"/>
  <c r="BU387"/>
  <c r="BU386"/>
  <c r="BU385"/>
  <c r="BU384"/>
  <c r="BU383"/>
  <c r="BU382"/>
  <c r="BU381"/>
  <c r="BU380"/>
  <c r="BU379"/>
  <c r="BU378"/>
  <c r="BU377"/>
  <c r="BU376"/>
  <c r="BU375"/>
  <c r="BU374"/>
  <c r="BU373"/>
  <c r="BU372"/>
  <c r="BU371"/>
  <c r="BU370"/>
  <c r="BU368"/>
  <c r="BU367"/>
  <c r="BU366"/>
  <c r="BU365"/>
  <c r="BU364"/>
  <c r="BU363"/>
  <c r="BU362"/>
  <c r="BU361"/>
  <c r="BU360"/>
  <c r="BU359"/>
  <c r="BU358"/>
  <c r="BU357"/>
  <c r="BU356"/>
  <c r="BU388"/>
  <c r="BU355"/>
  <c r="BU354"/>
  <c r="BU353"/>
  <c r="BU352"/>
  <c r="BU351"/>
  <c r="BU350"/>
  <c r="BU349"/>
  <c r="BU348"/>
  <c r="BU347"/>
  <c r="BU346"/>
  <c r="BU345"/>
  <c r="BU344"/>
  <c r="BU343"/>
  <c r="BU342"/>
  <c r="BU341"/>
  <c r="BU340"/>
  <c r="BU339"/>
  <c r="BU338"/>
  <c r="BU337"/>
  <c r="BU336"/>
  <c r="BU335"/>
  <c r="BU334"/>
  <c r="BU333"/>
  <c r="BU332"/>
  <c r="BU331"/>
  <c r="BU330"/>
  <c r="BU329"/>
  <c r="BU328"/>
  <c r="BU327"/>
  <c r="BU326"/>
  <c r="BU325"/>
  <c r="BU324"/>
  <c r="BU323"/>
  <c r="BU322"/>
  <c r="BU321"/>
  <c r="BU320"/>
  <c r="BU319"/>
  <c r="BU318"/>
  <c r="BU317"/>
  <c r="BU316"/>
  <c r="BU315"/>
  <c r="BU314"/>
  <c r="BU313"/>
  <c r="BU312"/>
  <c r="BU311"/>
  <c r="BU310"/>
  <c r="BU309"/>
  <c r="BU308"/>
  <c r="BU307"/>
  <c r="BU306"/>
  <c r="BU305"/>
  <c r="BU304"/>
  <c r="BU303"/>
  <c r="BU302"/>
  <c r="BU301"/>
  <c r="BU300"/>
  <c r="BU299"/>
  <c r="BU298"/>
  <c r="BU297"/>
  <c r="BU296"/>
  <c r="BU295"/>
  <c r="BU294"/>
  <c r="BU293"/>
  <c r="BU292"/>
  <c r="BU291"/>
  <c r="BU290"/>
  <c r="BU289"/>
  <c r="BU288"/>
  <c r="BU287"/>
  <c r="BU286"/>
  <c r="BU285"/>
  <c r="BU280"/>
  <c r="BU284"/>
  <c r="BU283"/>
  <c r="BU282"/>
  <c r="BU281"/>
  <c r="BU279"/>
  <c r="BU278"/>
  <c r="BU277"/>
  <c r="BU276"/>
  <c r="BU275"/>
  <c r="BU274"/>
  <c r="BU273"/>
  <c r="BU272"/>
  <c r="BU271"/>
  <c r="BU270"/>
  <c r="BU269"/>
  <c r="BU268"/>
  <c r="BU267"/>
  <c r="BU266"/>
  <c r="BU265"/>
  <c r="BU264"/>
  <c r="BU263"/>
  <c r="BU262"/>
  <c r="BU261"/>
  <c r="BU260"/>
  <c r="BU259"/>
  <c r="BU258"/>
  <c r="BU257"/>
  <c r="BU256"/>
  <c r="BU255"/>
  <c r="BU254"/>
  <c r="BU253"/>
  <c r="BU252"/>
  <c r="BU251"/>
  <c r="BU250"/>
  <c r="BU249"/>
  <c r="BU248"/>
  <c r="BU247"/>
  <c r="BU246"/>
  <c r="BU245"/>
  <c r="BU244"/>
  <c r="BU243"/>
  <c r="BU242"/>
  <c r="BU239"/>
  <c r="BU238"/>
  <c r="BU237"/>
  <c r="BU236"/>
  <c r="BU235"/>
  <c r="BU234"/>
  <c r="BU233"/>
  <c r="BU232"/>
  <c r="BU231"/>
  <c r="BU230"/>
  <c r="BU229"/>
  <c r="BU228"/>
  <c r="BU227"/>
  <c r="BU226"/>
  <c r="BU225"/>
  <c r="BU224"/>
  <c r="BU223"/>
  <c r="BU222"/>
  <c r="BU221"/>
  <c r="BU220"/>
  <c r="BU219"/>
  <c r="BU218"/>
  <c r="BU217"/>
  <c r="BU216"/>
  <c r="BU215"/>
  <c r="BU214"/>
  <c r="BU213"/>
  <c r="BU212"/>
  <c r="BU211"/>
  <c r="BU210"/>
  <c r="BU209"/>
  <c r="BU208"/>
  <c r="BU207"/>
  <c r="BU206"/>
  <c r="BU205"/>
  <c r="BU204"/>
  <c r="BU203"/>
  <c r="BU202"/>
  <c r="BU201"/>
  <c r="BU200"/>
  <c r="BU199"/>
  <c r="BU198"/>
  <c r="BU197"/>
  <c r="BU196"/>
  <c r="BU195"/>
  <c r="BU194"/>
  <c r="BU193"/>
  <c r="BU192"/>
  <c r="BU191"/>
  <c r="BU190"/>
  <c r="BU189"/>
  <c r="BU188"/>
  <c r="BU187"/>
  <c r="BU186"/>
  <c r="BU185"/>
  <c r="BU184"/>
  <c r="BU183"/>
  <c r="BU182"/>
  <c r="BU181"/>
  <c r="BU180"/>
  <c r="BU179"/>
  <c r="BU178"/>
  <c r="BU177"/>
  <c r="BU176"/>
  <c r="BU175"/>
  <c r="BU174"/>
  <c r="BU173"/>
  <c r="BU172"/>
  <c r="BU171"/>
  <c r="BU170"/>
  <c r="BU169"/>
  <c r="BU168"/>
  <c r="BU167"/>
  <c r="BU166"/>
  <c r="BU165"/>
  <c r="BU164"/>
  <c r="BU163"/>
  <c r="BU162"/>
  <c r="BU161"/>
  <c r="BU160"/>
  <c r="BU159"/>
  <c r="BU158"/>
  <c r="BU157"/>
  <c r="BU156"/>
  <c r="BU155"/>
  <c r="BU154"/>
  <c r="BU153"/>
  <c r="BU152"/>
  <c r="BU144"/>
  <c r="BU151"/>
  <c r="BU150"/>
  <c r="BU149"/>
  <c r="BU148"/>
  <c r="BU147"/>
  <c r="BU146"/>
  <c r="BU145"/>
  <c r="BU143"/>
  <c r="BU142"/>
  <c r="BU141"/>
  <c r="BU140"/>
  <c r="BU139"/>
  <c r="BU138"/>
  <c r="BU137"/>
  <c r="BU136"/>
  <c r="BU135"/>
  <c r="BU134"/>
  <c r="BU133"/>
  <c r="BU132"/>
  <c r="BU131"/>
  <c r="BU130"/>
  <c r="BU129"/>
  <c r="BU128"/>
  <c r="BU127"/>
  <c r="BU126"/>
  <c r="BU125"/>
  <c r="BU124"/>
  <c r="BU123"/>
  <c r="BU122"/>
  <c r="BU121"/>
  <c r="BU120"/>
  <c r="BU119"/>
  <c r="BU118"/>
  <c r="BU108"/>
  <c r="BU97"/>
  <c r="BU117"/>
  <c r="BU116"/>
  <c r="BU115"/>
  <c r="BU114"/>
  <c r="BU113"/>
  <c r="BU112"/>
  <c r="BU111"/>
  <c r="BU110"/>
  <c r="BU109"/>
  <c r="BU107"/>
  <c r="BU106"/>
  <c r="BU105"/>
  <c r="BU104"/>
  <c r="BU103"/>
  <c r="BU102"/>
  <c r="BU101"/>
  <c r="BU100"/>
  <c r="BU99"/>
  <c r="BU98"/>
  <c r="BU96"/>
  <c r="BU95"/>
  <c r="BU94"/>
  <c r="BU93"/>
  <c r="BU92"/>
  <c r="BU91"/>
  <c r="BU90"/>
  <c r="BU89"/>
  <c r="BU88"/>
  <c r="BU87"/>
  <c r="BU86"/>
  <c r="BU85"/>
  <c r="BU84"/>
  <c r="BU78"/>
  <c r="BU77"/>
  <c r="BU76"/>
  <c r="BU75"/>
  <c r="BU74"/>
  <c r="BU73"/>
  <c r="BU72"/>
  <c r="BU71"/>
  <c r="BU70"/>
  <c r="BU69"/>
  <c r="BU68"/>
  <c r="BU67"/>
  <c r="BU66"/>
  <c r="BU65"/>
  <c r="BU64"/>
  <c r="BU63"/>
  <c r="BU62"/>
  <c r="BU61"/>
  <c r="BU60"/>
  <c r="BU59"/>
  <c r="BU58"/>
  <c r="BU57"/>
  <c r="BU55"/>
  <c r="BU56"/>
  <c r="BU54"/>
  <c r="BU53"/>
  <c r="BU52"/>
  <c r="BU51"/>
  <c r="BU50"/>
  <c r="BU49"/>
  <c r="BU48"/>
  <c r="BU47"/>
  <c r="BU46"/>
  <c r="BU45"/>
  <c r="BU44"/>
  <c r="BU43"/>
  <c r="BU42"/>
  <c r="BU41"/>
  <c r="BU40"/>
  <c r="BU39"/>
  <c r="BU38"/>
  <c r="BU37"/>
  <c r="BU36"/>
  <c r="BU35"/>
  <c r="BU34"/>
  <c r="BU33"/>
  <c r="BU32"/>
  <c r="BU31"/>
  <c r="BU30"/>
  <c r="BU29"/>
  <c r="BU28"/>
  <c r="BU27"/>
  <c r="BU26"/>
  <c r="BU25"/>
  <c r="BU24"/>
  <c r="BU23"/>
  <c r="BU22"/>
  <c r="BU21"/>
  <c r="BU20"/>
  <c r="BU19"/>
  <c r="BU18"/>
  <c r="BU17"/>
  <c r="BU16"/>
  <c r="BU15"/>
  <c r="BU14"/>
  <c r="BU13"/>
  <c r="BU12"/>
  <c r="BU11"/>
  <c r="BU10"/>
  <c r="BU9"/>
  <c r="BR717"/>
  <c r="BR716"/>
  <c r="BR715"/>
  <c r="BR714"/>
  <c r="BR713"/>
  <c r="BR712"/>
  <c r="BR711"/>
  <c r="BR710"/>
  <c r="BR709"/>
  <c r="BR708"/>
  <c r="BR707"/>
  <c r="BR706"/>
  <c r="BR705"/>
  <c r="BR704"/>
  <c r="BR703"/>
  <c r="BR702"/>
  <c r="BR701"/>
  <c r="BR700"/>
  <c r="BR699"/>
  <c r="BR698"/>
  <c r="BR697"/>
  <c r="BR696"/>
  <c r="BR695"/>
  <c r="BR694"/>
  <c r="BR693"/>
  <c r="BR692"/>
  <c r="BR691"/>
  <c r="BR689"/>
  <c r="BR688"/>
  <c r="BR687"/>
  <c r="BR686"/>
  <c r="BR685"/>
  <c r="BR684"/>
  <c r="BR683"/>
  <c r="BR690"/>
  <c r="BR682"/>
  <c r="BR681"/>
  <c r="BR680"/>
  <c r="BR679"/>
  <c r="BR678"/>
  <c r="BR677"/>
  <c r="BR676"/>
  <c r="BR675"/>
  <c r="BR674"/>
  <c r="BR673"/>
  <c r="BR672"/>
  <c r="BR671"/>
  <c r="BR670"/>
  <c r="BR669"/>
  <c r="BR668"/>
  <c r="BR667"/>
  <c r="BR666"/>
  <c r="BR665"/>
  <c r="BR664"/>
  <c r="BR663"/>
  <c r="BR662"/>
  <c r="BR658"/>
  <c r="BR661"/>
  <c r="BR660"/>
  <c r="BR659"/>
  <c r="BR657"/>
  <c r="BR656"/>
  <c r="BR655"/>
  <c r="BR654"/>
  <c r="BR653"/>
  <c r="BR652"/>
  <c r="BR651"/>
  <c r="BR650"/>
  <c r="BR649"/>
  <c r="BR648"/>
  <c r="BR647"/>
  <c r="BR646"/>
  <c r="BR645"/>
  <c r="BR644"/>
  <c r="BR643"/>
  <c r="BR642"/>
  <c r="BR641"/>
  <c r="BR640"/>
  <c r="BR639"/>
  <c r="BR638"/>
  <c r="BR637"/>
  <c r="BR636"/>
  <c r="BR635"/>
  <c r="BR634"/>
  <c r="BR633"/>
  <c r="BR632"/>
  <c r="BR631"/>
  <c r="BR630"/>
  <c r="BR629"/>
  <c r="BR628"/>
  <c r="BR627"/>
  <c r="BR626"/>
  <c r="BR625"/>
  <c r="BR624"/>
  <c r="BR623"/>
  <c r="BR622"/>
  <c r="BR621"/>
  <c r="BR620"/>
  <c r="BR619"/>
  <c r="BR618"/>
  <c r="BR617"/>
  <c r="BR616"/>
  <c r="BR615"/>
  <c r="BR614"/>
  <c r="BR613"/>
  <c r="BR612"/>
  <c r="BR611"/>
  <c r="BR610"/>
  <c r="BR609"/>
  <c r="BR608"/>
  <c r="BR607"/>
  <c r="BR606"/>
  <c r="BR605"/>
  <c r="BR604"/>
  <c r="BR603"/>
  <c r="BR602"/>
  <c r="BR601"/>
  <c r="BR600"/>
  <c r="BR599"/>
  <c r="BR598"/>
  <c r="BR597"/>
  <c r="BR596"/>
  <c r="BR595"/>
  <c r="BR594"/>
  <c r="BR593"/>
  <c r="BR592"/>
  <c r="BR591"/>
  <c r="BR590"/>
  <c r="BR589"/>
  <c r="BR588"/>
  <c r="BR587"/>
  <c r="BR586"/>
  <c r="BR585"/>
  <c r="BR584"/>
  <c r="BR583"/>
  <c r="BR582"/>
  <c r="BR581"/>
  <c r="BR580"/>
  <c r="BR579"/>
  <c r="BR578"/>
  <c r="BR563"/>
  <c r="BR577"/>
  <c r="BR576"/>
  <c r="BR575"/>
  <c r="BR574"/>
  <c r="BR573"/>
  <c r="BR572"/>
  <c r="BR571"/>
  <c r="BR570"/>
  <c r="BR569"/>
  <c r="BR568"/>
  <c r="BR567"/>
  <c r="BR566"/>
  <c r="BR565"/>
  <c r="BR564"/>
  <c r="BR559"/>
  <c r="BR562"/>
  <c r="BR561"/>
  <c r="BU561" s="1"/>
  <c r="BR560"/>
  <c r="BR558"/>
  <c r="BR557"/>
  <c r="BR556"/>
  <c r="BR555"/>
  <c r="BR554"/>
  <c r="BR553"/>
  <c r="BR552"/>
  <c r="BR551"/>
  <c r="BR550"/>
  <c r="BR549"/>
  <c r="BR548"/>
  <c r="BR547"/>
  <c r="BR546"/>
  <c r="BR545"/>
  <c r="BR544"/>
  <c r="BR543"/>
  <c r="BR542"/>
  <c r="BR541"/>
  <c r="BR540"/>
  <c r="BR539"/>
  <c r="BR538"/>
  <c r="BR537"/>
  <c r="BR536"/>
  <c r="BR535"/>
  <c r="BR534"/>
  <c r="BR533"/>
  <c r="BR532"/>
  <c r="BR531"/>
  <c r="BR530"/>
  <c r="BR529"/>
  <c r="BR528"/>
  <c r="BR527"/>
  <c r="BR526"/>
  <c r="BR525"/>
  <c r="BR524"/>
  <c r="BR523"/>
  <c r="BR522"/>
  <c r="BR521"/>
  <c r="BR520"/>
  <c r="BR519"/>
  <c r="BR518"/>
  <c r="BR517"/>
  <c r="BR516"/>
  <c r="BR515"/>
  <c r="BR514"/>
  <c r="BR513"/>
  <c r="BR512"/>
  <c r="BR511"/>
  <c r="BR510"/>
  <c r="BR509"/>
  <c r="BR508"/>
  <c r="BR507"/>
  <c r="BR506"/>
  <c r="BR505"/>
  <c r="BR504"/>
  <c r="BR503"/>
  <c r="BR502"/>
  <c r="BR501"/>
  <c r="BR500"/>
  <c r="BR499"/>
  <c r="BR498"/>
  <c r="BR497"/>
  <c r="BR496"/>
  <c r="BR495"/>
  <c r="BR494"/>
  <c r="BR493"/>
  <c r="BR492"/>
  <c r="BR491"/>
  <c r="BR490"/>
  <c r="BR489"/>
  <c r="BR488"/>
  <c r="BR487"/>
  <c r="BR486"/>
  <c r="BR485"/>
  <c r="BR484"/>
  <c r="BR483"/>
  <c r="BR482"/>
  <c r="BR481"/>
  <c r="BR480"/>
  <c r="BR479"/>
  <c r="BR478"/>
  <c r="BR477"/>
  <c r="BR476"/>
  <c r="BR475"/>
  <c r="BR474"/>
  <c r="BR473"/>
  <c r="BR472"/>
  <c r="BR471"/>
  <c r="BR470"/>
  <c r="BR469"/>
  <c r="BR468"/>
  <c r="BR467"/>
  <c r="BR466"/>
  <c r="BR465"/>
  <c r="BR464"/>
  <c r="BR463"/>
  <c r="BR462"/>
  <c r="BR461"/>
  <c r="BR460"/>
  <c r="BR459"/>
  <c r="BR458"/>
  <c r="BR457"/>
  <c r="BR456"/>
  <c r="BR455"/>
  <c r="BR454"/>
  <c r="BR453"/>
  <c r="BR452"/>
  <c r="BR451"/>
  <c r="BR450"/>
  <c r="BR449"/>
  <c r="BR448"/>
  <c r="BR447"/>
  <c r="BR446"/>
  <c r="BR445"/>
  <c r="BR444"/>
  <c r="BR443"/>
  <c r="BR442"/>
  <c r="BR441"/>
  <c r="BR440"/>
  <c r="BR439"/>
  <c r="BR438"/>
  <c r="BR437"/>
  <c r="BR436"/>
  <c r="BR435"/>
  <c r="BR434"/>
  <c r="BR433"/>
  <c r="BR432"/>
  <c r="BR431"/>
  <c r="BR430"/>
  <c r="BR429"/>
  <c r="BR428"/>
  <c r="BR427"/>
  <c r="BR426"/>
  <c r="BR425"/>
  <c r="BR424"/>
  <c r="BR423"/>
  <c r="BR422"/>
  <c r="BR421"/>
  <c r="BR420"/>
  <c r="BR419"/>
  <c r="BR418"/>
  <c r="BR414"/>
  <c r="BR417"/>
  <c r="BR416"/>
  <c r="BR415"/>
  <c r="BR413"/>
  <c r="BR412"/>
  <c r="BR411"/>
  <c r="BR410"/>
  <c r="BR409"/>
  <c r="BR408"/>
  <c r="BR407"/>
  <c r="BR406"/>
  <c r="BR405"/>
  <c r="BR404"/>
  <c r="BR403"/>
  <c r="BR402"/>
  <c r="BR401"/>
  <c r="BR400"/>
  <c r="BR399"/>
  <c r="BR398"/>
  <c r="BR397"/>
  <c r="BR396"/>
  <c r="BR395"/>
  <c r="BR369"/>
  <c r="BR394"/>
  <c r="BR393"/>
  <c r="BR392"/>
  <c r="BR391"/>
  <c r="BR390"/>
  <c r="BR389"/>
  <c r="BR387"/>
  <c r="BR386"/>
  <c r="BR385"/>
  <c r="BR384"/>
  <c r="BR383"/>
  <c r="BR382"/>
  <c r="BR381"/>
  <c r="BR380"/>
  <c r="BR379"/>
  <c r="BR378"/>
  <c r="BR377"/>
  <c r="BR376"/>
  <c r="BR375"/>
  <c r="BR374"/>
  <c r="BR373"/>
  <c r="BR372"/>
  <c r="BR371"/>
  <c r="BR370"/>
  <c r="BR368"/>
  <c r="BR367"/>
  <c r="BR366"/>
  <c r="BR365"/>
  <c r="BR364"/>
  <c r="BR363"/>
  <c r="BR362"/>
  <c r="BR361"/>
  <c r="BR360"/>
  <c r="BR359"/>
  <c r="BR358"/>
  <c r="BR357"/>
  <c r="BR356"/>
  <c r="BR388"/>
  <c r="BR355"/>
  <c r="BR354"/>
  <c r="BR353"/>
  <c r="BR352"/>
  <c r="BR351"/>
  <c r="BR350"/>
  <c r="BR349"/>
  <c r="BR348"/>
  <c r="BR347"/>
  <c r="BR346"/>
  <c r="BR345"/>
  <c r="BR344"/>
  <c r="BR343"/>
  <c r="BR342"/>
  <c r="BR341"/>
  <c r="BR340"/>
  <c r="BR339"/>
  <c r="BR338"/>
  <c r="BR337"/>
  <c r="BR336"/>
  <c r="BR335"/>
  <c r="BR334"/>
  <c r="BR333"/>
  <c r="BR332"/>
  <c r="BR331"/>
  <c r="BR330"/>
  <c r="BR329"/>
  <c r="BR328"/>
  <c r="BR327"/>
  <c r="BR326"/>
  <c r="BR325"/>
  <c r="BR324"/>
  <c r="BR323"/>
  <c r="BR322"/>
  <c r="BR321"/>
  <c r="BR320"/>
  <c r="BR319"/>
  <c r="BR318"/>
  <c r="BR317"/>
  <c r="BR316"/>
  <c r="BR315"/>
  <c r="BR314"/>
  <c r="BR313"/>
  <c r="BR312"/>
  <c r="BR311"/>
  <c r="BR310"/>
  <c r="BR309"/>
  <c r="BR308"/>
  <c r="BR307"/>
  <c r="BR306"/>
  <c r="BR305"/>
  <c r="BR304"/>
  <c r="BR303"/>
  <c r="BR302"/>
  <c r="BR301"/>
  <c r="BR300"/>
  <c r="BR299"/>
  <c r="BR298"/>
  <c r="BR297"/>
  <c r="BR296"/>
  <c r="BR295"/>
  <c r="BR294"/>
  <c r="BR293"/>
  <c r="BR292"/>
  <c r="BR291"/>
  <c r="BR290"/>
  <c r="BR289"/>
  <c r="BR288"/>
  <c r="BR287"/>
  <c r="BR286"/>
  <c r="BR285"/>
  <c r="BR280"/>
  <c r="BR284"/>
  <c r="BR283"/>
  <c r="BR282"/>
  <c r="BR281"/>
  <c r="BR279"/>
  <c r="BR278"/>
  <c r="BR277"/>
  <c r="BR276"/>
  <c r="BR275"/>
  <c r="BR274"/>
  <c r="BR273"/>
  <c r="BR272"/>
  <c r="BR271"/>
  <c r="BR270"/>
  <c r="BR269"/>
  <c r="BR268"/>
  <c r="BR267"/>
  <c r="BR266"/>
  <c r="BR265"/>
  <c r="BR264"/>
  <c r="BR263"/>
  <c r="BR262"/>
  <c r="BR261"/>
  <c r="BR260"/>
  <c r="BR259"/>
  <c r="BR258"/>
  <c r="BR257"/>
  <c r="BR256"/>
  <c r="BR255"/>
  <c r="BR254"/>
  <c r="BR253"/>
  <c r="BR252"/>
  <c r="BR251"/>
  <c r="BR250"/>
  <c r="BR249"/>
  <c r="BR248"/>
  <c r="BR247"/>
  <c r="BR246"/>
  <c r="BR245"/>
  <c r="BR244"/>
  <c r="BR243"/>
  <c r="BR242"/>
  <c r="BR241"/>
  <c r="BR240"/>
  <c r="BR239"/>
  <c r="BR238"/>
  <c r="BR237"/>
  <c r="BR236"/>
  <c r="BR235"/>
  <c r="BR234"/>
  <c r="BR233"/>
  <c r="BR232"/>
  <c r="BR231"/>
  <c r="BR230"/>
  <c r="BR229"/>
  <c r="BR228"/>
  <c r="BR227"/>
  <c r="BR226"/>
  <c r="BR225"/>
  <c r="BR224"/>
  <c r="BR223"/>
  <c r="BR222"/>
  <c r="BR221"/>
  <c r="BR220"/>
  <c r="BR219"/>
  <c r="BR218"/>
  <c r="BR217"/>
  <c r="BR216"/>
  <c r="BR215"/>
  <c r="BR214"/>
  <c r="BR213"/>
  <c r="BR212"/>
  <c r="BR211"/>
  <c r="BR210"/>
  <c r="BR209"/>
  <c r="BR208"/>
  <c r="BR207"/>
  <c r="BR206"/>
  <c r="BR205"/>
  <c r="BR204"/>
  <c r="BR203"/>
  <c r="BR202"/>
  <c r="BR201"/>
  <c r="BR200"/>
  <c r="BR199"/>
  <c r="BR198"/>
  <c r="BR197"/>
  <c r="BR196"/>
  <c r="BR195"/>
  <c r="BR193"/>
  <c r="BR192"/>
  <c r="BR189"/>
  <c r="BR187"/>
  <c r="BR186"/>
  <c r="BR185"/>
  <c r="BR184"/>
  <c r="BR183"/>
  <c r="BR182"/>
  <c r="BR181"/>
  <c r="BR180"/>
  <c r="BR179"/>
  <c r="BR178"/>
  <c r="BR177"/>
  <c r="BR176"/>
  <c r="BR175"/>
  <c r="BR174"/>
  <c r="BR173"/>
  <c r="BR172"/>
  <c r="BR171"/>
  <c r="BR170"/>
  <c r="BR169"/>
  <c r="BR168"/>
  <c r="BR167"/>
  <c r="BR166"/>
  <c r="BR165"/>
  <c r="BR164"/>
  <c r="BR163"/>
  <c r="BR162"/>
  <c r="BR161"/>
  <c r="BR160"/>
  <c r="BR159"/>
  <c r="BR158"/>
  <c r="BR157"/>
  <c r="BR156"/>
  <c r="BR155"/>
  <c r="BR154"/>
  <c r="BR153"/>
  <c r="BR152"/>
  <c r="BR144"/>
  <c r="BR151"/>
  <c r="BR150"/>
  <c r="BR149"/>
  <c r="BR148"/>
  <c r="BR147"/>
  <c r="BR146"/>
  <c r="BR145"/>
  <c r="BR143"/>
  <c r="BR142"/>
  <c r="BR141"/>
  <c r="BR140"/>
  <c r="BR139"/>
  <c r="BR138"/>
  <c r="BR137"/>
  <c r="BR136"/>
  <c r="BR135"/>
  <c r="BR134"/>
  <c r="BR133"/>
  <c r="BR132"/>
  <c r="BR131"/>
  <c r="BR130"/>
  <c r="BR129"/>
  <c r="BR128"/>
  <c r="BR127"/>
  <c r="BR126"/>
  <c r="BR125"/>
  <c r="BR124"/>
  <c r="BR123"/>
  <c r="BR122"/>
  <c r="BR121"/>
  <c r="BR120"/>
  <c r="BR119"/>
  <c r="BR118"/>
  <c r="BR108"/>
  <c r="BR97"/>
  <c r="BR117"/>
  <c r="BR116"/>
  <c r="BR115"/>
  <c r="BR114"/>
  <c r="BR113"/>
  <c r="BR112"/>
  <c r="BR111"/>
  <c r="BR110"/>
  <c r="BR109"/>
  <c r="BR107"/>
  <c r="BR106"/>
  <c r="BR105"/>
  <c r="BR104"/>
  <c r="BR103"/>
  <c r="BR102"/>
  <c r="BR101"/>
  <c r="BR100"/>
  <c r="BR99"/>
  <c r="BR98"/>
  <c r="BR96"/>
  <c r="BR95"/>
  <c r="BR94"/>
  <c r="BR93"/>
  <c r="BR92"/>
  <c r="BR91"/>
  <c r="BR90"/>
  <c r="BR89"/>
  <c r="BR88"/>
  <c r="BR87"/>
  <c r="BR86"/>
  <c r="BR85"/>
  <c r="BR84"/>
  <c r="BR78"/>
  <c r="BR77"/>
  <c r="BR76"/>
  <c r="BR75"/>
  <c r="BR74"/>
  <c r="BR73"/>
  <c r="BR72"/>
  <c r="BR71"/>
  <c r="BR70"/>
  <c r="BR69"/>
  <c r="BR68"/>
  <c r="BR67"/>
  <c r="BR66"/>
  <c r="BR65"/>
  <c r="BR64"/>
  <c r="BR63"/>
  <c r="BR62"/>
  <c r="BR61"/>
  <c r="BR60"/>
  <c r="BR59"/>
  <c r="BR58"/>
  <c r="BR57"/>
  <c r="BR55"/>
  <c r="BR56"/>
  <c r="BR54"/>
  <c r="BR53"/>
  <c r="BR52"/>
  <c r="BR51"/>
  <c r="BR50"/>
  <c r="BR49"/>
  <c r="BR48"/>
  <c r="BR47"/>
  <c r="BR46"/>
  <c r="BR45"/>
  <c r="BR44"/>
  <c r="BR43"/>
  <c r="BR42"/>
  <c r="BR41"/>
  <c r="BR40"/>
  <c r="BR39"/>
  <c r="BR38"/>
  <c r="BR37"/>
  <c r="BR36"/>
  <c r="BR35"/>
  <c r="BR34"/>
  <c r="BR33"/>
  <c r="BR32"/>
  <c r="BR31"/>
  <c r="BR30"/>
  <c r="BR29"/>
  <c r="BR28"/>
  <c r="BR27"/>
  <c r="BR26"/>
  <c r="BR25"/>
  <c r="BR24"/>
  <c r="BR23"/>
  <c r="BR21"/>
  <c r="BR20"/>
  <c r="BR19"/>
  <c r="BR18"/>
  <c r="BR17"/>
  <c r="BR16"/>
  <c r="BR15"/>
  <c r="BR14"/>
  <c r="BR13"/>
  <c r="BR12"/>
  <c r="BR11"/>
  <c r="BR10"/>
  <c r="BR9"/>
  <c r="BO717"/>
  <c r="BO716"/>
  <c r="BO715"/>
  <c r="BO714"/>
  <c r="BO713"/>
  <c r="BO712"/>
  <c r="BO711"/>
  <c r="BO710"/>
  <c r="BO709"/>
  <c r="BO708"/>
  <c r="BO707"/>
  <c r="BO706"/>
  <c r="BO705"/>
  <c r="BO704"/>
  <c r="BO703"/>
  <c r="BO702"/>
  <c r="BO701"/>
  <c r="BO700"/>
  <c r="BO699"/>
  <c r="BO698"/>
  <c r="BO697"/>
  <c r="BO696"/>
  <c r="BO695"/>
  <c r="BO694"/>
  <c r="BO693"/>
  <c r="BO692"/>
  <c r="BO691"/>
  <c r="BO689"/>
  <c r="BO688"/>
  <c r="BO687"/>
  <c r="BO686"/>
  <c r="BO685"/>
  <c r="BO684"/>
  <c r="BO683"/>
  <c r="BO690"/>
  <c r="BO682"/>
  <c r="BO681"/>
  <c r="BO680"/>
  <c r="BO679"/>
  <c r="BO678"/>
  <c r="BO677"/>
  <c r="BO676"/>
  <c r="BO675"/>
  <c r="BO674"/>
  <c r="BO673"/>
  <c r="BO672"/>
  <c r="BO671"/>
  <c r="BO670"/>
  <c r="BO669"/>
  <c r="BO668"/>
  <c r="BO667"/>
  <c r="BO666"/>
  <c r="BO665"/>
  <c r="BO664"/>
  <c r="BO663"/>
  <c r="BO662"/>
  <c r="BO658"/>
  <c r="BO661"/>
  <c r="BO660"/>
  <c r="BO659"/>
  <c r="BO657"/>
  <c r="BO656"/>
  <c r="BO655"/>
  <c r="BO654"/>
  <c r="BO653"/>
  <c r="BO652"/>
  <c r="BO651"/>
  <c r="BO650"/>
  <c r="BO649"/>
  <c r="BO648"/>
  <c r="BO647"/>
  <c r="BO646"/>
  <c r="BO645"/>
  <c r="BO644"/>
  <c r="BO643"/>
  <c r="BO642"/>
  <c r="BO641"/>
  <c r="BO640"/>
  <c r="BO639"/>
  <c r="BO638"/>
  <c r="BO637"/>
  <c r="BO636"/>
  <c r="BO635"/>
  <c r="BO634"/>
  <c r="BO633"/>
  <c r="BO632"/>
  <c r="BO631"/>
  <c r="BO630"/>
  <c r="BO629"/>
  <c r="BO628"/>
  <c r="BO627"/>
  <c r="BO626"/>
  <c r="BO625"/>
  <c r="BO624"/>
  <c r="BO623"/>
  <c r="BO622"/>
  <c r="BO621"/>
  <c r="BO620"/>
  <c r="BO619"/>
  <c r="BO618"/>
  <c r="BO617"/>
  <c r="BO616"/>
  <c r="BO615"/>
  <c r="BO614"/>
  <c r="BO613"/>
  <c r="BO612"/>
  <c r="BO611"/>
  <c r="BO610"/>
  <c r="BO609"/>
  <c r="BO608"/>
  <c r="BO607"/>
  <c r="BO606"/>
  <c r="BO605"/>
  <c r="BO604"/>
  <c r="BO603"/>
  <c r="BO602"/>
  <c r="BO601"/>
  <c r="BO600"/>
  <c r="BO599"/>
  <c r="BO598"/>
  <c r="BO597"/>
  <c r="BO596"/>
  <c r="BO595"/>
  <c r="BO594"/>
  <c r="BO593"/>
  <c r="BO592"/>
  <c r="BO591"/>
  <c r="BO590"/>
  <c r="BO589"/>
  <c r="BO588"/>
  <c r="BO587"/>
  <c r="BO586"/>
  <c r="BO585"/>
  <c r="BO584"/>
  <c r="BO583"/>
  <c r="BO582"/>
  <c r="BO581"/>
  <c r="BO580"/>
  <c r="BO579"/>
  <c r="BO578"/>
  <c r="BO563"/>
  <c r="BO577"/>
  <c r="BO576"/>
  <c r="BO575"/>
  <c r="BO574"/>
  <c r="BO573"/>
  <c r="BO572"/>
  <c r="BO571"/>
  <c r="BO570"/>
  <c r="BO569"/>
  <c r="BO568"/>
  <c r="BO567"/>
  <c r="BO566"/>
  <c r="BO565"/>
  <c r="BO564"/>
  <c r="BO559"/>
  <c r="BO562"/>
  <c r="BO561"/>
  <c r="BO560"/>
  <c r="BO558"/>
  <c r="BO557"/>
  <c r="BO556"/>
  <c r="BO555"/>
  <c r="BO554"/>
  <c r="BO553"/>
  <c r="BO552"/>
  <c r="BO551"/>
  <c r="BO550"/>
  <c r="BO549"/>
  <c r="BO548"/>
  <c r="BO547"/>
  <c r="BO546"/>
  <c r="BO545"/>
  <c r="BO544"/>
  <c r="BO543"/>
  <c r="BO542"/>
  <c r="BO541"/>
  <c r="BO540"/>
  <c r="BO539"/>
  <c r="BO538"/>
  <c r="BO537"/>
  <c r="BO536"/>
  <c r="BO535"/>
  <c r="BO534"/>
  <c r="BO533"/>
  <c r="BO532"/>
  <c r="BO531"/>
  <c r="BO530"/>
  <c r="BO529"/>
  <c r="BO528"/>
  <c r="BO527"/>
  <c r="BO526"/>
  <c r="BO525"/>
  <c r="BO524"/>
  <c r="BO523"/>
  <c r="BO522"/>
  <c r="BO521"/>
  <c r="BO520"/>
  <c r="BO519"/>
  <c r="BO518"/>
  <c r="BO517"/>
  <c r="BO516"/>
  <c r="BO515"/>
  <c r="BO514"/>
  <c r="BO513"/>
  <c r="BO512"/>
  <c r="BO511"/>
  <c r="BO510"/>
  <c r="BO509"/>
  <c r="BO508"/>
  <c r="BO507"/>
  <c r="BO506"/>
  <c r="BO505"/>
  <c r="BO504"/>
  <c r="BO503"/>
  <c r="BO502"/>
  <c r="BO501"/>
  <c r="BO500"/>
  <c r="BO499"/>
  <c r="BO498"/>
  <c r="BO497"/>
  <c r="BO496"/>
  <c r="BO495"/>
  <c r="BO494"/>
  <c r="BO493"/>
  <c r="BO492"/>
  <c r="BO491"/>
  <c r="BO490"/>
  <c r="BO489"/>
  <c r="BO488"/>
  <c r="BO487"/>
  <c r="BO486"/>
  <c r="BO485"/>
  <c r="BO484"/>
  <c r="BO483"/>
  <c r="BO482"/>
  <c r="BO481"/>
  <c r="BO480"/>
  <c r="BO479"/>
  <c r="BO478"/>
  <c r="BO477"/>
  <c r="BO476"/>
  <c r="BO475"/>
  <c r="BO474"/>
  <c r="BO473"/>
  <c r="BO472"/>
  <c r="BO471"/>
  <c r="BO470"/>
  <c r="BO469"/>
  <c r="BO468"/>
  <c r="BO467"/>
  <c r="BO466"/>
  <c r="BO465"/>
  <c r="BO464"/>
  <c r="BO463"/>
  <c r="BO462"/>
  <c r="BO461"/>
  <c r="BO460"/>
  <c r="BO459"/>
  <c r="BO458"/>
  <c r="BO457"/>
  <c r="BO456"/>
  <c r="BO455"/>
  <c r="BO454"/>
  <c r="BO453"/>
  <c r="BO452"/>
  <c r="BO451"/>
  <c r="BO450"/>
  <c r="BO449"/>
  <c r="BO448"/>
  <c r="BO447"/>
  <c r="BO446"/>
  <c r="BO445"/>
  <c r="BO444"/>
  <c r="BO443"/>
  <c r="BO442"/>
  <c r="BO441"/>
  <c r="BO440"/>
  <c r="BO439"/>
  <c r="BO438"/>
  <c r="BO437"/>
  <c r="BO436"/>
  <c r="BO435"/>
  <c r="BO434"/>
  <c r="BO433"/>
  <c r="BO432"/>
  <c r="BO431"/>
  <c r="BO430"/>
  <c r="BO429"/>
  <c r="BO428"/>
  <c r="BO427"/>
  <c r="BO426"/>
  <c r="BO425"/>
  <c r="BO424"/>
  <c r="BO423"/>
  <c r="BO422"/>
  <c r="BO421"/>
  <c r="BO420"/>
  <c r="BO419"/>
  <c r="BO418"/>
  <c r="BO414"/>
  <c r="BO417"/>
  <c r="BO416"/>
  <c r="BO415"/>
  <c r="BO413"/>
  <c r="BO412"/>
  <c r="BO411"/>
  <c r="BO410"/>
  <c r="BO409"/>
  <c r="BO408"/>
  <c r="BO407"/>
  <c r="BO406"/>
  <c r="BO405"/>
  <c r="BO404"/>
  <c r="BO403"/>
  <c r="BO402"/>
  <c r="BO401"/>
  <c r="BO400"/>
  <c r="BO399"/>
  <c r="BO398"/>
  <c r="BO397"/>
  <c r="BO396"/>
  <c r="BO395"/>
  <c r="BO369"/>
  <c r="BO394"/>
  <c r="BO393"/>
  <c r="BO392"/>
  <c r="BO391"/>
  <c r="BO390"/>
  <c r="BO389"/>
  <c r="BO387"/>
  <c r="BO386"/>
  <c r="BO385"/>
  <c r="BO384"/>
  <c r="BO383"/>
  <c r="BO382"/>
  <c r="BO381"/>
  <c r="BO380"/>
  <c r="BO379"/>
  <c r="BO378"/>
  <c r="BO377"/>
  <c r="BO376"/>
  <c r="BO375"/>
  <c r="BO374"/>
  <c r="BO373"/>
  <c r="BO372"/>
  <c r="BO371"/>
  <c r="BO370"/>
  <c r="BO368"/>
  <c r="BO367"/>
  <c r="BO366"/>
  <c r="BO365"/>
  <c r="BO364"/>
  <c r="BO363"/>
  <c r="BO362"/>
  <c r="BO361"/>
  <c r="BO360"/>
  <c r="BO359"/>
  <c r="BO358"/>
  <c r="BO357"/>
  <c r="BO356"/>
  <c r="BO388"/>
  <c r="BO355"/>
  <c r="BO354"/>
  <c r="BO353"/>
  <c r="BO352"/>
  <c r="BO351"/>
  <c r="BO350"/>
  <c r="BO349"/>
  <c r="BO348"/>
  <c r="BO347"/>
  <c r="BO346"/>
  <c r="BO345"/>
  <c r="BO344"/>
  <c r="BO343"/>
  <c r="BO342"/>
  <c r="BO341"/>
  <c r="BO340"/>
  <c r="BO339"/>
  <c r="BO338"/>
  <c r="BO337"/>
  <c r="BO336"/>
  <c r="BO335"/>
  <c r="BO334"/>
  <c r="BO333"/>
  <c r="BO332"/>
  <c r="BO331"/>
  <c r="BO330"/>
  <c r="BO329"/>
  <c r="BO328"/>
  <c r="BO327"/>
  <c r="BO326"/>
  <c r="BO325"/>
  <c r="BO324"/>
  <c r="BO323"/>
  <c r="BO322"/>
  <c r="BO321"/>
  <c r="BO320"/>
  <c r="BO319"/>
  <c r="BO318"/>
  <c r="BO317"/>
  <c r="BO316"/>
  <c r="BO315"/>
  <c r="BO314"/>
  <c r="BO313"/>
  <c r="BO312"/>
  <c r="BO311"/>
  <c r="BO310"/>
  <c r="BO309"/>
  <c r="BO308"/>
  <c r="BO307"/>
  <c r="BO306"/>
  <c r="BO305"/>
  <c r="BO304"/>
  <c r="BO303"/>
  <c r="BO302"/>
  <c r="BO301"/>
  <c r="BO300"/>
  <c r="BO299"/>
  <c r="BO298"/>
  <c r="BO297"/>
  <c r="BO296"/>
  <c r="BO295"/>
  <c r="BO294"/>
  <c r="BO293"/>
  <c r="BO292"/>
  <c r="BO291"/>
  <c r="BO290"/>
  <c r="BO289"/>
  <c r="BO288"/>
  <c r="BO287"/>
  <c r="BO286"/>
  <c r="BO285"/>
  <c r="BO280"/>
  <c r="BO284"/>
  <c r="BO283"/>
  <c r="BO282"/>
  <c r="BO281"/>
  <c r="BO279"/>
  <c r="BO278"/>
  <c r="BO277"/>
  <c r="BO276"/>
  <c r="BO275"/>
  <c r="BO274"/>
  <c r="BO273"/>
  <c r="BO272"/>
  <c r="BO271"/>
  <c r="BO270"/>
  <c r="BO269"/>
  <c r="BO268"/>
  <c r="BO267"/>
  <c r="BO266"/>
  <c r="BO265"/>
  <c r="BO264"/>
  <c r="BO263"/>
  <c r="BO262"/>
  <c r="BO261"/>
  <c r="BO260"/>
  <c r="BO259"/>
  <c r="BO258"/>
  <c r="BO257"/>
  <c r="BO256"/>
  <c r="BO255"/>
  <c r="BO254"/>
  <c r="BO253"/>
  <c r="BO252"/>
  <c r="BO251"/>
  <c r="BO250"/>
  <c r="BO249"/>
  <c r="BO248"/>
  <c r="BO247"/>
  <c r="BO246"/>
  <c r="BO245"/>
  <c r="BO244"/>
  <c r="BO243"/>
  <c r="BO242"/>
  <c r="BO241"/>
  <c r="BO240"/>
  <c r="BO239"/>
  <c r="BO238"/>
  <c r="BO237"/>
  <c r="BO236"/>
  <c r="BO235"/>
  <c r="BO234"/>
  <c r="BO233"/>
  <c r="BO232"/>
  <c r="BO231"/>
  <c r="BO230"/>
  <c r="BO229"/>
  <c r="BO228"/>
  <c r="BO227"/>
  <c r="BO226"/>
  <c r="BO225"/>
  <c r="BO224"/>
  <c r="BO223"/>
  <c r="BO222"/>
  <c r="BO221"/>
  <c r="BO220"/>
  <c r="BO219"/>
  <c r="BO218"/>
  <c r="BO217"/>
  <c r="BO216"/>
  <c r="BO215"/>
  <c r="BO214"/>
  <c r="BO213"/>
  <c r="BO212"/>
  <c r="BO211"/>
  <c r="BO210"/>
  <c r="BO209"/>
  <c r="BO208"/>
  <c r="BO207"/>
  <c r="BO206"/>
  <c r="BO205"/>
  <c r="BO204"/>
  <c r="BO203"/>
  <c r="BO202"/>
  <c r="BO201"/>
  <c r="BO200"/>
  <c r="BO199"/>
  <c r="BO198"/>
  <c r="BO197"/>
  <c r="BO196"/>
  <c r="BO195"/>
  <c r="BO193"/>
  <c r="BO192"/>
  <c r="BO189"/>
  <c r="BO187"/>
  <c r="BO186"/>
  <c r="BO185"/>
  <c r="BO184"/>
  <c r="BO183"/>
  <c r="BO182"/>
  <c r="BO181"/>
  <c r="BO180"/>
  <c r="BO179"/>
  <c r="BO178"/>
  <c r="BO177"/>
  <c r="BO176"/>
  <c r="BO175"/>
  <c r="BO174"/>
  <c r="BO173"/>
  <c r="BO172"/>
  <c r="BO171"/>
  <c r="BO170"/>
  <c r="BO169"/>
  <c r="BO168"/>
  <c r="BO167"/>
  <c r="BO166"/>
  <c r="BO165"/>
  <c r="BO164"/>
  <c r="BO163"/>
  <c r="BO162"/>
  <c r="BO161"/>
  <c r="BO160"/>
  <c r="BO159"/>
  <c r="BO158"/>
  <c r="BO157"/>
  <c r="BO156"/>
  <c r="BO155"/>
  <c r="BO154"/>
  <c r="BO153"/>
  <c r="BO152"/>
  <c r="BO144"/>
  <c r="BO151"/>
  <c r="BO150"/>
  <c r="BO149"/>
  <c r="BO148"/>
  <c r="BO147"/>
  <c r="BO146"/>
  <c r="BO145"/>
  <c r="BO143"/>
  <c r="BO142"/>
  <c r="BO141"/>
  <c r="BO140"/>
  <c r="BO139"/>
  <c r="BO138"/>
  <c r="BO137"/>
  <c r="BO136"/>
  <c r="BO135"/>
  <c r="BO134"/>
  <c r="BO133"/>
  <c r="BO132"/>
  <c r="BO131"/>
  <c r="BO130"/>
  <c r="BO129"/>
  <c r="BO128"/>
  <c r="BO127"/>
  <c r="BO126"/>
  <c r="BO125"/>
  <c r="BO124"/>
  <c r="BO123"/>
  <c r="BO122"/>
  <c r="BO121"/>
  <c r="BO120"/>
  <c r="BO119"/>
  <c r="BO118"/>
  <c r="BO108"/>
  <c r="BO97"/>
  <c r="BO117"/>
  <c r="BO116"/>
  <c r="BO115"/>
  <c r="BO114"/>
  <c r="BO113"/>
  <c r="BO112"/>
  <c r="BO111"/>
  <c r="BO110"/>
  <c r="BO109"/>
  <c r="BO107"/>
  <c r="BO106"/>
  <c r="BO105"/>
  <c r="BO104"/>
  <c r="BO103"/>
  <c r="BO102"/>
  <c r="BO101"/>
  <c r="BO100"/>
  <c r="BO99"/>
  <c r="BO98"/>
  <c r="BO96"/>
  <c r="BO95"/>
  <c r="BO94"/>
  <c r="BO93"/>
  <c r="BO92"/>
  <c r="BO90"/>
  <c r="BO89"/>
  <c r="BO88"/>
  <c r="BO87"/>
  <c r="BO86"/>
  <c r="BO85"/>
  <c r="BO84"/>
  <c r="BO78"/>
  <c r="BO77"/>
  <c r="BO76"/>
  <c r="BO75"/>
  <c r="BO74"/>
  <c r="BO73"/>
  <c r="BO72"/>
  <c r="BO71"/>
  <c r="BO70"/>
  <c r="BO69"/>
  <c r="BO68"/>
  <c r="BO67"/>
  <c r="BO66"/>
  <c r="BO65"/>
  <c r="BO64"/>
  <c r="BO63"/>
  <c r="BO62"/>
  <c r="BO61"/>
  <c r="BO60"/>
  <c r="BO59"/>
  <c r="BO58"/>
  <c r="BO57"/>
  <c r="BO55"/>
  <c r="BO56"/>
  <c r="BO54"/>
  <c r="BO53"/>
  <c r="BO52"/>
  <c r="BO51"/>
  <c r="BO50"/>
  <c r="BO49"/>
  <c r="BO48"/>
  <c r="BO47"/>
  <c r="BO46"/>
  <c r="BO45"/>
  <c r="BO44"/>
  <c r="BO43"/>
  <c r="BO42"/>
  <c r="BO41"/>
  <c r="BO40"/>
  <c r="BO39"/>
  <c r="BO38"/>
  <c r="BO37"/>
  <c r="BO36"/>
  <c r="BO35"/>
  <c r="BO34"/>
  <c r="BO33"/>
  <c r="BO32"/>
  <c r="BO31"/>
  <c r="BO30"/>
  <c r="BO29"/>
  <c r="BO28"/>
  <c r="BO27"/>
  <c r="BO26"/>
  <c r="BO25"/>
  <c r="BO24"/>
  <c r="BO23"/>
  <c r="BO22"/>
  <c r="BO21"/>
  <c r="BO20"/>
  <c r="BO19"/>
  <c r="BO18"/>
  <c r="BO17"/>
  <c r="BO16"/>
  <c r="BO15"/>
  <c r="BO14"/>
  <c r="BO13"/>
  <c r="BO12"/>
  <c r="BO11"/>
  <c r="BO10"/>
  <c r="BO9"/>
  <c r="BL717"/>
  <c r="BL716"/>
  <c r="BL715"/>
  <c r="BL714"/>
  <c r="BL713"/>
  <c r="BL712"/>
  <c r="BL711"/>
  <c r="BL710"/>
  <c r="BL709"/>
  <c r="BL708"/>
  <c r="BL707"/>
  <c r="BL706"/>
  <c r="BL705"/>
  <c r="BL704"/>
  <c r="BL703"/>
  <c r="BL702"/>
  <c r="BL701"/>
  <c r="BL700"/>
  <c r="BL699"/>
  <c r="BL698"/>
  <c r="BL697"/>
  <c r="BL695"/>
  <c r="BL694"/>
  <c r="BL693"/>
  <c r="BL692"/>
  <c r="BL691"/>
  <c r="BL689"/>
  <c r="BL688"/>
  <c r="BL687"/>
  <c r="BL686"/>
  <c r="BL685"/>
  <c r="BL684"/>
  <c r="BL683"/>
  <c r="BL690"/>
  <c r="BL682"/>
  <c r="BL681"/>
  <c r="BL680"/>
  <c r="BL679"/>
  <c r="BL678"/>
  <c r="BL677"/>
  <c r="BL676"/>
  <c r="BL675"/>
  <c r="BL674"/>
  <c r="BL673"/>
  <c r="BL672"/>
  <c r="BL671"/>
  <c r="BL670"/>
  <c r="BL669"/>
  <c r="BL668"/>
  <c r="BL667"/>
  <c r="BL666"/>
  <c r="BL665"/>
  <c r="BL664"/>
  <c r="BL663"/>
  <c r="BL662"/>
  <c r="BL658"/>
  <c r="BL661"/>
  <c r="BL660"/>
  <c r="BL659"/>
  <c r="BL657"/>
  <c r="BL656"/>
  <c r="BL655"/>
  <c r="BL654"/>
  <c r="BL653"/>
  <c r="BL652"/>
  <c r="BL651"/>
  <c r="BL650"/>
  <c r="BL649"/>
  <c r="BL648"/>
  <c r="BL647"/>
  <c r="BL646"/>
  <c r="BL645"/>
  <c r="BL644"/>
  <c r="BL643"/>
  <c r="BL642"/>
  <c r="BL641"/>
  <c r="BL640"/>
  <c r="BL639"/>
  <c r="BL638"/>
  <c r="BL637"/>
  <c r="BL636"/>
  <c r="BL635"/>
  <c r="BL634"/>
  <c r="BL633"/>
  <c r="BL632"/>
  <c r="BL631"/>
  <c r="BL630"/>
  <c r="BL629"/>
  <c r="BL628"/>
  <c r="BL627"/>
  <c r="BL626"/>
  <c r="BL625"/>
  <c r="BL624"/>
  <c r="BL623"/>
  <c r="BL622"/>
  <c r="BL621"/>
  <c r="BL620"/>
  <c r="BL619"/>
  <c r="BL618"/>
  <c r="BL617"/>
  <c r="BL616"/>
  <c r="BL615"/>
  <c r="BL614"/>
  <c r="BL613"/>
  <c r="BL612"/>
  <c r="BL611"/>
  <c r="BL610"/>
  <c r="BL609"/>
  <c r="BL608"/>
  <c r="BL607"/>
  <c r="BL606"/>
  <c r="BL605"/>
  <c r="BL604"/>
  <c r="BL603"/>
  <c r="BL602"/>
  <c r="BL601"/>
  <c r="BL600"/>
  <c r="BL599"/>
  <c r="BL598"/>
  <c r="BL597"/>
  <c r="BL596"/>
  <c r="BL595"/>
  <c r="BL594"/>
  <c r="BL593"/>
  <c r="BL592"/>
  <c r="BL591"/>
  <c r="BL590"/>
  <c r="BL589"/>
  <c r="BL588"/>
  <c r="BL587"/>
  <c r="BL586"/>
  <c r="BL585"/>
  <c r="BL584"/>
  <c r="BL583"/>
  <c r="BL582"/>
  <c r="BL581"/>
  <c r="BL580"/>
  <c r="BL579"/>
  <c r="BL578"/>
  <c r="BL563"/>
  <c r="BL577"/>
  <c r="BL576"/>
  <c r="BL575"/>
  <c r="BL574"/>
  <c r="BL573"/>
  <c r="BL572"/>
  <c r="BL571"/>
  <c r="BL570"/>
  <c r="BL569"/>
  <c r="BL568"/>
  <c r="BL567"/>
  <c r="BL566"/>
  <c r="BL565"/>
  <c r="BL564"/>
  <c r="BL559"/>
  <c r="BL562"/>
  <c r="BL561"/>
  <c r="BL560"/>
  <c r="BL558"/>
  <c r="BL557"/>
  <c r="BL556"/>
  <c r="BL555"/>
  <c r="BL554"/>
  <c r="BL553"/>
  <c r="BL552"/>
  <c r="BL551"/>
  <c r="BL550"/>
  <c r="BL549"/>
  <c r="BL548"/>
  <c r="BL547"/>
  <c r="BL546"/>
  <c r="BL545"/>
  <c r="BL544"/>
  <c r="BL543"/>
  <c r="BL542"/>
  <c r="BL541"/>
  <c r="BL540"/>
  <c r="BL539"/>
  <c r="BL538"/>
  <c r="BL537"/>
  <c r="BL536"/>
  <c r="BL535"/>
  <c r="BL534"/>
  <c r="BL533"/>
  <c r="BL532"/>
  <c r="BL531"/>
  <c r="BL530"/>
  <c r="BL529"/>
  <c r="BL528"/>
  <c r="BL527"/>
  <c r="BL526"/>
  <c r="BL525"/>
  <c r="BL524"/>
  <c r="BL523"/>
  <c r="BL522"/>
  <c r="BL521"/>
  <c r="BL520"/>
  <c r="BL519"/>
  <c r="BL518"/>
  <c r="BL517"/>
  <c r="BL516"/>
  <c r="BL515"/>
  <c r="BL514"/>
  <c r="BL513"/>
  <c r="BL512"/>
  <c r="BL511"/>
  <c r="BL510"/>
  <c r="BL509"/>
  <c r="BL508"/>
  <c r="BL507"/>
  <c r="BL506"/>
  <c r="BL505"/>
  <c r="BL504"/>
  <c r="BL503"/>
  <c r="BL502"/>
  <c r="BL501"/>
  <c r="BL500"/>
  <c r="BL499"/>
  <c r="BL498"/>
  <c r="BL497"/>
  <c r="BL496"/>
  <c r="BL495"/>
  <c r="BL494"/>
  <c r="BL493"/>
  <c r="BL492"/>
  <c r="BL491"/>
  <c r="BL490"/>
  <c r="BL489"/>
  <c r="BL488"/>
  <c r="BL487"/>
  <c r="BL486"/>
  <c r="BL485"/>
  <c r="BL484"/>
  <c r="BL483"/>
  <c r="BL482"/>
  <c r="BL481"/>
  <c r="BL480"/>
  <c r="BL479"/>
  <c r="BL478"/>
  <c r="BL477"/>
  <c r="BL476"/>
  <c r="BL475"/>
  <c r="BL474"/>
  <c r="BL473"/>
  <c r="BL472"/>
  <c r="BL471"/>
  <c r="BL470"/>
  <c r="BL469"/>
  <c r="BL468"/>
  <c r="BL467"/>
  <c r="BL466"/>
  <c r="BL465"/>
  <c r="BL464"/>
  <c r="BL463"/>
  <c r="BL462"/>
  <c r="BL461"/>
  <c r="BL460"/>
  <c r="BL459"/>
  <c r="BL458"/>
  <c r="BL457"/>
  <c r="BL456"/>
  <c r="BL455"/>
  <c r="BL454"/>
  <c r="BL453"/>
  <c r="BL452"/>
  <c r="BL451"/>
  <c r="BL450"/>
  <c r="BL449"/>
  <c r="BL448"/>
  <c r="BL447"/>
  <c r="BL446"/>
  <c r="BL445"/>
  <c r="BL444"/>
  <c r="BL443"/>
  <c r="BL442"/>
  <c r="BL441"/>
  <c r="BL440"/>
  <c r="BL439"/>
  <c r="BL438"/>
  <c r="BL437"/>
  <c r="BL436"/>
  <c r="BL435"/>
  <c r="BL434"/>
  <c r="BL433"/>
  <c r="BL432"/>
  <c r="BL431"/>
  <c r="BL430"/>
  <c r="BL429"/>
  <c r="BL428"/>
  <c r="BL427"/>
  <c r="BL426"/>
  <c r="BL425"/>
  <c r="BL424"/>
  <c r="BL423"/>
  <c r="BL422"/>
  <c r="BL421"/>
  <c r="BL420"/>
  <c r="BL419"/>
  <c r="BL418"/>
  <c r="BL414"/>
  <c r="BL417"/>
  <c r="BL416"/>
  <c r="BL415"/>
  <c r="BL413"/>
  <c r="BL412"/>
  <c r="BL411"/>
  <c r="BL410"/>
  <c r="BL409"/>
  <c r="BL408"/>
  <c r="BL407"/>
  <c r="BL406"/>
  <c r="BL405"/>
  <c r="BL404"/>
  <c r="BL403"/>
  <c r="BL402"/>
  <c r="BL401"/>
  <c r="BL400"/>
  <c r="BL399"/>
  <c r="BL398"/>
  <c r="BL397"/>
  <c r="BL396"/>
  <c r="BL395"/>
  <c r="BL369"/>
  <c r="BL394"/>
  <c r="BL393"/>
  <c r="BL392"/>
  <c r="BL391"/>
  <c r="BL390"/>
  <c r="BL389"/>
  <c r="BL387"/>
  <c r="BL386"/>
  <c r="BL385"/>
  <c r="BL384"/>
  <c r="BL383"/>
  <c r="BL382"/>
  <c r="BL381"/>
  <c r="BL380"/>
  <c r="BL379"/>
  <c r="BL378"/>
  <c r="BL377"/>
  <c r="BL376"/>
  <c r="BL375"/>
  <c r="BL374"/>
  <c r="BL373"/>
  <c r="BL372"/>
  <c r="BL371"/>
  <c r="BL370"/>
  <c r="BL368"/>
  <c r="BL367"/>
  <c r="BL366"/>
  <c r="BL365"/>
  <c r="BL364"/>
  <c r="BL363"/>
  <c r="BL362"/>
  <c r="BL361"/>
  <c r="BL360"/>
  <c r="BL359"/>
  <c r="BL358"/>
  <c r="BL357"/>
  <c r="BL356"/>
  <c r="BL388"/>
  <c r="BL355"/>
  <c r="BL354"/>
  <c r="BL353"/>
  <c r="BL352"/>
  <c r="BL351"/>
  <c r="BL350"/>
  <c r="BL349"/>
  <c r="BL348"/>
  <c r="BL347"/>
  <c r="BL346"/>
  <c r="BL345"/>
  <c r="BL344"/>
  <c r="BL343"/>
  <c r="BL342"/>
  <c r="BL341"/>
  <c r="BL340"/>
  <c r="BL339"/>
  <c r="BL338"/>
  <c r="BL337"/>
  <c r="BL336"/>
  <c r="BL335"/>
  <c r="BL334"/>
  <c r="BL333"/>
  <c r="BL332"/>
  <c r="BL331"/>
  <c r="BL330"/>
  <c r="BL329"/>
  <c r="BL328"/>
  <c r="BL327"/>
  <c r="BL326"/>
  <c r="BL325"/>
  <c r="BL324"/>
  <c r="BL323"/>
  <c r="BL322"/>
  <c r="BL321"/>
  <c r="BL320"/>
  <c r="BL319"/>
  <c r="BL318"/>
  <c r="BL317"/>
  <c r="BL316"/>
  <c r="BL315"/>
  <c r="BL314"/>
  <c r="BL313"/>
  <c r="BL312"/>
  <c r="BL311"/>
  <c r="BL310"/>
  <c r="BL309"/>
  <c r="BL308"/>
  <c r="BL307"/>
  <c r="BL306"/>
  <c r="BL305"/>
  <c r="BL304"/>
  <c r="BL303"/>
  <c r="BL302"/>
  <c r="BL301"/>
  <c r="BL300"/>
  <c r="BL299"/>
  <c r="BL298"/>
  <c r="BL297"/>
  <c r="BL296"/>
  <c r="BL295"/>
  <c r="BL294"/>
  <c r="BL293"/>
  <c r="BL292"/>
  <c r="BL291"/>
  <c r="BL290"/>
  <c r="BL289"/>
  <c r="BL288"/>
  <c r="BL287"/>
  <c r="BL286"/>
  <c r="BL285"/>
  <c r="BL280"/>
  <c r="BL284"/>
  <c r="BL283"/>
  <c r="BL282"/>
  <c r="BL281"/>
  <c r="BL279"/>
  <c r="BL278"/>
  <c r="BL277"/>
  <c r="BL276"/>
  <c r="BL275"/>
  <c r="BL274"/>
  <c r="BL273"/>
  <c r="BL272"/>
  <c r="BL271"/>
  <c r="BL270"/>
  <c r="BL269"/>
  <c r="BL268"/>
  <c r="BL267"/>
  <c r="BL266"/>
  <c r="BL265"/>
  <c r="BL264"/>
  <c r="BL263"/>
  <c r="BL262"/>
  <c r="BL261"/>
  <c r="BL260"/>
  <c r="BL259"/>
  <c r="BL258"/>
  <c r="BL257"/>
  <c r="BL256"/>
  <c r="BL255"/>
  <c r="BL254"/>
  <c r="BL253"/>
  <c r="BL252"/>
  <c r="BL251"/>
  <c r="BL250"/>
  <c r="BL249"/>
  <c r="BL248"/>
  <c r="BL247"/>
  <c r="BL246"/>
  <c r="BL245"/>
  <c r="BL244"/>
  <c r="BL243"/>
  <c r="BL242"/>
  <c r="BL241"/>
  <c r="BL240"/>
  <c r="BL238"/>
  <c r="BL237"/>
  <c r="BL236"/>
  <c r="BL235"/>
  <c r="BL234"/>
  <c r="BL233"/>
  <c r="BL232"/>
  <c r="BL231"/>
  <c r="BL230"/>
  <c r="BL229"/>
  <c r="BL228"/>
  <c r="BL227"/>
  <c r="BL226"/>
  <c r="BL225"/>
  <c r="BL224"/>
  <c r="BL223"/>
  <c r="BL222"/>
  <c r="BL221"/>
  <c r="BL220"/>
  <c r="BL219"/>
  <c r="BL218"/>
  <c r="BL217"/>
  <c r="BL216"/>
  <c r="BL215"/>
  <c r="BL214"/>
  <c r="BL213"/>
  <c r="BL212"/>
  <c r="BL208"/>
  <c r="BL205"/>
  <c r="BL202"/>
  <c r="BL200"/>
  <c r="BL198"/>
  <c r="BL194"/>
  <c r="BL191"/>
  <c r="BL190"/>
  <c r="BL188"/>
  <c r="BL187"/>
  <c r="BL186"/>
  <c r="BL185"/>
  <c r="BL184"/>
  <c r="BL183"/>
  <c r="BL182"/>
  <c r="BL181"/>
  <c r="BL180"/>
  <c r="BL179"/>
  <c r="BL178"/>
  <c r="BL177"/>
  <c r="BL176"/>
  <c r="BL175"/>
  <c r="BL174"/>
  <c r="BL173"/>
  <c r="BL172"/>
  <c r="BL171"/>
  <c r="BL170"/>
  <c r="BL169"/>
  <c r="BL168"/>
  <c r="BL167"/>
  <c r="BL166"/>
  <c r="BL165"/>
  <c r="BL164"/>
  <c r="BL163"/>
  <c r="BL162"/>
  <c r="BL161"/>
  <c r="BL160"/>
  <c r="BL159"/>
  <c r="BL158"/>
  <c r="BL157"/>
  <c r="BL156"/>
  <c r="BL155"/>
  <c r="BL154"/>
  <c r="BL153"/>
  <c r="BL152"/>
  <c r="BL144"/>
  <c r="BL151"/>
  <c r="BL150"/>
  <c r="BL149"/>
  <c r="BL148"/>
  <c r="BL147"/>
  <c r="BL146"/>
  <c r="BL145"/>
  <c r="BL143"/>
  <c r="BL142"/>
  <c r="BL141"/>
  <c r="BL140"/>
  <c r="BL139"/>
  <c r="BL138"/>
  <c r="BL137"/>
  <c r="BL136"/>
  <c r="BL135"/>
  <c r="BL134"/>
  <c r="BL133"/>
  <c r="BL132"/>
  <c r="BL131"/>
  <c r="BL130"/>
  <c r="BL129"/>
  <c r="BL128"/>
  <c r="BL127"/>
  <c r="BL126"/>
  <c r="BL125"/>
  <c r="BL124"/>
  <c r="BL123"/>
  <c r="BL122"/>
  <c r="BL121"/>
  <c r="BL120"/>
  <c r="BL119"/>
  <c r="BL118"/>
  <c r="BL108"/>
  <c r="BL97"/>
  <c r="BL117"/>
  <c r="BL116"/>
  <c r="BL115"/>
  <c r="BL114"/>
  <c r="BL113"/>
  <c r="BL112"/>
  <c r="BL111"/>
  <c r="BL110"/>
  <c r="BL109"/>
  <c r="BL107"/>
  <c r="BL106"/>
  <c r="BL105"/>
  <c r="BL104"/>
  <c r="BL103"/>
  <c r="BL102"/>
  <c r="BL101"/>
  <c r="BL100"/>
  <c r="BL99"/>
  <c r="BL98"/>
  <c r="BL96"/>
  <c r="BL95"/>
  <c r="BL94"/>
  <c r="BL93"/>
  <c r="BL92"/>
  <c r="BL91"/>
  <c r="BL90"/>
  <c r="BL89"/>
  <c r="BL88"/>
  <c r="BL87"/>
  <c r="BL86"/>
  <c r="BL85"/>
  <c r="BL84"/>
  <c r="BL78"/>
  <c r="BL77"/>
  <c r="BL76"/>
  <c r="BL75"/>
  <c r="BL74"/>
  <c r="BL73"/>
  <c r="BL72"/>
  <c r="BL71"/>
  <c r="BL70"/>
  <c r="BL69"/>
  <c r="BL68"/>
  <c r="BL67"/>
  <c r="BL66"/>
  <c r="BL65"/>
  <c r="BL64"/>
  <c r="BL63"/>
  <c r="BL62"/>
  <c r="BL61"/>
  <c r="BL60"/>
  <c r="BL59"/>
  <c r="BL58"/>
  <c r="BL57"/>
  <c r="BL55"/>
  <c r="BL56"/>
  <c r="BL54"/>
  <c r="BL53"/>
  <c r="BL52"/>
  <c r="BL51"/>
  <c r="BL50"/>
  <c r="BL49"/>
  <c r="BL48"/>
  <c r="BL47"/>
  <c r="BL46"/>
  <c r="BL45"/>
  <c r="BL44"/>
  <c r="BL43"/>
  <c r="BL42"/>
  <c r="BL41"/>
  <c r="BL40"/>
  <c r="BL39"/>
  <c r="BL38"/>
  <c r="BL37"/>
  <c r="BL36"/>
  <c r="BL35"/>
  <c r="BL34"/>
  <c r="BL33"/>
  <c r="BL32"/>
  <c r="BL31"/>
  <c r="BL30"/>
  <c r="BL29"/>
  <c r="BL28"/>
  <c r="BL27"/>
  <c r="BL26"/>
  <c r="BL25"/>
  <c r="BL24"/>
  <c r="BL23"/>
  <c r="BL22"/>
  <c r="BL21"/>
  <c r="BL20"/>
  <c r="BL19"/>
  <c r="BL18"/>
  <c r="BL17"/>
  <c r="BL16"/>
  <c r="BL15"/>
  <c r="BL14"/>
  <c r="BL13"/>
  <c r="BL12"/>
  <c r="BL11"/>
  <c r="BL10"/>
  <c r="BL9"/>
  <c r="BI717"/>
  <c r="BI716"/>
  <c r="BI715"/>
  <c r="BI714"/>
  <c r="BI713"/>
  <c r="BI712"/>
  <c r="BI711"/>
  <c r="BI710"/>
  <c r="BI709"/>
  <c r="BI708"/>
  <c r="BI707"/>
  <c r="BI706"/>
  <c r="BI705"/>
  <c r="BI704"/>
  <c r="BI703"/>
  <c r="BI702"/>
  <c r="BI701"/>
  <c r="BI700"/>
  <c r="BI699"/>
  <c r="BI698"/>
  <c r="BI697"/>
  <c r="BI695"/>
  <c r="BI694"/>
  <c r="BI693"/>
  <c r="BI692"/>
  <c r="BI691"/>
  <c r="BI689"/>
  <c r="BI688"/>
  <c r="BI687"/>
  <c r="BI686"/>
  <c r="BI685"/>
  <c r="BI684"/>
  <c r="BI683"/>
  <c r="BI690"/>
  <c r="BI682"/>
  <c r="BI681"/>
  <c r="BI680"/>
  <c r="BI679"/>
  <c r="BI678"/>
  <c r="BI677"/>
  <c r="BI676"/>
  <c r="BI675"/>
  <c r="BI674"/>
  <c r="BI673"/>
  <c r="BI672"/>
  <c r="BI671"/>
  <c r="BI670"/>
  <c r="BI669"/>
  <c r="BI668"/>
  <c r="BI667"/>
  <c r="BI666"/>
  <c r="BI665"/>
  <c r="BI664"/>
  <c r="BI663"/>
  <c r="BI662"/>
  <c r="BI658"/>
  <c r="BI661"/>
  <c r="BI660"/>
  <c r="BI659"/>
  <c r="BI657"/>
  <c r="BI656"/>
  <c r="BI655"/>
  <c r="BI654"/>
  <c r="BI653"/>
  <c r="BI652"/>
  <c r="BI651"/>
  <c r="BI650"/>
  <c r="BI649"/>
  <c r="BI648"/>
  <c r="BI647"/>
  <c r="BI646"/>
  <c r="BI645"/>
  <c r="BI644"/>
  <c r="BI643"/>
  <c r="BI642"/>
  <c r="BI641"/>
  <c r="BI640"/>
  <c r="BI639"/>
  <c r="BI638"/>
  <c r="BI637"/>
  <c r="BI636"/>
  <c r="BI635"/>
  <c r="BI634"/>
  <c r="BI633"/>
  <c r="BI632"/>
  <c r="BI631"/>
  <c r="BI630"/>
  <c r="BI629"/>
  <c r="BI628"/>
  <c r="BI627"/>
  <c r="BI626"/>
  <c r="BI625"/>
  <c r="BI624"/>
  <c r="BI623"/>
  <c r="BI622"/>
  <c r="BI621"/>
  <c r="BI620"/>
  <c r="BI619"/>
  <c r="BI618"/>
  <c r="BI617"/>
  <c r="BI616"/>
  <c r="BI615"/>
  <c r="BI614"/>
  <c r="BI613"/>
  <c r="BI612"/>
  <c r="BI611"/>
  <c r="BI610"/>
  <c r="BI609"/>
  <c r="BI608"/>
  <c r="BI607"/>
  <c r="BI606"/>
  <c r="BI605"/>
  <c r="BI604"/>
  <c r="BI603"/>
  <c r="BI602"/>
  <c r="BI601"/>
  <c r="BI600"/>
  <c r="BI599"/>
  <c r="BI598"/>
  <c r="BI597"/>
  <c r="BI596"/>
  <c r="BI595"/>
  <c r="BI594"/>
  <c r="BI593"/>
  <c r="BI592"/>
  <c r="BI591"/>
  <c r="BI590"/>
  <c r="BI589"/>
  <c r="BI588"/>
  <c r="BI587"/>
  <c r="BI586"/>
  <c r="BI585"/>
  <c r="BI584"/>
  <c r="BI583"/>
  <c r="BI582"/>
  <c r="BI581"/>
  <c r="BI580"/>
  <c r="BI579"/>
  <c r="BI578"/>
  <c r="BI563"/>
  <c r="BI577"/>
  <c r="BI576"/>
  <c r="BI575"/>
  <c r="BI574"/>
  <c r="BI573"/>
  <c r="BI572"/>
  <c r="BI571"/>
  <c r="BI570"/>
  <c r="BI569"/>
  <c r="BI568"/>
  <c r="BI567"/>
  <c r="BI566"/>
  <c r="BI565"/>
  <c r="BI564"/>
  <c r="BI559"/>
  <c r="BI562"/>
  <c r="BI561"/>
  <c r="BI560"/>
  <c r="BI558"/>
  <c r="BI557"/>
  <c r="BI556"/>
  <c r="BI555"/>
  <c r="BI554"/>
  <c r="BI553"/>
  <c r="BI552"/>
  <c r="BI551"/>
  <c r="BI550"/>
  <c r="BI549"/>
  <c r="BI548"/>
  <c r="BI547"/>
  <c r="BI546"/>
  <c r="BI545"/>
  <c r="BI544"/>
  <c r="BI543"/>
  <c r="BI542"/>
  <c r="BI541"/>
  <c r="BI540"/>
  <c r="BI539"/>
  <c r="BI538"/>
  <c r="BI537"/>
  <c r="BI536"/>
  <c r="BI535"/>
  <c r="BI534"/>
  <c r="BI533"/>
  <c r="BI532"/>
  <c r="BI531"/>
  <c r="BI530"/>
  <c r="BI529"/>
  <c r="BI528"/>
  <c r="BI527"/>
  <c r="BI526"/>
  <c r="BI525"/>
  <c r="BI524"/>
  <c r="BI523"/>
  <c r="BI522"/>
  <c r="BI521"/>
  <c r="BI520"/>
  <c r="BI519"/>
  <c r="BI518"/>
  <c r="BI517"/>
  <c r="BI516"/>
  <c r="BI515"/>
  <c r="BI514"/>
  <c r="BI513"/>
  <c r="BI512"/>
  <c r="BI511"/>
  <c r="BI510"/>
  <c r="BI509"/>
  <c r="BI508"/>
  <c r="BI507"/>
  <c r="BI506"/>
  <c r="BI505"/>
  <c r="BI504"/>
  <c r="BI503"/>
  <c r="BI502"/>
  <c r="BI501"/>
  <c r="BI500"/>
  <c r="BI499"/>
  <c r="BI498"/>
  <c r="BI497"/>
  <c r="BI496"/>
  <c r="BI495"/>
  <c r="BI494"/>
  <c r="BI493"/>
  <c r="BI492"/>
  <c r="BI491"/>
  <c r="BI490"/>
  <c r="BI489"/>
  <c r="BI488"/>
  <c r="BI487"/>
  <c r="BI486"/>
  <c r="BI485"/>
  <c r="BI484"/>
  <c r="BI483"/>
  <c r="BI482"/>
  <c r="BI481"/>
  <c r="BI480"/>
  <c r="BI479"/>
  <c r="BI478"/>
  <c r="BI477"/>
  <c r="BI476"/>
  <c r="BI475"/>
  <c r="BI474"/>
  <c r="BI473"/>
  <c r="BI472"/>
  <c r="BI471"/>
  <c r="BI470"/>
  <c r="BI469"/>
  <c r="BI468"/>
  <c r="BI467"/>
  <c r="BI466"/>
  <c r="BI465"/>
  <c r="BI464"/>
  <c r="BI463"/>
  <c r="BI462"/>
  <c r="BI461"/>
  <c r="BI460"/>
  <c r="BI459"/>
  <c r="BI458"/>
  <c r="BI457"/>
  <c r="BI456"/>
  <c r="BI455"/>
  <c r="BI454"/>
  <c r="BI453"/>
  <c r="BI452"/>
  <c r="BI451"/>
  <c r="BI450"/>
  <c r="BI449"/>
  <c r="BI448"/>
  <c r="BI447"/>
  <c r="BI446"/>
  <c r="BI445"/>
  <c r="BI444"/>
  <c r="BI443"/>
  <c r="BI442"/>
  <c r="BI441"/>
  <c r="BI440"/>
  <c r="BI439"/>
  <c r="BI438"/>
  <c r="BI437"/>
  <c r="BI436"/>
  <c r="BI435"/>
  <c r="BI434"/>
  <c r="BI433"/>
  <c r="BI432"/>
  <c r="BI431"/>
  <c r="BI430"/>
  <c r="BI429"/>
  <c r="BI428"/>
  <c r="BI427"/>
  <c r="BI426"/>
  <c r="BI425"/>
  <c r="BI424"/>
  <c r="BI423"/>
  <c r="BI422"/>
  <c r="BI421"/>
  <c r="BI420"/>
  <c r="BI419"/>
  <c r="BI418"/>
  <c r="BI414"/>
  <c r="BI417"/>
  <c r="BI416"/>
  <c r="BI415"/>
  <c r="BI413"/>
  <c r="BI412"/>
  <c r="BI411"/>
  <c r="BI410"/>
  <c r="BI409"/>
  <c r="BI408"/>
  <c r="BI407"/>
  <c r="BI406"/>
  <c r="BI405"/>
  <c r="BI404"/>
  <c r="BI403"/>
  <c r="BI402"/>
  <c r="BI401"/>
  <c r="BI400"/>
  <c r="BI399"/>
  <c r="BI398"/>
  <c r="BI397"/>
  <c r="BI396"/>
  <c r="BI395"/>
  <c r="BI369"/>
  <c r="BI394"/>
  <c r="BI393"/>
  <c r="BI392"/>
  <c r="BI391"/>
  <c r="BI390"/>
  <c r="BI389"/>
  <c r="BI387"/>
  <c r="BI386"/>
  <c r="BI385"/>
  <c r="BI384"/>
  <c r="BI383"/>
  <c r="BI382"/>
  <c r="BI381"/>
  <c r="BI380"/>
  <c r="BI379"/>
  <c r="BI378"/>
  <c r="BI377"/>
  <c r="BI376"/>
  <c r="BI375"/>
  <c r="BI374"/>
  <c r="BI373"/>
  <c r="BI372"/>
  <c r="BI371"/>
  <c r="BI370"/>
  <c r="BI368"/>
  <c r="BI367"/>
  <c r="BI366"/>
  <c r="BI365"/>
  <c r="BI364"/>
  <c r="BI363"/>
  <c r="BI362"/>
  <c r="BI361"/>
  <c r="BI360"/>
  <c r="BI359"/>
  <c r="BI358"/>
  <c r="BI357"/>
  <c r="BI356"/>
  <c r="BI388"/>
  <c r="BI355"/>
  <c r="BI354"/>
  <c r="BI353"/>
  <c r="BI352"/>
  <c r="BI351"/>
  <c r="BI350"/>
  <c r="BI349"/>
  <c r="BI348"/>
  <c r="BI347"/>
  <c r="BI346"/>
  <c r="BI345"/>
  <c r="BI344"/>
  <c r="BI343"/>
  <c r="BI342"/>
  <c r="BI341"/>
  <c r="BI340"/>
  <c r="BI339"/>
  <c r="BI338"/>
  <c r="BI337"/>
  <c r="BI336"/>
  <c r="BI335"/>
  <c r="BI334"/>
  <c r="BI333"/>
  <c r="BI332"/>
  <c r="BI331"/>
  <c r="BI330"/>
  <c r="BI329"/>
  <c r="BI328"/>
  <c r="BI327"/>
  <c r="BI326"/>
  <c r="BI325"/>
  <c r="BI324"/>
  <c r="BI323"/>
  <c r="BI322"/>
  <c r="BI321"/>
  <c r="BI320"/>
  <c r="BI319"/>
  <c r="BI318"/>
  <c r="BI317"/>
  <c r="BI316"/>
  <c r="BI315"/>
  <c r="BI314"/>
  <c r="BI313"/>
  <c r="BI312"/>
  <c r="BI311"/>
  <c r="BI310"/>
  <c r="BI309"/>
  <c r="BI308"/>
  <c r="BI307"/>
  <c r="BI306"/>
  <c r="BI305"/>
  <c r="BI304"/>
  <c r="BI303"/>
  <c r="BI302"/>
  <c r="BI301"/>
  <c r="BI300"/>
  <c r="BI299"/>
  <c r="BI298"/>
  <c r="BI297"/>
  <c r="BI296"/>
  <c r="BI295"/>
  <c r="BI294"/>
  <c r="BI293"/>
  <c r="BI292"/>
  <c r="BI291"/>
  <c r="BI290"/>
  <c r="BI289"/>
  <c r="BI288"/>
  <c r="BI287"/>
  <c r="BI286"/>
  <c r="BI285"/>
  <c r="BI280"/>
  <c r="BI284"/>
  <c r="BI283"/>
  <c r="BI282"/>
  <c r="BI281"/>
  <c r="BI279"/>
  <c r="BI278"/>
  <c r="BI277"/>
  <c r="BI276"/>
  <c r="BI275"/>
  <c r="BI274"/>
  <c r="BI273"/>
  <c r="BI272"/>
  <c r="BI271"/>
  <c r="BI270"/>
  <c r="BI269"/>
  <c r="BI268"/>
  <c r="BI267"/>
  <c r="BI266"/>
  <c r="BI265"/>
  <c r="BI264"/>
  <c r="BI263"/>
  <c r="BI262"/>
  <c r="BI261"/>
  <c r="BI260"/>
  <c r="BI259"/>
  <c r="BI258"/>
  <c r="BI257"/>
  <c r="BI256"/>
  <c r="BI255"/>
  <c r="BI254"/>
  <c r="BI253"/>
  <c r="BI252"/>
  <c r="BI251"/>
  <c r="BI250"/>
  <c r="BI249"/>
  <c r="BI248"/>
  <c r="BI247"/>
  <c r="BI246"/>
  <c r="BI245"/>
  <c r="BI244"/>
  <c r="BI243"/>
  <c r="BI242"/>
  <c r="BI241"/>
  <c r="BI240"/>
  <c r="BI238"/>
  <c r="BI237"/>
  <c r="BI236"/>
  <c r="BI235"/>
  <c r="BI234"/>
  <c r="BI233"/>
  <c r="BI232"/>
  <c r="BI231"/>
  <c r="BI230"/>
  <c r="BI229"/>
  <c r="BI228"/>
  <c r="BI227"/>
  <c r="BI226"/>
  <c r="BI225"/>
  <c r="BI224"/>
  <c r="BI223"/>
  <c r="BI222"/>
  <c r="BI221"/>
  <c r="BI220"/>
  <c r="BI219"/>
  <c r="BI218"/>
  <c r="BI217"/>
  <c r="BI216"/>
  <c r="BI215"/>
  <c r="BI214"/>
  <c r="BI213"/>
  <c r="BI212"/>
  <c r="BI208"/>
  <c r="BI204"/>
  <c r="BI202"/>
  <c r="BI200"/>
  <c r="BI198"/>
  <c r="BI195"/>
  <c r="BI194"/>
  <c r="BI191"/>
  <c r="BI190"/>
  <c r="BI187"/>
  <c r="BI186"/>
  <c r="BI185"/>
  <c r="BI184"/>
  <c r="BI183"/>
  <c r="BI182"/>
  <c r="BI181"/>
  <c r="BI180"/>
  <c r="BI179"/>
  <c r="BI178"/>
  <c r="BI177"/>
  <c r="BI176"/>
  <c r="BI175"/>
  <c r="BI174"/>
  <c r="BI173"/>
  <c r="BI172"/>
  <c r="BI171"/>
  <c r="BI170"/>
  <c r="BI169"/>
  <c r="BI168"/>
  <c r="BI167"/>
  <c r="BI166"/>
  <c r="BI165"/>
  <c r="BI164"/>
  <c r="BI163"/>
  <c r="BI162"/>
  <c r="BI161"/>
  <c r="BI160"/>
  <c r="BI159"/>
  <c r="BI158"/>
  <c r="BI157"/>
  <c r="BI156"/>
  <c r="BI155"/>
  <c r="BI154"/>
  <c r="BI153"/>
  <c r="BI152"/>
  <c r="BI144"/>
  <c r="BI151"/>
  <c r="BI150"/>
  <c r="BI149"/>
  <c r="BI148"/>
  <c r="BI147"/>
  <c r="BI146"/>
  <c r="BI145"/>
  <c r="BI143"/>
  <c r="BI142"/>
  <c r="BI141"/>
  <c r="BI140"/>
  <c r="BI139"/>
  <c r="BI138"/>
  <c r="BI137"/>
  <c r="BI136"/>
  <c r="BI135"/>
  <c r="BI134"/>
  <c r="BI133"/>
  <c r="BI132"/>
  <c r="BI131"/>
  <c r="BI130"/>
  <c r="BI129"/>
  <c r="BI128"/>
  <c r="BI127"/>
  <c r="BI126"/>
  <c r="BI125"/>
  <c r="BI124"/>
  <c r="BI123"/>
  <c r="BI122"/>
  <c r="BI121"/>
  <c r="BI120"/>
  <c r="BI119"/>
  <c r="BI118"/>
  <c r="BI108"/>
  <c r="BI97"/>
  <c r="BI117"/>
  <c r="BI116"/>
  <c r="BI115"/>
  <c r="BI114"/>
  <c r="BI113"/>
  <c r="BI112"/>
  <c r="BI111"/>
  <c r="BI110"/>
  <c r="BI109"/>
  <c r="BI107"/>
  <c r="BI106"/>
  <c r="BI105"/>
  <c r="BI104"/>
  <c r="BI103"/>
  <c r="BI102"/>
  <c r="BI101"/>
  <c r="BI100"/>
  <c r="BI99"/>
  <c r="BI98"/>
  <c r="BI96"/>
  <c r="BI95"/>
  <c r="BI94"/>
  <c r="BI93"/>
  <c r="BI92"/>
  <c r="BI90"/>
  <c r="BI89"/>
  <c r="BI88"/>
  <c r="BI87"/>
  <c r="BI86"/>
  <c r="BI85"/>
  <c r="BI84"/>
  <c r="BI78"/>
  <c r="BI77"/>
  <c r="BI76"/>
  <c r="BI75"/>
  <c r="BI74"/>
  <c r="BI73"/>
  <c r="BI72"/>
  <c r="BI71"/>
  <c r="BI70"/>
  <c r="BI69"/>
  <c r="BI68"/>
  <c r="BI67"/>
  <c r="BI66"/>
  <c r="BI65"/>
  <c r="BI64"/>
  <c r="BI63"/>
  <c r="BI62"/>
  <c r="BI61"/>
  <c r="BI60"/>
  <c r="BI59"/>
  <c r="BI58"/>
  <c r="BI57"/>
  <c r="BI55"/>
  <c r="BI56"/>
  <c r="BI54"/>
  <c r="BI53"/>
  <c r="BI52"/>
  <c r="BI51"/>
  <c r="BI50"/>
  <c r="BI49"/>
  <c r="BI48"/>
  <c r="BI47"/>
  <c r="BI46"/>
  <c r="BI45"/>
  <c r="BI44"/>
  <c r="BI43"/>
  <c r="BI42"/>
  <c r="BI41"/>
  <c r="BI40"/>
  <c r="BI39"/>
  <c r="BI38"/>
  <c r="BI37"/>
  <c r="BI36"/>
  <c r="BI35"/>
  <c r="BI34"/>
  <c r="BI33"/>
  <c r="BI32"/>
  <c r="BI31"/>
  <c r="BI30"/>
  <c r="BI29"/>
  <c r="BI28"/>
  <c r="BI27"/>
  <c r="BI26"/>
  <c r="BI25"/>
  <c r="BI24"/>
  <c r="BI23"/>
  <c r="BI22"/>
  <c r="BI21"/>
  <c r="BI20"/>
  <c r="BI19"/>
  <c r="BI18"/>
  <c r="BI17"/>
  <c r="BI16"/>
  <c r="BI15"/>
  <c r="BI14"/>
  <c r="BI13"/>
  <c r="BI12"/>
  <c r="BI11"/>
  <c r="BI10"/>
  <c r="BI9"/>
  <c r="BF717"/>
  <c r="BF716"/>
  <c r="BF715"/>
  <c r="BF714"/>
  <c r="BF713"/>
  <c r="BF712"/>
  <c r="BF711"/>
  <c r="BF710"/>
  <c r="BF709"/>
  <c r="BF708"/>
  <c r="BF707"/>
  <c r="BF706"/>
  <c r="BF705"/>
  <c r="BF704"/>
  <c r="BF703"/>
  <c r="BF702"/>
  <c r="BF701"/>
  <c r="BF700"/>
  <c r="BF699"/>
  <c r="BF698"/>
  <c r="BF697"/>
  <c r="BF695"/>
  <c r="BF694"/>
  <c r="BF693"/>
  <c r="BF692"/>
  <c r="BF691"/>
  <c r="BF689"/>
  <c r="BF688"/>
  <c r="BF687"/>
  <c r="BF686"/>
  <c r="BF685"/>
  <c r="BF684"/>
  <c r="BF683"/>
  <c r="BF690"/>
  <c r="BF682"/>
  <c r="BF681"/>
  <c r="BF680"/>
  <c r="BF679"/>
  <c r="BF678"/>
  <c r="BF677"/>
  <c r="BF676"/>
  <c r="BF675"/>
  <c r="BF674"/>
  <c r="BF673"/>
  <c r="BF672"/>
  <c r="BF671"/>
  <c r="BF670"/>
  <c r="BF669"/>
  <c r="BF668"/>
  <c r="BF667"/>
  <c r="BF666"/>
  <c r="BF665"/>
  <c r="BF664"/>
  <c r="BF663"/>
  <c r="BF662"/>
  <c r="BF658"/>
  <c r="BF661"/>
  <c r="BF660"/>
  <c r="BF659"/>
  <c r="BF657"/>
  <c r="BF656"/>
  <c r="BF655"/>
  <c r="BF654"/>
  <c r="BF653"/>
  <c r="BF652"/>
  <c r="BF651"/>
  <c r="BF650"/>
  <c r="BF649"/>
  <c r="BF648"/>
  <c r="BF647"/>
  <c r="BF646"/>
  <c r="BF645"/>
  <c r="BF644"/>
  <c r="BF643"/>
  <c r="BF642"/>
  <c r="BF641"/>
  <c r="BF640"/>
  <c r="BF639"/>
  <c r="BF638"/>
  <c r="BF637"/>
  <c r="BF636"/>
  <c r="BF635"/>
  <c r="BF634"/>
  <c r="BF633"/>
  <c r="BF632"/>
  <c r="BF631"/>
  <c r="BF630"/>
  <c r="BF629"/>
  <c r="BF628"/>
  <c r="BF627"/>
  <c r="BF626"/>
  <c r="BF625"/>
  <c r="BF624"/>
  <c r="BF623"/>
  <c r="BF622"/>
  <c r="BF621"/>
  <c r="BF620"/>
  <c r="BF619"/>
  <c r="BF618"/>
  <c r="BF617"/>
  <c r="BF616"/>
  <c r="BF615"/>
  <c r="BF614"/>
  <c r="BF613"/>
  <c r="BF612"/>
  <c r="BF611"/>
  <c r="BF610"/>
  <c r="BF609"/>
  <c r="BF608"/>
  <c r="BF607"/>
  <c r="BF606"/>
  <c r="BF605"/>
  <c r="BF604"/>
  <c r="BF603"/>
  <c r="BF602"/>
  <c r="BF601"/>
  <c r="BF600"/>
  <c r="BF599"/>
  <c r="BF598"/>
  <c r="BF597"/>
  <c r="BF596"/>
  <c r="BF595"/>
  <c r="BF594"/>
  <c r="BF593"/>
  <c r="BF592"/>
  <c r="BF591"/>
  <c r="BF590"/>
  <c r="BF589"/>
  <c r="BF588"/>
  <c r="BF587"/>
  <c r="BF586"/>
  <c r="BF585"/>
  <c r="BF584"/>
  <c r="BF583"/>
  <c r="BF582"/>
  <c r="BF581"/>
  <c r="BF580"/>
  <c r="BF579"/>
  <c r="BF578"/>
  <c r="BF563"/>
  <c r="BF577"/>
  <c r="BF576"/>
  <c r="BF575"/>
  <c r="BF574"/>
  <c r="BF573"/>
  <c r="BF572"/>
  <c r="BF571"/>
  <c r="BF570"/>
  <c r="BF569"/>
  <c r="BF568"/>
  <c r="BF567"/>
  <c r="BF566"/>
  <c r="BF565"/>
  <c r="BF564"/>
  <c r="BF559"/>
  <c r="BF562"/>
  <c r="BF561"/>
  <c r="BF560"/>
  <c r="BF558"/>
  <c r="BF557"/>
  <c r="BF556"/>
  <c r="BF555"/>
  <c r="BF554"/>
  <c r="BF553"/>
  <c r="BF552"/>
  <c r="BF551"/>
  <c r="BF550"/>
  <c r="BF549"/>
  <c r="BF548"/>
  <c r="BF547"/>
  <c r="BF546"/>
  <c r="BF545"/>
  <c r="BF544"/>
  <c r="BF543"/>
  <c r="BF542"/>
  <c r="BF541"/>
  <c r="BF540"/>
  <c r="BF539"/>
  <c r="BF538"/>
  <c r="BF537"/>
  <c r="BF536"/>
  <c r="BF535"/>
  <c r="BF534"/>
  <c r="BF533"/>
  <c r="BF532"/>
  <c r="BF531"/>
  <c r="BF530"/>
  <c r="BF529"/>
  <c r="BF528"/>
  <c r="BF527"/>
  <c r="BF526"/>
  <c r="BF525"/>
  <c r="BF524"/>
  <c r="BF523"/>
  <c r="BF522"/>
  <c r="BF521"/>
  <c r="BF520"/>
  <c r="BF519"/>
  <c r="BF518"/>
  <c r="BF517"/>
  <c r="BF516"/>
  <c r="BF515"/>
  <c r="BF514"/>
  <c r="BF513"/>
  <c r="BF512"/>
  <c r="BF511"/>
  <c r="BF510"/>
  <c r="BF509"/>
  <c r="BF508"/>
  <c r="BF507"/>
  <c r="BF506"/>
  <c r="BF505"/>
  <c r="BF504"/>
  <c r="BF503"/>
  <c r="BF502"/>
  <c r="BF501"/>
  <c r="BF500"/>
  <c r="BF499"/>
  <c r="BF498"/>
  <c r="BF497"/>
  <c r="BF496"/>
  <c r="BF495"/>
  <c r="BF494"/>
  <c r="BF493"/>
  <c r="BF492"/>
  <c r="BF491"/>
  <c r="BF490"/>
  <c r="BF489"/>
  <c r="BF488"/>
  <c r="BF487"/>
  <c r="BF486"/>
  <c r="BF485"/>
  <c r="BF484"/>
  <c r="BF483"/>
  <c r="BF482"/>
  <c r="BF481"/>
  <c r="BF480"/>
  <c r="BF479"/>
  <c r="BF478"/>
  <c r="BF477"/>
  <c r="BF476"/>
  <c r="BF475"/>
  <c r="BF474"/>
  <c r="BF473"/>
  <c r="BF472"/>
  <c r="BF471"/>
  <c r="BF470"/>
  <c r="BF469"/>
  <c r="BF468"/>
  <c r="BF467"/>
  <c r="BF466"/>
  <c r="BF465"/>
  <c r="BF464"/>
  <c r="BF463"/>
  <c r="BF462"/>
  <c r="BF461"/>
  <c r="BF460"/>
  <c r="BF459"/>
  <c r="BF458"/>
  <c r="BF457"/>
  <c r="BF456"/>
  <c r="BF455"/>
  <c r="BF454"/>
  <c r="BF453"/>
  <c r="BF452"/>
  <c r="BF451"/>
  <c r="BF450"/>
  <c r="BF449"/>
  <c r="BF448"/>
  <c r="BF447"/>
  <c r="BF446"/>
  <c r="BF445"/>
  <c r="BF444"/>
  <c r="BF443"/>
  <c r="BF442"/>
  <c r="BF441"/>
  <c r="BF440"/>
  <c r="BF439"/>
  <c r="BF438"/>
  <c r="BF437"/>
  <c r="BF436"/>
  <c r="BF435"/>
  <c r="BF434"/>
  <c r="BF433"/>
  <c r="BF432"/>
  <c r="BF431"/>
  <c r="BF430"/>
  <c r="BF429"/>
  <c r="BF428"/>
  <c r="BF427"/>
  <c r="BF426"/>
  <c r="BF425"/>
  <c r="BF424"/>
  <c r="BF423"/>
  <c r="BF422"/>
  <c r="BF421"/>
  <c r="BF420"/>
  <c r="BF419"/>
  <c r="BF418"/>
  <c r="BF414"/>
  <c r="BF417"/>
  <c r="BF416"/>
  <c r="BF415"/>
  <c r="BF413"/>
  <c r="BF412"/>
  <c r="BF411"/>
  <c r="BF410"/>
  <c r="BF409"/>
  <c r="BF408"/>
  <c r="BF407"/>
  <c r="BF406"/>
  <c r="BF405"/>
  <c r="BF404"/>
  <c r="BF403"/>
  <c r="BF402"/>
  <c r="BF401"/>
  <c r="BF400"/>
  <c r="BF399"/>
  <c r="BF398"/>
  <c r="BF397"/>
  <c r="BF396"/>
  <c r="BF395"/>
  <c r="BF369"/>
  <c r="BF394"/>
  <c r="BF393"/>
  <c r="BF392"/>
  <c r="BF391"/>
  <c r="BF390"/>
  <c r="BF389"/>
  <c r="BF387"/>
  <c r="BF386"/>
  <c r="BF385"/>
  <c r="BF384"/>
  <c r="BF383"/>
  <c r="BF382"/>
  <c r="BF381"/>
  <c r="BF380"/>
  <c r="BF379"/>
  <c r="BF378"/>
  <c r="BF377"/>
  <c r="BF376"/>
  <c r="BF375"/>
  <c r="BF374"/>
  <c r="BF373"/>
  <c r="BF372"/>
  <c r="BF371"/>
  <c r="BF370"/>
  <c r="BF368"/>
  <c r="BF367"/>
  <c r="BF366"/>
  <c r="BF365"/>
  <c r="BF364"/>
  <c r="BF363"/>
  <c r="BF362"/>
  <c r="BF361"/>
  <c r="BF360"/>
  <c r="BF359"/>
  <c r="BF358"/>
  <c r="BF357"/>
  <c r="BF356"/>
  <c r="BF388"/>
  <c r="BF355"/>
  <c r="BF354"/>
  <c r="BF353"/>
  <c r="BF352"/>
  <c r="BF351"/>
  <c r="BF350"/>
  <c r="BF349"/>
  <c r="BF348"/>
  <c r="BF347"/>
  <c r="BF346"/>
  <c r="BF345"/>
  <c r="BF344"/>
  <c r="BF343"/>
  <c r="BF342"/>
  <c r="BF341"/>
  <c r="BF340"/>
  <c r="BF339"/>
  <c r="BF338"/>
  <c r="BF337"/>
  <c r="BF336"/>
  <c r="BF335"/>
  <c r="BF334"/>
  <c r="BF333"/>
  <c r="BF332"/>
  <c r="BF331"/>
  <c r="BF330"/>
  <c r="BF329"/>
  <c r="BF328"/>
  <c r="BF327"/>
  <c r="BF326"/>
  <c r="BF325"/>
  <c r="BF324"/>
  <c r="BF323"/>
  <c r="BF322"/>
  <c r="BF321"/>
  <c r="BF320"/>
  <c r="BF319"/>
  <c r="BF318"/>
  <c r="BF317"/>
  <c r="BF316"/>
  <c r="BF315"/>
  <c r="BF314"/>
  <c r="BF313"/>
  <c r="BF312"/>
  <c r="BF311"/>
  <c r="BF310"/>
  <c r="BF309"/>
  <c r="BF308"/>
  <c r="BF307"/>
  <c r="BF306"/>
  <c r="BF305"/>
  <c r="BF304"/>
  <c r="BF303"/>
  <c r="BF302"/>
  <c r="BF301"/>
  <c r="BF300"/>
  <c r="BF299"/>
  <c r="BF298"/>
  <c r="BF297"/>
  <c r="BF296"/>
  <c r="BF295"/>
  <c r="BF294"/>
  <c r="BF293"/>
  <c r="BF292"/>
  <c r="BF291"/>
  <c r="BF290"/>
  <c r="BF289"/>
  <c r="BF288"/>
  <c r="BF287"/>
  <c r="BF286"/>
  <c r="BF285"/>
  <c r="BF280"/>
  <c r="BF284"/>
  <c r="BF283"/>
  <c r="BF282"/>
  <c r="BF281"/>
  <c r="BF279"/>
  <c r="BF278"/>
  <c r="BF277"/>
  <c r="BF276"/>
  <c r="BF275"/>
  <c r="BF274"/>
  <c r="BF273"/>
  <c r="BF272"/>
  <c r="BF271"/>
  <c r="BF270"/>
  <c r="BF269"/>
  <c r="BF268"/>
  <c r="BF267"/>
  <c r="BF266"/>
  <c r="BF265"/>
  <c r="BF264"/>
  <c r="BF263"/>
  <c r="BF262"/>
  <c r="BF261"/>
  <c r="BF260"/>
  <c r="BF259"/>
  <c r="BF258"/>
  <c r="BF257"/>
  <c r="BF256"/>
  <c r="BF255"/>
  <c r="BF254"/>
  <c r="BF253"/>
  <c r="BF252"/>
  <c r="BF251"/>
  <c r="BF250"/>
  <c r="BF249"/>
  <c r="BF248"/>
  <c r="BF247"/>
  <c r="BF246"/>
  <c r="BF245"/>
  <c r="BF244"/>
  <c r="BF243"/>
  <c r="BF242"/>
  <c r="BF241"/>
  <c r="BF240"/>
  <c r="BF239"/>
  <c r="BF238"/>
  <c r="BF237"/>
  <c r="BF236"/>
  <c r="BF235"/>
  <c r="BF234"/>
  <c r="BF233"/>
  <c r="BF232"/>
  <c r="BF231"/>
  <c r="BF230"/>
  <c r="BF229"/>
  <c r="BF228"/>
  <c r="BF227"/>
  <c r="BF226"/>
  <c r="BF225"/>
  <c r="BF224"/>
  <c r="BF223"/>
  <c r="BF222"/>
  <c r="BF221"/>
  <c r="BF220"/>
  <c r="BF219"/>
  <c r="BF218"/>
  <c r="BF217"/>
  <c r="BF216"/>
  <c r="BF215"/>
  <c r="BF214"/>
  <c r="BF213"/>
  <c r="BF212"/>
  <c r="BF209"/>
  <c r="BF208"/>
  <c r="BF202"/>
  <c r="BF201"/>
  <c r="BF200"/>
  <c r="BF195"/>
  <c r="BF194"/>
  <c r="BF192"/>
  <c r="BF191"/>
  <c r="BF187"/>
  <c r="BF186"/>
  <c r="BF185"/>
  <c r="BF184"/>
  <c r="BF183"/>
  <c r="BF182"/>
  <c r="BF181"/>
  <c r="BF180"/>
  <c r="BF179"/>
  <c r="BF178"/>
  <c r="BF177"/>
  <c r="BF176"/>
  <c r="BF175"/>
  <c r="BF174"/>
  <c r="BF173"/>
  <c r="BF172"/>
  <c r="BF171"/>
  <c r="BF170"/>
  <c r="BF169"/>
  <c r="BF168"/>
  <c r="BF167"/>
  <c r="BF166"/>
  <c r="BF165"/>
  <c r="BF164"/>
  <c r="BF163"/>
  <c r="BF162"/>
  <c r="BF161"/>
  <c r="BF160"/>
  <c r="BF159"/>
  <c r="BF158"/>
  <c r="BF157"/>
  <c r="BF156"/>
  <c r="BF155"/>
  <c r="BF154"/>
  <c r="BF153"/>
  <c r="BF152"/>
  <c r="BF144"/>
  <c r="BF151"/>
  <c r="BF150"/>
  <c r="BF149"/>
  <c r="BF148"/>
  <c r="BF147"/>
  <c r="BF146"/>
  <c r="BF145"/>
  <c r="BF143"/>
  <c r="BF142"/>
  <c r="BF141"/>
  <c r="BF140"/>
  <c r="BF139"/>
  <c r="BF138"/>
  <c r="BF137"/>
  <c r="BF136"/>
  <c r="BF135"/>
  <c r="BF134"/>
  <c r="BF133"/>
  <c r="BF132"/>
  <c r="BF131"/>
  <c r="BF130"/>
  <c r="BF129"/>
  <c r="BF128"/>
  <c r="BF127"/>
  <c r="BF126"/>
  <c r="BF125"/>
  <c r="BF124"/>
  <c r="BF123"/>
  <c r="BF122"/>
  <c r="BF121"/>
  <c r="BF120"/>
  <c r="BF119"/>
  <c r="BF118"/>
  <c r="BF108"/>
  <c r="BF97"/>
  <c r="BF117"/>
  <c r="BF116"/>
  <c r="BF115"/>
  <c r="BF114"/>
  <c r="BF113"/>
  <c r="BF112"/>
  <c r="BF111"/>
  <c r="BF110"/>
  <c r="BF109"/>
  <c r="BF107"/>
  <c r="BF106"/>
  <c r="BF105"/>
  <c r="BF104"/>
  <c r="BF103"/>
  <c r="BF102"/>
  <c r="BF101"/>
  <c r="BF100"/>
  <c r="BF99"/>
  <c r="BF98"/>
  <c r="BF96"/>
  <c r="BF95"/>
  <c r="BF94"/>
  <c r="BF93"/>
  <c r="BF92"/>
  <c r="BF91"/>
  <c r="BF90"/>
  <c r="BF89"/>
  <c r="BF88"/>
  <c r="BF87"/>
  <c r="BF86"/>
  <c r="BF85"/>
  <c r="BF84"/>
  <c r="BF78"/>
  <c r="BF77"/>
  <c r="BF76"/>
  <c r="BF75"/>
  <c r="BF74"/>
  <c r="BF73"/>
  <c r="BF72"/>
  <c r="BF71"/>
  <c r="BF70"/>
  <c r="BF69"/>
  <c r="BF68"/>
  <c r="BF67"/>
  <c r="BF66"/>
  <c r="BF65"/>
  <c r="BF64"/>
  <c r="BF63"/>
  <c r="BF62"/>
  <c r="BF61"/>
  <c r="BF60"/>
  <c r="BF59"/>
  <c r="BF58"/>
  <c r="BF57"/>
  <c r="BF55"/>
  <c r="BF56"/>
  <c r="BF54"/>
  <c r="BF53"/>
  <c r="BF52"/>
  <c r="BF51"/>
  <c r="BF50"/>
  <c r="BF49"/>
  <c r="BF48"/>
  <c r="BF47"/>
  <c r="BF46"/>
  <c r="BF45"/>
  <c r="BF44"/>
  <c r="BF43"/>
  <c r="BF42"/>
  <c r="BF41"/>
  <c r="BF40"/>
  <c r="BF39"/>
  <c r="BF38"/>
  <c r="BF37"/>
  <c r="BF36"/>
  <c r="BF35"/>
  <c r="BF34"/>
  <c r="BF33"/>
  <c r="BF32"/>
  <c r="BF31"/>
  <c r="BF30"/>
  <c r="BF29"/>
  <c r="BF28"/>
  <c r="BF27"/>
  <c r="BF26"/>
  <c r="BF25"/>
  <c r="BF24"/>
  <c r="BF23"/>
  <c r="BF22"/>
  <c r="BF21"/>
  <c r="BF20"/>
  <c r="BF19"/>
  <c r="BF18"/>
  <c r="BF17"/>
  <c r="BF16"/>
  <c r="BF15"/>
  <c r="BF14"/>
  <c r="BF13"/>
  <c r="BF12"/>
  <c r="BF11"/>
  <c r="BF10"/>
  <c r="BF9"/>
  <c r="BC717"/>
  <c r="BC716"/>
  <c r="BC715"/>
  <c r="BC714"/>
  <c r="BC713"/>
  <c r="BC712"/>
  <c r="BC711"/>
  <c r="BC710"/>
  <c r="BC709"/>
  <c r="BC708"/>
  <c r="BC707"/>
  <c r="BC706"/>
  <c r="BC705"/>
  <c r="BC704"/>
  <c r="BC703"/>
  <c r="BC702"/>
  <c r="BC701"/>
  <c r="BC700"/>
  <c r="BC699"/>
  <c r="BC698"/>
  <c r="BC697"/>
  <c r="BC695"/>
  <c r="BC694"/>
  <c r="BC693"/>
  <c r="BC692"/>
  <c r="BC691"/>
  <c r="BC689"/>
  <c r="BC688"/>
  <c r="BC687"/>
  <c r="BC686"/>
  <c r="BC685"/>
  <c r="BC684"/>
  <c r="BC683"/>
  <c r="BC690"/>
  <c r="BC682"/>
  <c r="BC681"/>
  <c r="BC680"/>
  <c r="BC679"/>
  <c r="BC678"/>
  <c r="BC677"/>
  <c r="BC676"/>
  <c r="BC675"/>
  <c r="BC674"/>
  <c r="BC673"/>
  <c r="BC672"/>
  <c r="BC671"/>
  <c r="BC670"/>
  <c r="BC669"/>
  <c r="BC668"/>
  <c r="BC667"/>
  <c r="BC666"/>
  <c r="BC665"/>
  <c r="BC664"/>
  <c r="BC663"/>
  <c r="BC662"/>
  <c r="BC658"/>
  <c r="BC661"/>
  <c r="BC660"/>
  <c r="BC659"/>
  <c r="BC657"/>
  <c r="BC656"/>
  <c r="BC655"/>
  <c r="BC654"/>
  <c r="BC653"/>
  <c r="BC652"/>
  <c r="BC651"/>
  <c r="BC650"/>
  <c r="BC649"/>
  <c r="BC648"/>
  <c r="BC647"/>
  <c r="BC646"/>
  <c r="BC645"/>
  <c r="BC644"/>
  <c r="BC643"/>
  <c r="BC642"/>
  <c r="BC641"/>
  <c r="BC640"/>
  <c r="BC639"/>
  <c r="BC638"/>
  <c r="BC637"/>
  <c r="BC636"/>
  <c r="BC635"/>
  <c r="BC634"/>
  <c r="BC633"/>
  <c r="BC632"/>
  <c r="BC631"/>
  <c r="BC630"/>
  <c r="BC629"/>
  <c r="BC628"/>
  <c r="BC627"/>
  <c r="BC626"/>
  <c r="BC625"/>
  <c r="BC624"/>
  <c r="BC623"/>
  <c r="BC622"/>
  <c r="BC621"/>
  <c r="BC620"/>
  <c r="BC619"/>
  <c r="BC618"/>
  <c r="BC617"/>
  <c r="BC616"/>
  <c r="BC615"/>
  <c r="BC614"/>
  <c r="BC613"/>
  <c r="BC612"/>
  <c r="BC611"/>
  <c r="BC610"/>
  <c r="BC609"/>
  <c r="BC608"/>
  <c r="BC607"/>
  <c r="BC606"/>
  <c r="BC605"/>
  <c r="BC604"/>
  <c r="BC603"/>
  <c r="BC602"/>
  <c r="BC601"/>
  <c r="BC600"/>
  <c r="BC599"/>
  <c r="BC598"/>
  <c r="BC597"/>
  <c r="BC596"/>
  <c r="BC595"/>
  <c r="BC594"/>
  <c r="BC593"/>
  <c r="BC592"/>
  <c r="BC591"/>
  <c r="BC590"/>
  <c r="BC589"/>
  <c r="BC588"/>
  <c r="BC587"/>
  <c r="BC586"/>
  <c r="BC585"/>
  <c r="BC584"/>
  <c r="BC583"/>
  <c r="BC582"/>
  <c r="BC581"/>
  <c r="BC580"/>
  <c r="BC579"/>
  <c r="BC578"/>
  <c r="BC563"/>
  <c r="BC577"/>
  <c r="BC576"/>
  <c r="BC575"/>
  <c r="BC574"/>
  <c r="BC573"/>
  <c r="BC572"/>
  <c r="BC571"/>
  <c r="BC570"/>
  <c r="BC569"/>
  <c r="BC568"/>
  <c r="BC567"/>
  <c r="BC566"/>
  <c r="BC565"/>
  <c r="BC564"/>
  <c r="BC559"/>
  <c r="BC562"/>
  <c r="BC561"/>
  <c r="BC560"/>
  <c r="BC558"/>
  <c r="BC557"/>
  <c r="BC556"/>
  <c r="BC555"/>
  <c r="BC554"/>
  <c r="BC553"/>
  <c r="BC552"/>
  <c r="BC551"/>
  <c r="BC550"/>
  <c r="BC549"/>
  <c r="BC548"/>
  <c r="BC547"/>
  <c r="BC546"/>
  <c r="BC545"/>
  <c r="BC544"/>
  <c r="BC543"/>
  <c r="BC542"/>
  <c r="BC541"/>
  <c r="BC540"/>
  <c r="BC539"/>
  <c r="BC538"/>
  <c r="BC537"/>
  <c r="BC536"/>
  <c r="BC535"/>
  <c r="BC534"/>
  <c r="BC533"/>
  <c r="BC532"/>
  <c r="BC531"/>
  <c r="BC530"/>
  <c r="BC529"/>
  <c r="BC528"/>
  <c r="BC527"/>
  <c r="BC526"/>
  <c r="BC525"/>
  <c r="BC524"/>
  <c r="BC523"/>
  <c r="BC522"/>
  <c r="BC521"/>
  <c r="BC520"/>
  <c r="BC519"/>
  <c r="BC518"/>
  <c r="BC517"/>
  <c r="BC516"/>
  <c r="BC515"/>
  <c r="BC514"/>
  <c r="BC513"/>
  <c r="BC512"/>
  <c r="BC511"/>
  <c r="BC510"/>
  <c r="BC509"/>
  <c r="BC508"/>
  <c r="BC507"/>
  <c r="BC506"/>
  <c r="BC505"/>
  <c r="BC504"/>
  <c r="BC503"/>
  <c r="BC502"/>
  <c r="BC501"/>
  <c r="BC500"/>
  <c r="BC499"/>
  <c r="BC498"/>
  <c r="BC497"/>
  <c r="BC496"/>
  <c r="BC495"/>
  <c r="BC494"/>
  <c r="BC493"/>
  <c r="BC492"/>
  <c r="BC491"/>
  <c r="BC490"/>
  <c r="BC489"/>
  <c r="BC488"/>
  <c r="BC487"/>
  <c r="BC486"/>
  <c r="BC485"/>
  <c r="BC484"/>
  <c r="BC483"/>
  <c r="BC482"/>
  <c r="BC481"/>
  <c r="BC480"/>
  <c r="BC479"/>
  <c r="BC478"/>
  <c r="BC477"/>
  <c r="BC476"/>
  <c r="BC475"/>
  <c r="BC474"/>
  <c r="BC473"/>
  <c r="BC472"/>
  <c r="BC471"/>
  <c r="BC470"/>
  <c r="BC469"/>
  <c r="BC468"/>
  <c r="BC467"/>
  <c r="BC466"/>
  <c r="BC465"/>
  <c r="BC464"/>
  <c r="BC463"/>
  <c r="BC462"/>
  <c r="BC461"/>
  <c r="BC460"/>
  <c r="BC459"/>
  <c r="BC458"/>
  <c r="BC457"/>
  <c r="BC456"/>
  <c r="BC455"/>
  <c r="BC454"/>
  <c r="BC453"/>
  <c r="BC452"/>
  <c r="BC451"/>
  <c r="BC450"/>
  <c r="BC449"/>
  <c r="BC448"/>
  <c r="BC447"/>
  <c r="BC446"/>
  <c r="BC445"/>
  <c r="BC444"/>
  <c r="BC443"/>
  <c r="BC442"/>
  <c r="BC441"/>
  <c r="BC440"/>
  <c r="BC439"/>
  <c r="BC438"/>
  <c r="BC437"/>
  <c r="BC436"/>
  <c r="BC435"/>
  <c r="BC434"/>
  <c r="BC433"/>
  <c r="BC432"/>
  <c r="BC431"/>
  <c r="BC430"/>
  <c r="BC429"/>
  <c r="BC428"/>
  <c r="BC427"/>
  <c r="BC426"/>
  <c r="BC425"/>
  <c r="BC424"/>
  <c r="BC423"/>
  <c r="BC422"/>
  <c r="BC421"/>
  <c r="BC420"/>
  <c r="BC419"/>
  <c r="BC418"/>
  <c r="BC414"/>
  <c r="BC417"/>
  <c r="BC416"/>
  <c r="BC415"/>
  <c r="BC413"/>
  <c r="BC412"/>
  <c r="BC411"/>
  <c r="BC410"/>
  <c r="BC409"/>
  <c r="BC408"/>
  <c r="BC407"/>
  <c r="BC406"/>
  <c r="BC405"/>
  <c r="BC404"/>
  <c r="BC403"/>
  <c r="BC402"/>
  <c r="BC401"/>
  <c r="BC400"/>
  <c r="BC399"/>
  <c r="BC398"/>
  <c r="BC397"/>
  <c r="BC396"/>
  <c r="BC395"/>
  <c r="BC369"/>
  <c r="BC394"/>
  <c r="BC393"/>
  <c r="BC392"/>
  <c r="BC391"/>
  <c r="BC390"/>
  <c r="BC389"/>
  <c r="BC387"/>
  <c r="BC386"/>
  <c r="BC385"/>
  <c r="BC384"/>
  <c r="BC383"/>
  <c r="BC382"/>
  <c r="BC381"/>
  <c r="BC380"/>
  <c r="BC379"/>
  <c r="BC378"/>
  <c r="BC377"/>
  <c r="BC376"/>
  <c r="BC375"/>
  <c r="BC374"/>
  <c r="BC373"/>
  <c r="BC372"/>
  <c r="BC371"/>
  <c r="BC370"/>
  <c r="BC368"/>
  <c r="BC367"/>
  <c r="BC366"/>
  <c r="BC365"/>
  <c r="BC364"/>
  <c r="BC363"/>
  <c r="BC362"/>
  <c r="BC361"/>
  <c r="BC360"/>
  <c r="BC359"/>
  <c r="BC358"/>
  <c r="BC357"/>
  <c r="BC356"/>
  <c r="BC388"/>
  <c r="BC355"/>
  <c r="BC354"/>
  <c r="BC353"/>
  <c r="BC352"/>
  <c r="BC351"/>
  <c r="BC350"/>
  <c r="BC349"/>
  <c r="BC348"/>
  <c r="BC347"/>
  <c r="BC346"/>
  <c r="BC345"/>
  <c r="BC344"/>
  <c r="BC343"/>
  <c r="BC342"/>
  <c r="BC341"/>
  <c r="BC340"/>
  <c r="BC339"/>
  <c r="BC338"/>
  <c r="BC337"/>
  <c r="BC336"/>
  <c r="BC335"/>
  <c r="BC334"/>
  <c r="BC333"/>
  <c r="BC332"/>
  <c r="BC331"/>
  <c r="BC330"/>
  <c r="BC329"/>
  <c r="BC328"/>
  <c r="BC327"/>
  <c r="BC326"/>
  <c r="BC325"/>
  <c r="BC324"/>
  <c r="BC323"/>
  <c r="BC322"/>
  <c r="BC321"/>
  <c r="BC320"/>
  <c r="BC319"/>
  <c r="BC318"/>
  <c r="BC317"/>
  <c r="BC316"/>
  <c r="BC315"/>
  <c r="BC314"/>
  <c r="BC313"/>
  <c r="BC312"/>
  <c r="BC311"/>
  <c r="BC310"/>
  <c r="BC309"/>
  <c r="BC308"/>
  <c r="BC307"/>
  <c r="BC306"/>
  <c r="BC305"/>
  <c r="BC304"/>
  <c r="BC303"/>
  <c r="BC302"/>
  <c r="BC301"/>
  <c r="BC300"/>
  <c r="BC299"/>
  <c r="BC298"/>
  <c r="BC297"/>
  <c r="BC296"/>
  <c r="BC295"/>
  <c r="BC294"/>
  <c r="BC293"/>
  <c r="BC292"/>
  <c r="BC291"/>
  <c r="BC290"/>
  <c r="BC289"/>
  <c r="BC288"/>
  <c r="BC287"/>
  <c r="BC286"/>
  <c r="BC285"/>
  <c r="BC280"/>
  <c r="BC284"/>
  <c r="BC283"/>
  <c r="BC282"/>
  <c r="BC281"/>
  <c r="BC279"/>
  <c r="BC278"/>
  <c r="BC277"/>
  <c r="BC276"/>
  <c r="BC275"/>
  <c r="BC274"/>
  <c r="BC273"/>
  <c r="BC272"/>
  <c r="BC271"/>
  <c r="BC270"/>
  <c r="BC269"/>
  <c r="BC268"/>
  <c r="BC267"/>
  <c r="BC266"/>
  <c r="BC265"/>
  <c r="BC264"/>
  <c r="BC263"/>
  <c r="BC262"/>
  <c r="BC261"/>
  <c r="BC260"/>
  <c r="BC259"/>
  <c r="BC258"/>
  <c r="BC257"/>
  <c r="BC256"/>
  <c r="BC255"/>
  <c r="BC254"/>
  <c r="BC253"/>
  <c r="BC252"/>
  <c r="BC251"/>
  <c r="BC250"/>
  <c r="BC249"/>
  <c r="BC248"/>
  <c r="BC247"/>
  <c r="BC246"/>
  <c r="BC245"/>
  <c r="BC244"/>
  <c r="BC243"/>
  <c r="BC242"/>
  <c r="BC241"/>
  <c r="BC240"/>
  <c r="BC239"/>
  <c r="BC238"/>
  <c r="BC237"/>
  <c r="BC236"/>
  <c r="BC235"/>
  <c r="BC234"/>
  <c r="BC233"/>
  <c r="BC232"/>
  <c r="BC231"/>
  <c r="BC230"/>
  <c r="BC229"/>
  <c r="BC228"/>
  <c r="BC227"/>
  <c r="BC226"/>
  <c r="BC225"/>
  <c r="BC224"/>
  <c r="BC223"/>
  <c r="BC222"/>
  <c r="BC221"/>
  <c r="BC220"/>
  <c r="BC219"/>
  <c r="BC218"/>
  <c r="BC217"/>
  <c r="BC216"/>
  <c r="BC215"/>
  <c r="BC214"/>
  <c r="BC213"/>
  <c r="BC212"/>
  <c r="BC209"/>
  <c r="BC208"/>
  <c r="BC202"/>
  <c r="BC200"/>
  <c r="BC192"/>
  <c r="BC191"/>
  <c r="BC187"/>
  <c r="BC186"/>
  <c r="BC185"/>
  <c r="BC184"/>
  <c r="BC183"/>
  <c r="BC182"/>
  <c r="BC181"/>
  <c r="BC180"/>
  <c r="BC179"/>
  <c r="BC178"/>
  <c r="BC177"/>
  <c r="BC176"/>
  <c r="BC175"/>
  <c r="BC174"/>
  <c r="BC173"/>
  <c r="BC172"/>
  <c r="BC171"/>
  <c r="BC170"/>
  <c r="BC169"/>
  <c r="BC168"/>
  <c r="BC167"/>
  <c r="BC166"/>
  <c r="BC165"/>
  <c r="BC164"/>
  <c r="BC163"/>
  <c r="BC162"/>
  <c r="BC161"/>
  <c r="BC160"/>
  <c r="BC159"/>
  <c r="BC158"/>
  <c r="BC157"/>
  <c r="BC156"/>
  <c r="BC155"/>
  <c r="BC154"/>
  <c r="BC153"/>
  <c r="BC152"/>
  <c r="BC144"/>
  <c r="BC151"/>
  <c r="BC150"/>
  <c r="BC149"/>
  <c r="BC148"/>
  <c r="BC147"/>
  <c r="BC146"/>
  <c r="BC145"/>
  <c r="BC143"/>
  <c r="BC142"/>
  <c r="BC141"/>
  <c r="BC140"/>
  <c r="BC139"/>
  <c r="BC138"/>
  <c r="BC137"/>
  <c r="BC136"/>
  <c r="BC135"/>
  <c r="BC134"/>
  <c r="BC133"/>
  <c r="BC132"/>
  <c r="BC131"/>
  <c r="BC130"/>
  <c r="BC129"/>
  <c r="BC128"/>
  <c r="BC127"/>
  <c r="BC126"/>
  <c r="BC125"/>
  <c r="BC124"/>
  <c r="BC123"/>
  <c r="BC122"/>
  <c r="BC121"/>
  <c r="BC120"/>
  <c r="BC119"/>
  <c r="BC118"/>
  <c r="BC108"/>
  <c r="BC97"/>
  <c r="BC117"/>
  <c r="BC116"/>
  <c r="BC115"/>
  <c r="BC114"/>
  <c r="BC113"/>
  <c r="BC112"/>
  <c r="BC111"/>
  <c r="BC110"/>
  <c r="BC109"/>
  <c r="BC107"/>
  <c r="BC106"/>
  <c r="BC105"/>
  <c r="BC104"/>
  <c r="BC103"/>
  <c r="BC102"/>
  <c r="BC101"/>
  <c r="BC100"/>
  <c r="BC99"/>
  <c r="BC98"/>
  <c r="BC96"/>
  <c r="BC95"/>
  <c r="BC94"/>
  <c r="BC93"/>
  <c r="BC92"/>
  <c r="BC90"/>
  <c r="BC89"/>
  <c r="BC88"/>
  <c r="BC87"/>
  <c r="BC86"/>
  <c r="BC85"/>
  <c r="BC84"/>
  <c r="BC78"/>
  <c r="BC77"/>
  <c r="BC76"/>
  <c r="BC75"/>
  <c r="BC74"/>
  <c r="BC73"/>
  <c r="BC72"/>
  <c r="BC71"/>
  <c r="BC70"/>
  <c r="BC69"/>
  <c r="BC68"/>
  <c r="BC67"/>
  <c r="BC66"/>
  <c r="BC65"/>
  <c r="BC64"/>
  <c r="BC63"/>
  <c r="BC62"/>
  <c r="BC61"/>
  <c r="BC60"/>
  <c r="BC59"/>
  <c r="BC58"/>
  <c r="BC57"/>
  <c r="BC55"/>
  <c r="BC56"/>
  <c r="BC54"/>
  <c r="BC53"/>
  <c r="BC52"/>
  <c r="BC51"/>
  <c r="BC50"/>
  <c r="BC49"/>
  <c r="BC48"/>
  <c r="BC47"/>
  <c r="BC46"/>
  <c r="BC45"/>
  <c r="BC44"/>
  <c r="BC43"/>
  <c r="BC42"/>
  <c r="BC41"/>
  <c r="BC40"/>
  <c r="BC39"/>
  <c r="BC38"/>
  <c r="BC37"/>
  <c r="BC36"/>
  <c r="BC35"/>
  <c r="BC34"/>
  <c r="BC33"/>
  <c r="BC32"/>
  <c r="BC31"/>
  <c r="BC30"/>
  <c r="BC29"/>
  <c r="BC28"/>
  <c r="BC27"/>
  <c r="BC26"/>
  <c r="BC25"/>
  <c r="BC24"/>
  <c r="BC23"/>
  <c r="BC22"/>
  <c r="BC21"/>
  <c r="BC20"/>
  <c r="BC19"/>
  <c r="BC18"/>
  <c r="BC17"/>
  <c r="BC16"/>
  <c r="BC15"/>
  <c r="BC14"/>
  <c r="BC13"/>
  <c r="BC12"/>
  <c r="BC11"/>
  <c r="BC10"/>
  <c r="BC9"/>
  <c r="AZ717"/>
  <c r="AZ716"/>
  <c r="AZ715"/>
  <c r="AZ714"/>
  <c r="AZ713"/>
  <c r="AZ712"/>
  <c r="AZ711"/>
  <c r="AZ710"/>
  <c r="AZ709"/>
  <c r="AZ708"/>
  <c r="AZ707"/>
  <c r="AZ706"/>
  <c r="AZ705"/>
  <c r="AZ704"/>
  <c r="AZ703"/>
  <c r="AZ702"/>
  <c r="AZ701"/>
  <c r="AZ700"/>
  <c r="AZ699"/>
  <c r="AZ698"/>
  <c r="AZ697"/>
  <c r="AZ695"/>
  <c r="AZ694"/>
  <c r="AZ693"/>
  <c r="AZ692"/>
  <c r="AZ691"/>
  <c r="AZ689"/>
  <c r="AZ688"/>
  <c r="AZ687"/>
  <c r="AZ686"/>
  <c r="AZ685"/>
  <c r="AZ684"/>
  <c r="AZ683"/>
  <c r="AZ690"/>
  <c r="AZ682"/>
  <c r="AZ681"/>
  <c r="AZ680"/>
  <c r="AZ679"/>
  <c r="AZ678"/>
  <c r="AZ677"/>
  <c r="AZ676"/>
  <c r="AZ675"/>
  <c r="AZ674"/>
  <c r="AZ673"/>
  <c r="AZ672"/>
  <c r="AZ671"/>
  <c r="AZ670"/>
  <c r="AZ669"/>
  <c r="AZ668"/>
  <c r="AZ667"/>
  <c r="AZ666"/>
  <c r="AZ665"/>
  <c r="AZ664"/>
  <c r="AZ663"/>
  <c r="AZ662"/>
  <c r="AZ658"/>
  <c r="AZ661"/>
  <c r="AZ660"/>
  <c r="AZ659"/>
  <c r="AZ657"/>
  <c r="AZ656"/>
  <c r="AZ655"/>
  <c r="AZ654"/>
  <c r="AZ653"/>
  <c r="AZ652"/>
  <c r="AZ651"/>
  <c r="AZ650"/>
  <c r="AZ649"/>
  <c r="AZ648"/>
  <c r="AZ647"/>
  <c r="AZ646"/>
  <c r="AZ645"/>
  <c r="AZ644"/>
  <c r="AZ643"/>
  <c r="AZ642"/>
  <c r="AZ641"/>
  <c r="AZ640"/>
  <c r="AZ639"/>
  <c r="AZ638"/>
  <c r="AZ637"/>
  <c r="AZ636"/>
  <c r="AZ635"/>
  <c r="AZ634"/>
  <c r="AZ633"/>
  <c r="AZ632"/>
  <c r="AZ631"/>
  <c r="AZ630"/>
  <c r="AZ629"/>
  <c r="AZ628"/>
  <c r="AZ627"/>
  <c r="AZ626"/>
  <c r="AZ625"/>
  <c r="AZ624"/>
  <c r="AZ623"/>
  <c r="AZ622"/>
  <c r="AZ621"/>
  <c r="AZ620"/>
  <c r="AZ619"/>
  <c r="AZ618"/>
  <c r="AZ617"/>
  <c r="AZ616"/>
  <c r="AZ615"/>
  <c r="AZ614"/>
  <c r="AZ613"/>
  <c r="AZ612"/>
  <c r="AZ611"/>
  <c r="AZ610"/>
  <c r="AZ609"/>
  <c r="AZ608"/>
  <c r="AZ607"/>
  <c r="AZ606"/>
  <c r="AZ605"/>
  <c r="AZ604"/>
  <c r="AZ603"/>
  <c r="AZ602"/>
  <c r="AZ601"/>
  <c r="AZ600"/>
  <c r="AZ599"/>
  <c r="AZ598"/>
  <c r="AZ597"/>
  <c r="AZ596"/>
  <c r="AZ595"/>
  <c r="AZ594"/>
  <c r="AZ593"/>
  <c r="AZ592"/>
  <c r="AZ591"/>
  <c r="AZ590"/>
  <c r="AZ589"/>
  <c r="AZ588"/>
  <c r="AZ587"/>
  <c r="AZ586"/>
  <c r="AZ585"/>
  <c r="AZ584"/>
  <c r="AZ583"/>
  <c r="AZ582"/>
  <c r="AZ581"/>
  <c r="AZ580"/>
  <c r="AZ579"/>
  <c r="AZ578"/>
  <c r="AZ563"/>
  <c r="AZ577"/>
  <c r="AZ576"/>
  <c r="AZ575"/>
  <c r="AZ574"/>
  <c r="AZ573"/>
  <c r="AZ572"/>
  <c r="AZ571"/>
  <c r="AZ570"/>
  <c r="AZ569"/>
  <c r="AZ568"/>
  <c r="AZ567"/>
  <c r="AZ566"/>
  <c r="AZ565"/>
  <c r="AZ564"/>
  <c r="AZ559"/>
  <c r="AZ562"/>
  <c r="AZ561"/>
  <c r="AZ560"/>
  <c r="AZ558"/>
  <c r="AZ557"/>
  <c r="AZ556"/>
  <c r="AZ555"/>
  <c r="AZ554"/>
  <c r="AZ553"/>
  <c r="AZ552"/>
  <c r="AZ551"/>
  <c r="AZ550"/>
  <c r="AZ549"/>
  <c r="AZ548"/>
  <c r="AZ547"/>
  <c r="AZ546"/>
  <c r="AZ545"/>
  <c r="AZ544"/>
  <c r="AZ543"/>
  <c r="AZ542"/>
  <c r="AZ541"/>
  <c r="AZ540"/>
  <c r="AZ539"/>
  <c r="AZ538"/>
  <c r="AZ537"/>
  <c r="AZ536"/>
  <c r="AZ535"/>
  <c r="AZ534"/>
  <c r="AZ533"/>
  <c r="AZ532"/>
  <c r="AZ531"/>
  <c r="AZ530"/>
  <c r="AZ529"/>
  <c r="AZ528"/>
  <c r="AZ527"/>
  <c r="AZ526"/>
  <c r="AZ525"/>
  <c r="AZ524"/>
  <c r="AZ523"/>
  <c r="AZ522"/>
  <c r="AZ521"/>
  <c r="AZ520"/>
  <c r="AZ519"/>
  <c r="AZ518"/>
  <c r="AZ517"/>
  <c r="AZ516"/>
  <c r="AZ515"/>
  <c r="AZ514"/>
  <c r="AZ513"/>
  <c r="AZ512"/>
  <c r="AZ511"/>
  <c r="AZ510"/>
  <c r="AZ509"/>
  <c r="AZ508"/>
  <c r="AZ507"/>
  <c r="AZ506"/>
  <c r="AZ505"/>
  <c r="AZ504"/>
  <c r="AZ503"/>
  <c r="AZ502"/>
  <c r="AZ501"/>
  <c r="AZ500"/>
  <c r="AZ499"/>
  <c r="AZ498"/>
  <c r="AZ497"/>
  <c r="AZ496"/>
  <c r="AZ495"/>
  <c r="AZ494"/>
  <c r="AZ493"/>
  <c r="AZ492"/>
  <c r="AZ491"/>
  <c r="AZ490"/>
  <c r="AZ489"/>
  <c r="AZ488"/>
  <c r="AZ487"/>
  <c r="AZ486"/>
  <c r="AZ485"/>
  <c r="AZ484"/>
  <c r="AZ483"/>
  <c r="AZ482"/>
  <c r="AZ481"/>
  <c r="AZ480"/>
  <c r="AZ479"/>
  <c r="AZ478"/>
  <c r="AZ477"/>
  <c r="AZ476"/>
  <c r="AZ475"/>
  <c r="AZ474"/>
  <c r="AZ473"/>
  <c r="AZ472"/>
  <c r="AZ471"/>
  <c r="AZ470"/>
  <c r="AZ469"/>
  <c r="AZ468"/>
  <c r="AZ467"/>
  <c r="AZ466"/>
  <c r="AZ465"/>
  <c r="AZ464"/>
  <c r="AZ463"/>
  <c r="AZ462"/>
  <c r="AZ461"/>
  <c r="AZ460"/>
  <c r="AZ459"/>
  <c r="AZ458"/>
  <c r="AZ457"/>
  <c r="AZ456"/>
  <c r="AZ455"/>
  <c r="AZ454"/>
  <c r="AZ453"/>
  <c r="AZ452"/>
  <c r="AZ451"/>
  <c r="AZ450"/>
  <c r="AZ449"/>
  <c r="AZ448"/>
  <c r="AZ447"/>
  <c r="AZ446"/>
  <c r="AZ445"/>
  <c r="AZ444"/>
  <c r="AZ443"/>
  <c r="AZ442"/>
  <c r="AZ441"/>
  <c r="AZ440"/>
  <c r="AZ439"/>
  <c r="AZ438"/>
  <c r="AZ437"/>
  <c r="AZ436"/>
  <c r="AZ435"/>
  <c r="AZ434"/>
  <c r="AZ433"/>
  <c r="AZ432"/>
  <c r="AZ431"/>
  <c r="AZ430"/>
  <c r="AZ429"/>
  <c r="AZ428"/>
  <c r="AZ427"/>
  <c r="AZ426"/>
  <c r="AZ425"/>
  <c r="AZ424"/>
  <c r="AZ423"/>
  <c r="AZ422"/>
  <c r="AZ421"/>
  <c r="AZ420"/>
  <c r="AZ419"/>
  <c r="AZ418"/>
  <c r="AZ414"/>
  <c r="AZ417"/>
  <c r="AZ416"/>
  <c r="AZ415"/>
  <c r="AZ413"/>
  <c r="AZ412"/>
  <c r="AZ411"/>
  <c r="AZ410"/>
  <c r="AZ409"/>
  <c r="AZ408"/>
  <c r="AZ407"/>
  <c r="AZ406"/>
  <c r="AZ405"/>
  <c r="AZ404"/>
  <c r="AZ403"/>
  <c r="AZ402"/>
  <c r="AZ401"/>
  <c r="AZ400"/>
  <c r="AZ399"/>
  <c r="AZ398"/>
  <c r="AZ397"/>
  <c r="AZ396"/>
  <c r="AZ395"/>
  <c r="AZ369"/>
  <c r="AZ394"/>
  <c r="AZ393"/>
  <c r="AZ392"/>
  <c r="AZ391"/>
  <c r="AZ390"/>
  <c r="AZ389"/>
  <c r="AZ387"/>
  <c r="AZ386"/>
  <c r="AZ385"/>
  <c r="AZ384"/>
  <c r="AZ383"/>
  <c r="AZ382"/>
  <c r="AZ381"/>
  <c r="AZ380"/>
  <c r="AZ379"/>
  <c r="AZ378"/>
  <c r="AZ377"/>
  <c r="AZ376"/>
  <c r="AZ375"/>
  <c r="AZ374"/>
  <c r="AZ373"/>
  <c r="AZ372"/>
  <c r="AZ371"/>
  <c r="AZ370"/>
  <c r="AZ368"/>
  <c r="AZ367"/>
  <c r="AZ366"/>
  <c r="AZ365"/>
  <c r="AZ364"/>
  <c r="AZ363"/>
  <c r="AZ362"/>
  <c r="AZ361"/>
  <c r="AZ360"/>
  <c r="AZ359"/>
  <c r="AZ358"/>
  <c r="AZ357"/>
  <c r="AZ356"/>
  <c r="AZ388"/>
  <c r="AZ355"/>
  <c r="AZ354"/>
  <c r="AZ353"/>
  <c r="AZ352"/>
  <c r="AZ351"/>
  <c r="AZ350"/>
  <c r="AZ349"/>
  <c r="AZ348"/>
  <c r="AZ347"/>
  <c r="AZ346"/>
  <c r="AZ345"/>
  <c r="AZ344"/>
  <c r="AZ343"/>
  <c r="AZ342"/>
  <c r="AZ341"/>
  <c r="AZ340"/>
  <c r="AZ339"/>
  <c r="AZ338"/>
  <c r="AZ337"/>
  <c r="AZ336"/>
  <c r="AZ335"/>
  <c r="AZ334"/>
  <c r="AZ333"/>
  <c r="AZ332"/>
  <c r="AZ331"/>
  <c r="AZ330"/>
  <c r="AZ329"/>
  <c r="AZ328"/>
  <c r="AZ327"/>
  <c r="AZ326"/>
  <c r="AZ325"/>
  <c r="AZ324"/>
  <c r="AZ323"/>
  <c r="AZ322"/>
  <c r="AZ321"/>
  <c r="AZ320"/>
  <c r="AZ319"/>
  <c r="AZ318"/>
  <c r="AZ317"/>
  <c r="AZ316"/>
  <c r="AZ315"/>
  <c r="AZ314"/>
  <c r="AZ313"/>
  <c r="AZ312"/>
  <c r="AZ311"/>
  <c r="AZ310"/>
  <c r="AZ309"/>
  <c r="AZ308"/>
  <c r="AZ307"/>
  <c r="AZ306"/>
  <c r="AZ305"/>
  <c r="AZ304"/>
  <c r="AZ303"/>
  <c r="AZ302"/>
  <c r="AZ301"/>
  <c r="AZ300"/>
  <c r="AZ299"/>
  <c r="AZ298"/>
  <c r="AZ297"/>
  <c r="AZ296"/>
  <c r="AZ295"/>
  <c r="AZ294"/>
  <c r="AZ293"/>
  <c r="AZ292"/>
  <c r="AZ291"/>
  <c r="AZ290"/>
  <c r="AZ289"/>
  <c r="AZ288"/>
  <c r="AZ287"/>
  <c r="AZ286"/>
  <c r="AZ285"/>
  <c r="AZ280"/>
  <c r="AZ284"/>
  <c r="AZ283"/>
  <c r="AZ282"/>
  <c r="AZ281"/>
  <c r="AZ279"/>
  <c r="AZ278"/>
  <c r="AZ277"/>
  <c r="AZ276"/>
  <c r="AZ275"/>
  <c r="AZ274"/>
  <c r="AZ273"/>
  <c r="AZ272"/>
  <c r="AZ271"/>
  <c r="AZ270"/>
  <c r="AZ269"/>
  <c r="AZ268"/>
  <c r="AZ267"/>
  <c r="AZ266"/>
  <c r="AZ265"/>
  <c r="AZ264"/>
  <c r="AZ263"/>
  <c r="AZ262"/>
  <c r="AZ261"/>
  <c r="AZ260"/>
  <c r="AZ259"/>
  <c r="AZ258"/>
  <c r="AZ257"/>
  <c r="AZ256"/>
  <c r="AZ255"/>
  <c r="AZ254"/>
  <c r="AZ253"/>
  <c r="AZ252"/>
  <c r="AZ251"/>
  <c r="AZ250"/>
  <c r="AZ249"/>
  <c r="AZ248"/>
  <c r="AZ247"/>
  <c r="AZ246"/>
  <c r="AZ245"/>
  <c r="AZ244"/>
  <c r="AZ243"/>
  <c r="AZ242"/>
  <c r="AZ241"/>
  <c r="AZ240"/>
  <c r="AZ239"/>
  <c r="AZ238"/>
  <c r="AZ237"/>
  <c r="AZ236"/>
  <c r="AZ235"/>
  <c r="AZ234"/>
  <c r="AZ233"/>
  <c r="AZ232"/>
  <c r="AZ231"/>
  <c r="AZ230"/>
  <c r="AZ229"/>
  <c r="AZ228"/>
  <c r="AZ227"/>
  <c r="AZ226"/>
  <c r="AZ225"/>
  <c r="AZ224"/>
  <c r="AZ223"/>
  <c r="AZ222"/>
  <c r="AZ221"/>
  <c r="AZ220"/>
  <c r="AZ219"/>
  <c r="AZ218"/>
  <c r="AZ217"/>
  <c r="AZ216"/>
  <c r="AZ215"/>
  <c r="AZ214"/>
  <c r="AZ213"/>
  <c r="AZ212"/>
  <c r="AZ208"/>
  <c r="AZ204"/>
  <c r="AZ187"/>
  <c r="AZ186"/>
  <c r="AZ185"/>
  <c r="AZ184"/>
  <c r="AZ183"/>
  <c r="AZ182"/>
  <c r="AZ181"/>
  <c r="AZ180"/>
  <c r="AZ179"/>
  <c r="AZ178"/>
  <c r="AZ177"/>
  <c r="AZ176"/>
  <c r="AZ175"/>
  <c r="AZ174"/>
  <c r="AZ173"/>
  <c r="AZ172"/>
  <c r="AZ171"/>
  <c r="AZ170"/>
  <c r="AZ169"/>
  <c r="AZ168"/>
  <c r="AZ167"/>
  <c r="AZ166"/>
  <c r="AZ165"/>
  <c r="AZ164"/>
  <c r="AZ163"/>
  <c r="AZ162"/>
  <c r="AZ161"/>
  <c r="AZ160"/>
  <c r="AZ159"/>
  <c r="AZ158"/>
  <c r="AZ157"/>
  <c r="AZ156"/>
  <c r="AZ155"/>
  <c r="AZ154"/>
  <c r="AZ153"/>
  <c r="AZ152"/>
  <c r="AZ144"/>
  <c r="AZ151"/>
  <c r="AZ150"/>
  <c r="AZ149"/>
  <c r="AZ148"/>
  <c r="AZ147"/>
  <c r="AZ146"/>
  <c r="AZ145"/>
  <c r="AZ143"/>
  <c r="AZ142"/>
  <c r="AZ141"/>
  <c r="AZ140"/>
  <c r="AZ139"/>
  <c r="AZ138"/>
  <c r="AZ137"/>
  <c r="AZ136"/>
  <c r="AZ135"/>
  <c r="AZ134"/>
  <c r="AZ133"/>
  <c r="AZ132"/>
  <c r="AZ131"/>
  <c r="AZ130"/>
  <c r="AZ129"/>
  <c r="AZ128"/>
  <c r="AZ127"/>
  <c r="AZ126"/>
  <c r="AZ125"/>
  <c r="AZ124"/>
  <c r="AZ123"/>
  <c r="AZ122"/>
  <c r="AZ121"/>
  <c r="AZ120"/>
  <c r="AZ119"/>
  <c r="AZ118"/>
  <c r="AZ108"/>
  <c r="AZ97"/>
  <c r="AZ117"/>
  <c r="AZ116"/>
  <c r="AZ115"/>
  <c r="AZ114"/>
  <c r="AZ113"/>
  <c r="AZ112"/>
  <c r="AZ111"/>
  <c r="AZ110"/>
  <c r="AZ109"/>
  <c r="AZ107"/>
  <c r="AZ106"/>
  <c r="AZ105"/>
  <c r="AZ104"/>
  <c r="AZ103"/>
  <c r="AZ102"/>
  <c r="AZ101"/>
  <c r="AZ100"/>
  <c r="AZ99"/>
  <c r="AZ98"/>
  <c r="AZ96"/>
  <c r="AZ95"/>
  <c r="AZ94"/>
  <c r="AZ93"/>
  <c r="AZ92"/>
  <c r="AZ91"/>
  <c r="AZ90"/>
  <c r="AZ89"/>
  <c r="AZ88"/>
  <c r="AZ87"/>
  <c r="AZ86"/>
  <c r="AZ85"/>
  <c r="AZ84"/>
  <c r="AZ78"/>
  <c r="AZ77"/>
  <c r="AZ76"/>
  <c r="AZ75"/>
  <c r="AZ74"/>
  <c r="AZ73"/>
  <c r="AZ72"/>
  <c r="AZ71"/>
  <c r="AZ70"/>
  <c r="AZ69"/>
  <c r="AZ68"/>
  <c r="AZ67"/>
  <c r="AZ66"/>
  <c r="AZ65"/>
  <c r="AZ64"/>
  <c r="AZ63"/>
  <c r="AZ62"/>
  <c r="AZ61"/>
  <c r="AZ60"/>
  <c r="AZ59"/>
  <c r="AZ58"/>
  <c r="AZ57"/>
  <c r="AZ55"/>
  <c r="AZ56"/>
  <c r="AZ54"/>
  <c r="AZ53"/>
  <c r="AZ52"/>
  <c r="AZ51"/>
  <c r="AZ50"/>
  <c r="AZ49"/>
  <c r="AZ48"/>
  <c r="AZ47"/>
  <c r="AZ46"/>
  <c r="AZ45"/>
  <c r="AZ44"/>
  <c r="AZ43"/>
  <c r="AZ42"/>
  <c r="AZ41"/>
  <c r="AZ40"/>
  <c r="AZ39"/>
  <c r="AZ38"/>
  <c r="AZ37"/>
  <c r="AZ36"/>
  <c r="AZ35"/>
  <c r="AZ34"/>
  <c r="AZ33"/>
  <c r="AZ32"/>
  <c r="AZ31"/>
  <c r="AZ30"/>
  <c r="AZ29"/>
  <c r="AZ28"/>
  <c r="AZ27"/>
  <c r="AZ26"/>
  <c r="AZ25"/>
  <c r="AZ24"/>
  <c r="AZ23"/>
  <c r="AZ22"/>
  <c r="AZ21"/>
  <c r="AZ20"/>
  <c r="AZ19"/>
  <c r="AZ18"/>
  <c r="AZ17"/>
  <c r="AZ16"/>
  <c r="AZ15"/>
  <c r="AZ14"/>
  <c r="AZ13"/>
  <c r="AZ12"/>
  <c r="AZ11"/>
  <c r="AZ10"/>
  <c r="AZ9"/>
  <c r="AW717"/>
  <c r="AW716"/>
  <c r="AW715"/>
  <c r="AW714"/>
  <c r="AW713"/>
  <c r="AW712"/>
  <c r="AW711"/>
  <c r="AW710"/>
  <c r="AW709"/>
  <c r="AW708"/>
  <c r="AW707"/>
  <c r="AW706"/>
  <c r="AW705"/>
  <c r="AW704"/>
  <c r="AW703"/>
  <c r="AW702"/>
  <c r="AW701"/>
  <c r="AW700"/>
  <c r="AW699"/>
  <c r="AW698"/>
  <c r="AW697"/>
  <c r="AW695"/>
  <c r="AW694"/>
  <c r="AW693"/>
  <c r="AW692"/>
  <c r="AW691"/>
  <c r="AW689"/>
  <c r="AW688"/>
  <c r="AW687"/>
  <c r="AW686"/>
  <c r="AW685"/>
  <c r="AW684"/>
  <c r="AW683"/>
  <c r="AW690"/>
  <c r="AW682"/>
  <c r="AW681"/>
  <c r="AW680"/>
  <c r="AW679"/>
  <c r="AW678"/>
  <c r="AW677"/>
  <c r="AW676"/>
  <c r="AW675"/>
  <c r="AW674"/>
  <c r="AW673"/>
  <c r="AW672"/>
  <c r="AW671"/>
  <c r="AW670"/>
  <c r="AW669"/>
  <c r="AW668"/>
  <c r="AW667"/>
  <c r="AW666"/>
  <c r="AW665"/>
  <c r="AW664"/>
  <c r="AW663"/>
  <c r="AW662"/>
  <c r="AW658"/>
  <c r="AW661"/>
  <c r="AW660"/>
  <c r="AW659"/>
  <c r="AW657"/>
  <c r="AW656"/>
  <c r="AW655"/>
  <c r="AW654"/>
  <c r="AW653"/>
  <c r="AW652"/>
  <c r="AW651"/>
  <c r="AW650"/>
  <c r="AW649"/>
  <c r="AW648"/>
  <c r="AW647"/>
  <c r="AW646"/>
  <c r="AW645"/>
  <c r="AW644"/>
  <c r="AW643"/>
  <c r="AW642"/>
  <c r="AW641"/>
  <c r="AW640"/>
  <c r="AW639"/>
  <c r="AW638"/>
  <c r="AW637"/>
  <c r="AW636"/>
  <c r="AW635"/>
  <c r="AW634"/>
  <c r="AW633"/>
  <c r="AW632"/>
  <c r="AW631"/>
  <c r="AW630"/>
  <c r="AW629"/>
  <c r="AW628"/>
  <c r="AW627"/>
  <c r="AW626"/>
  <c r="AW625"/>
  <c r="AW624"/>
  <c r="AW623"/>
  <c r="AW622"/>
  <c r="AW621"/>
  <c r="AW620"/>
  <c r="AW619"/>
  <c r="AW618"/>
  <c r="AW617"/>
  <c r="AW616"/>
  <c r="AW615"/>
  <c r="AW614"/>
  <c r="AW613"/>
  <c r="AW612"/>
  <c r="AW611"/>
  <c r="AW610"/>
  <c r="AW609"/>
  <c r="AW608"/>
  <c r="AW607"/>
  <c r="AW606"/>
  <c r="AW605"/>
  <c r="AW604"/>
  <c r="AW603"/>
  <c r="AW602"/>
  <c r="AW601"/>
  <c r="AW600"/>
  <c r="AW599"/>
  <c r="AW598"/>
  <c r="AW597"/>
  <c r="AW596"/>
  <c r="AW595"/>
  <c r="AW594"/>
  <c r="AW593"/>
  <c r="AW592"/>
  <c r="AW591"/>
  <c r="AW590"/>
  <c r="AW589"/>
  <c r="AW588"/>
  <c r="AW587"/>
  <c r="AW586"/>
  <c r="AW585"/>
  <c r="AW584"/>
  <c r="AW583"/>
  <c r="AW582"/>
  <c r="AW581"/>
  <c r="AW580"/>
  <c r="AW579"/>
  <c r="AW578"/>
  <c r="AW563"/>
  <c r="AW577"/>
  <c r="AW576"/>
  <c r="AW575"/>
  <c r="AW574"/>
  <c r="AW573"/>
  <c r="AW572"/>
  <c r="AW571"/>
  <c r="AW570"/>
  <c r="AW569"/>
  <c r="AW568"/>
  <c r="AW567"/>
  <c r="AW566"/>
  <c r="AW565"/>
  <c r="AW564"/>
  <c r="AW559"/>
  <c r="AW562"/>
  <c r="AW561"/>
  <c r="AW560"/>
  <c r="AW558"/>
  <c r="AW557"/>
  <c r="AW556"/>
  <c r="AW555"/>
  <c r="AW554"/>
  <c r="AW553"/>
  <c r="AW552"/>
  <c r="AW551"/>
  <c r="AW550"/>
  <c r="AW549"/>
  <c r="AW548"/>
  <c r="AW547"/>
  <c r="AW546"/>
  <c r="AW545"/>
  <c r="AW544"/>
  <c r="AW543"/>
  <c r="AW542"/>
  <c r="AW541"/>
  <c r="AW540"/>
  <c r="AW539"/>
  <c r="AW538"/>
  <c r="AW537"/>
  <c r="AW536"/>
  <c r="AW535"/>
  <c r="AW534"/>
  <c r="AW533"/>
  <c r="AW532"/>
  <c r="AW531"/>
  <c r="AW530"/>
  <c r="AW529"/>
  <c r="AW528"/>
  <c r="AW527"/>
  <c r="AW526"/>
  <c r="AW525"/>
  <c r="AW524"/>
  <c r="AW523"/>
  <c r="AW522"/>
  <c r="AW521"/>
  <c r="AW520"/>
  <c r="AW519"/>
  <c r="AW518"/>
  <c r="AW517"/>
  <c r="AW516"/>
  <c r="AW515"/>
  <c r="AW514"/>
  <c r="AW513"/>
  <c r="AW512"/>
  <c r="AW511"/>
  <c r="AW510"/>
  <c r="AW509"/>
  <c r="AW508"/>
  <c r="AW507"/>
  <c r="AW506"/>
  <c r="AW505"/>
  <c r="AW504"/>
  <c r="AW503"/>
  <c r="AW502"/>
  <c r="AW501"/>
  <c r="AW500"/>
  <c r="AW499"/>
  <c r="AW498"/>
  <c r="AW497"/>
  <c r="AW496"/>
  <c r="AW495"/>
  <c r="AW494"/>
  <c r="AW493"/>
  <c r="AW492"/>
  <c r="AW491"/>
  <c r="AW490"/>
  <c r="AW489"/>
  <c r="AW488"/>
  <c r="AW487"/>
  <c r="AW486"/>
  <c r="AW485"/>
  <c r="AW484"/>
  <c r="AW483"/>
  <c r="AW482"/>
  <c r="AW481"/>
  <c r="AW480"/>
  <c r="AW479"/>
  <c r="AW478"/>
  <c r="AW477"/>
  <c r="AW476"/>
  <c r="AW475"/>
  <c r="AW474"/>
  <c r="AW473"/>
  <c r="AW472"/>
  <c r="AW471"/>
  <c r="AW470"/>
  <c r="AW469"/>
  <c r="AW468"/>
  <c r="AW467"/>
  <c r="AW466"/>
  <c r="AW465"/>
  <c r="AW464"/>
  <c r="AW463"/>
  <c r="AW462"/>
  <c r="AW461"/>
  <c r="AW460"/>
  <c r="AW459"/>
  <c r="AW458"/>
  <c r="AW457"/>
  <c r="AW456"/>
  <c r="AW455"/>
  <c r="AW454"/>
  <c r="AW453"/>
  <c r="AW452"/>
  <c r="AW451"/>
  <c r="AW450"/>
  <c r="AW449"/>
  <c r="AW448"/>
  <c r="AW447"/>
  <c r="AW446"/>
  <c r="AW445"/>
  <c r="AW444"/>
  <c r="AW443"/>
  <c r="AW442"/>
  <c r="AW441"/>
  <c r="AW440"/>
  <c r="AW439"/>
  <c r="AW438"/>
  <c r="AW437"/>
  <c r="AW436"/>
  <c r="AW435"/>
  <c r="AW434"/>
  <c r="AW433"/>
  <c r="AW432"/>
  <c r="AW431"/>
  <c r="AW430"/>
  <c r="AW429"/>
  <c r="AW428"/>
  <c r="AW427"/>
  <c r="AW426"/>
  <c r="AW425"/>
  <c r="AW424"/>
  <c r="AW423"/>
  <c r="AW422"/>
  <c r="AW421"/>
  <c r="AW420"/>
  <c r="AW419"/>
  <c r="AW418"/>
  <c r="AW414"/>
  <c r="AW417"/>
  <c r="AW416"/>
  <c r="AW415"/>
  <c r="AW413"/>
  <c r="AW412"/>
  <c r="AW411"/>
  <c r="AW410"/>
  <c r="AW409"/>
  <c r="AW408"/>
  <c r="AW407"/>
  <c r="AW406"/>
  <c r="AW405"/>
  <c r="AW404"/>
  <c r="AW403"/>
  <c r="AW402"/>
  <c r="AW401"/>
  <c r="AW400"/>
  <c r="AW399"/>
  <c r="AW398"/>
  <c r="AW397"/>
  <c r="AW396"/>
  <c r="AW395"/>
  <c r="AW369"/>
  <c r="AW394"/>
  <c r="AW393"/>
  <c r="AW392"/>
  <c r="AW391"/>
  <c r="AW390"/>
  <c r="AW389"/>
  <c r="AW387"/>
  <c r="AW386"/>
  <c r="AW385"/>
  <c r="AW384"/>
  <c r="AW383"/>
  <c r="AW382"/>
  <c r="AW381"/>
  <c r="AW380"/>
  <c r="AW379"/>
  <c r="AW378"/>
  <c r="AW377"/>
  <c r="AW376"/>
  <c r="AW375"/>
  <c r="AW374"/>
  <c r="AW373"/>
  <c r="AW372"/>
  <c r="AW371"/>
  <c r="AW370"/>
  <c r="AW368"/>
  <c r="AW367"/>
  <c r="AW366"/>
  <c r="AW365"/>
  <c r="AW364"/>
  <c r="AW363"/>
  <c r="AW362"/>
  <c r="AW361"/>
  <c r="AW360"/>
  <c r="AW359"/>
  <c r="AW358"/>
  <c r="AW357"/>
  <c r="AW356"/>
  <c r="AW388"/>
  <c r="AW355"/>
  <c r="AW354"/>
  <c r="AW353"/>
  <c r="AW352"/>
  <c r="AW351"/>
  <c r="AW350"/>
  <c r="AW349"/>
  <c r="AW348"/>
  <c r="AW347"/>
  <c r="AW346"/>
  <c r="AW345"/>
  <c r="AW344"/>
  <c r="AW343"/>
  <c r="AW342"/>
  <c r="AW341"/>
  <c r="AW340"/>
  <c r="AW339"/>
  <c r="AW338"/>
  <c r="AW337"/>
  <c r="AW336"/>
  <c r="AW335"/>
  <c r="AW334"/>
  <c r="AW333"/>
  <c r="AW332"/>
  <c r="AW331"/>
  <c r="AW330"/>
  <c r="AW329"/>
  <c r="AW328"/>
  <c r="AW327"/>
  <c r="AW326"/>
  <c r="AW325"/>
  <c r="AW324"/>
  <c r="AW323"/>
  <c r="AW322"/>
  <c r="AW321"/>
  <c r="AW320"/>
  <c r="AW319"/>
  <c r="AW318"/>
  <c r="AW317"/>
  <c r="AW316"/>
  <c r="AW315"/>
  <c r="AW314"/>
  <c r="AW313"/>
  <c r="AW312"/>
  <c r="AW311"/>
  <c r="AW310"/>
  <c r="AW309"/>
  <c r="AW308"/>
  <c r="AW307"/>
  <c r="AW306"/>
  <c r="AW305"/>
  <c r="AW304"/>
  <c r="AW303"/>
  <c r="AW302"/>
  <c r="AW301"/>
  <c r="AW300"/>
  <c r="AW299"/>
  <c r="AW298"/>
  <c r="AW297"/>
  <c r="AW296"/>
  <c r="AW295"/>
  <c r="AW294"/>
  <c r="AW293"/>
  <c r="AW292"/>
  <c r="AW291"/>
  <c r="AW290"/>
  <c r="AW289"/>
  <c r="AW288"/>
  <c r="AW287"/>
  <c r="AW286"/>
  <c r="AW285"/>
  <c r="AW280"/>
  <c r="AW284"/>
  <c r="AW283"/>
  <c r="AW282"/>
  <c r="AW281"/>
  <c r="AW279"/>
  <c r="AW278"/>
  <c r="AW277"/>
  <c r="AW276"/>
  <c r="AW275"/>
  <c r="AW274"/>
  <c r="AW273"/>
  <c r="AW272"/>
  <c r="AW271"/>
  <c r="AW270"/>
  <c r="AW269"/>
  <c r="AW268"/>
  <c r="AW267"/>
  <c r="AW266"/>
  <c r="AW265"/>
  <c r="AW264"/>
  <c r="AW263"/>
  <c r="AW262"/>
  <c r="AW261"/>
  <c r="AW260"/>
  <c r="AW259"/>
  <c r="AW258"/>
  <c r="AW257"/>
  <c r="AW256"/>
  <c r="AW255"/>
  <c r="AW254"/>
  <c r="AW253"/>
  <c r="AW252"/>
  <c r="AW251"/>
  <c r="AW250"/>
  <c r="AW249"/>
  <c r="AW248"/>
  <c r="AW247"/>
  <c r="AW246"/>
  <c r="AW245"/>
  <c r="AW244"/>
  <c r="AW243"/>
  <c r="AW242"/>
  <c r="AW241"/>
  <c r="AW240"/>
  <c r="AW239"/>
  <c r="AW238"/>
  <c r="AW237"/>
  <c r="AW236"/>
  <c r="AW235"/>
  <c r="AW234"/>
  <c r="AW233"/>
  <c r="AW232"/>
  <c r="AW231"/>
  <c r="AW230"/>
  <c r="AW229"/>
  <c r="AW228"/>
  <c r="AW227"/>
  <c r="AW226"/>
  <c r="AW225"/>
  <c r="AW224"/>
  <c r="AW223"/>
  <c r="AW222"/>
  <c r="AW221"/>
  <c r="AW220"/>
  <c r="AW219"/>
  <c r="AW218"/>
  <c r="AW217"/>
  <c r="AW216"/>
  <c r="AW215"/>
  <c r="AW214"/>
  <c r="AW213"/>
  <c r="AW212"/>
  <c r="AW208"/>
  <c r="AW204"/>
  <c r="AW187"/>
  <c r="AW186"/>
  <c r="AW185"/>
  <c r="AW184"/>
  <c r="AW183"/>
  <c r="AW182"/>
  <c r="AW181"/>
  <c r="AW180"/>
  <c r="AW179"/>
  <c r="AW178"/>
  <c r="AW177"/>
  <c r="AW176"/>
  <c r="AW175"/>
  <c r="AW174"/>
  <c r="AW173"/>
  <c r="AW172"/>
  <c r="AW171"/>
  <c r="AW170"/>
  <c r="AW169"/>
  <c r="AW168"/>
  <c r="AW167"/>
  <c r="AW166"/>
  <c r="AW165"/>
  <c r="AW164"/>
  <c r="AW163"/>
  <c r="AW162"/>
  <c r="AW161"/>
  <c r="AW160"/>
  <c r="AW159"/>
  <c r="AW158"/>
  <c r="AW157"/>
  <c r="AW156"/>
  <c r="AW155"/>
  <c r="AW154"/>
  <c r="AW153"/>
  <c r="AW152"/>
  <c r="AW144"/>
  <c r="AW151"/>
  <c r="AW150"/>
  <c r="AW149"/>
  <c r="AW148"/>
  <c r="AW147"/>
  <c r="AW146"/>
  <c r="AW145"/>
  <c r="AW143"/>
  <c r="AW142"/>
  <c r="AW141"/>
  <c r="AW140"/>
  <c r="AW139"/>
  <c r="AW138"/>
  <c r="AW137"/>
  <c r="AW136"/>
  <c r="AW135"/>
  <c r="AW134"/>
  <c r="AW133"/>
  <c r="AW132"/>
  <c r="AW131"/>
  <c r="AW130"/>
  <c r="AW129"/>
  <c r="AW128"/>
  <c r="AW127"/>
  <c r="AW126"/>
  <c r="AW125"/>
  <c r="AW124"/>
  <c r="AW123"/>
  <c r="AW122"/>
  <c r="AW121"/>
  <c r="AW120"/>
  <c r="AW119"/>
  <c r="AW118"/>
  <c r="AW108"/>
  <c r="AW97"/>
  <c r="AW117"/>
  <c r="AW116"/>
  <c r="AW115"/>
  <c r="AW114"/>
  <c r="AW113"/>
  <c r="AW112"/>
  <c r="AW111"/>
  <c r="AW110"/>
  <c r="AW109"/>
  <c r="AW107"/>
  <c r="AW106"/>
  <c r="AW105"/>
  <c r="AW104"/>
  <c r="AW103"/>
  <c r="AW102"/>
  <c r="AW101"/>
  <c r="AW100"/>
  <c r="AW99"/>
  <c r="AW98"/>
  <c r="AW96"/>
  <c r="AW95"/>
  <c r="AW94"/>
  <c r="AW93"/>
  <c r="AW92"/>
  <c r="AW90"/>
  <c r="AW89"/>
  <c r="AW88"/>
  <c r="AW87"/>
  <c r="AW86"/>
  <c r="AW85"/>
  <c r="AW84"/>
  <c r="AW78"/>
  <c r="AW77"/>
  <c r="AW76"/>
  <c r="AW75"/>
  <c r="AW74"/>
  <c r="AW73"/>
  <c r="AW72"/>
  <c r="AW71"/>
  <c r="AW70"/>
  <c r="AW69"/>
  <c r="AW68"/>
  <c r="AW67"/>
  <c r="AW66"/>
  <c r="AW65"/>
  <c r="AW64"/>
  <c r="AW63"/>
  <c r="AW62"/>
  <c r="AW61"/>
  <c r="AW60"/>
  <c r="AW59"/>
  <c r="AW58"/>
  <c r="AW57"/>
  <c r="AW55"/>
  <c r="AW56"/>
  <c r="AW54"/>
  <c r="AW53"/>
  <c r="AW52"/>
  <c r="AW51"/>
  <c r="AW50"/>
  <c r="AW49"/>
  <c r="AW48"/>
  <c r="AW47"/>
  <c r="AW46"/>
  <c r="AW45"/>
  <c r="AW44"/>
  <c r="AW43"/>
  <c r="AW42"/>
  <c r="AW41"/>
  <c r="AW40"/>
  <c r="AW39"/>
  <c r="AW38"/>
  <c r="AW37"/>
  <c r="AW36"/>
  <c r="AW35"/>
  <c r="AW34"/>
  <c r="AW33"/>
  <c r="AW32"/>
  <c r="AW31"/>
  <c r="AW30"/>
  <c r="AW29"/>
  <c r="AW28"/>
  <c r="AW27"/>
  <c r="AW26"/>
  <c r="AW25"/>
  <c r="AW24"/>
  <c r="AW23"/>
  <c r="AW22"/>
  <c r="AW21"/>
  <c r="AW20"/>
  <c r="AW19"/>
  <c r="AW18"/>
  <c r="AW17"/>
  <c r="AW16"/>
  <c r="AW15"/>
  <c r="AW14"/>
  <c r="AW13"/>
  <c r="AW12"/>
  <c r="AW11"/>
  <c r="AW10"/>
  <c r="AW9"/>
  <c r="AT717"/>
  <c r="AT716"/>
  <c r="AT715"/>
  <c r="AT714"/>
  <c r="AT713"/>
  <c r="AT712"/>
  <c r="AT711"/>
  <c r="AT710"/>
  <c r="AT709"/>
  <c r="AT708"/>
  <c r="AT707"/>
  <c r="AT706"/>
  <c r="AT705"/>
  <c r="AT704"/>
  <c r="AT703"/>
  <c r="AT702"/>
  <c r="AT701"/>
  <c r="AT700"/>
  <c r="AT699"/>
  <c r="AT698"/>
  <c r="AT697"/>
  <c r="AT695"/>
  <c r="AT694"/>
  <c r="AT693"/>
  <c r="AT692"/>
  <c r="AT691"/>
  <c r="AT689"/>
  <c r="AT688"/>
  <c r="AT687"/>
  <c r="AT686"/>
  <c r="AT685"/>
  <c r="AT684"/>
  <c r="AT683"/>
  <c r="AT690"/>
  <c r="AT682"/>
  <c r="AT681"/>
  <c r="AT680"/>
  <c r="AT679"/>
  <c r="AT678"/>
  <c r="AT677"/>
  <c r="AT676"/>
  <c r="AT675"/>
  <c r="AT674"/>
  <c r="AT673"/>
  <c r="AT672"/>
  <c r="AT671"/>
  <c r="AT670"/>
  <c r="AT669"/>
  <c r="AT668"/>
  <c r="AT667"/>
  <c r="AT666"/>
  <c r="AT665"/>
  <c r="AT664"/>
  <c r="AT663"/>
  <c r="AT662"/>
  <c r="AT658"/>
  <c r="AT661"/>
  <c r="AT660"/>
  <c r="AT659"/>
  <c r="AT657"/>
  <c r="AT656"/>
  <c r="AT655"/>
  <c r="AT654"/>
  <c r="AT653"/>
  <c r="AT652"/>
  <c r="AT651"/>
  <c r="AT650"/>
  <c r="AT649"/>
  <c r="AT648"/>
  <c r="AT647"/>
  <c r="AT646"/>
  <c r="AT645"/>
  <c r="AT644"/>
  <c r="AT643"/>
  <c r="AT642"/>
  <c r="AT641"/>
  <c r="AT640"/>
  <c r="AT639"/>
  <c r="AT638"/>
  <c r="AT637"/>
  <c r="AT636"/>
  <c r="AT635"/>
  <c r="AT634"/>
  <c r="AT633"/>
  <c r="AT632"/>
  <c r="AT631"/>
  <c r="AT630"/>
  <c r="AT629"/>
  <c r="AT628"/>
  <c r="AT627"/>
  <c r="AT626"/>
  <c r="AT625"/>
  <c r="AT624"/>
  <c r="AT623"/>
  <c r="AT622"/>
  <c r="AT621"/>
  <c r="AT620"/>
  <c r="AT619"/>
  <c r="AT618"/>
  <c r="AT617"/>
  <c r="AT616"/>
  <c r="AT615"/>
  <c r="AT614"/>
  <c r="AT613"/>
  <c r="AT612"/>
  <c r="AT611"/>
  <c r="AT610"/>
  <c r="AT609"/>
  <c r="AT608"/>
  <c r="AT607"/>
  <c r="AT606"/>
  <c r="AT605"/>
  <c r="AT604"/>
  <c r="AT603"/>
  <c r="AT602"/>
  <c r="AT601"/>
  <c r="AT600"/>
  <c r="AT599"/>
  <c r="AT598"/>
  <c r="AT597"/>
  <c r="AT596"/>
  <c r="AT595"/>
  <c r="AT594"/>
  <c r="AT593"/>
  <c r="AT592"/>
  <c r="AT591"/>
  <c r="AT590"/>
  <c r="AT589"/>
  <c r="AT588"/>
  <c r="AT587"/>
  <c r="AT586"/>
  <c r="AT585"/>
  <c r="AT584"/>
  <c r="AT583"/>
  <c r="AT582"/>
  <c r="AT581"/>
  <c r="AT580"/>
  <c r="AT579"/>
  <c r="AT578"/>
  <c r="AT563"/>
  <c r="AT577"/>
  <c r="AT576"/>
  <c r="AT575"/>
  <c r="AT574"/>
  <c r="AT573"/>
  <c r="AT572"/>
  <c r="AT571"/>
  <c r="AT570"/>
  <c r="AT569"/>
  <c r="AT568"/>
  <c r="AT567"/>
  <c r="AT566"/>
  <c r="AT565"/>
  <c r="AT564"/>
  <c r="AT559"/>
  <c r="AT562"/>
  <c r="AT561"/>
  <c r="AT560"/>
  <c r="AT558"/>
  <c r="AT557"/>
  <c r="AT556"/>
  <c r="AT555"/>
  <c r="AT554"/>
  <c r="AT553"/>
  <c r="AT552"/>
  <c r="AT551"/>
  <c r="AT550"/>
  <c r="AT549"/>
  <c r="AT548"/>
  <c r="AT547"/>
  <c r="AT546"/>
  <c r="AT545"/>
  <c r="AT544"/>
  <c r="AT543"/>
  <c r="AT542"/>
  <c r="AT541"/>
  <c r="AT540"/>
  <c r="AT539"/>
  <c r="AT538"/>
  <c r="AT537"/>
  <c r="AT536"/>
  <c r="AT535"/>
  <c r="AT534"/>
  <c r="AT533"/>
  <c r="AT532"/>
  <c r="AT531"/>
  <c r="AT530"/>
  <c r="AT529"/>
  <c r="AT528"/>
  <c r="AT527"/>
  <c r="AT526"/>
  <c r="AT525"/>
  <c r="AT524"/>
  <c r="AT523"/>
  <c r="AT522"/>
  <c r="AT521"/>
  <c r="AT520"/>
  <c r="AT519"/>
  <c r="AT518"/>
  <c r="AT517"/>
  <c r="AT516"/>
  <c r="AT515"/>
  <c r="AT514"/>
  <c r="AT513"/>
  <c r="AT512"/>
  <c r="AT511"/>
  <c r="AT510"/>
  <c r="AT509"/>
  <c r="AT508"/>
  <c r="AT507"/>
  <c r="AT506"/>
  <c r="AT505"/>
  <c r="AT504"/>
  <c r="AT503"/>
  <c r="AT502"/>
  <c r="AT501"/>
  <c r="AT500"/>
  <c r="AT499"/>
  <c r="AT498"/>
  <c r="AT497"/>
  <c r="AT496"/>
  <c r="AT495"/>
  <c r="AT494"/>
  <c r="AT493"/>
  <c r="AT492"/>
  <c r="AT491"/>
  <c r="AT490"/>
  <c r="AT489"/>
  <c r="AT488"/>
  <c r="AT487"/>
  <c r="AT486"/>
  <c r="AT485"/>
  <c r="AT484"/>
  <c r="AT483"/>
  <c r="AT482"/>
  <c r="AT481"/>
  <c r="AT480"/>
  <c r="AT479"/>
  <c r="AT478"/>
  <c r="AT477"/>
  <c r="AT476"/>
  <c r="AT475"/>
  <c r="AT474"/>
  <c r="AT473"/>
  <c r="AT472"/>
  <c r="AT471"/>
  <c r="AT470"/>
  <c r="AT469"/>
  <c r="AT468"/>
  <c r="AT467"/>
  <c r="AT466"/>
  <c r="AT465"/>
  <c r="AT464"/>
  <c r="AT463"/>
  <c r="AT462"/>
  <c r="AT461"/>
  <c r="AT460"/>
  <c r="AT459"/>
  <c r="AT458"/>
  <c r="AT457"/>
  <c r="AT456"/>
  <c r="AT455"/>
  <c r="AT454"/>
  <c r="AT453"/>
  <c r="AT452"/>
  <c r="AT451"/>
  <c r="AT450"/>
  <c r="AT449"/>
  <c r="AT448"/>
  <c r="AT447"/>
  <c r="AT446"/>
  <c r="AT445"/>
  <c r="AT444"/>
  <c r="AT443"/>
  <c r="AT442"/>
  <c r="AT441"/>
  <c r="AT440"/>
  <c r="AT439"/>
  <c r="AT438"/>
  <c r="AT437"/>
  <c r="AT436"/>
  <c r="AT435"/>
  <c r="AT434"/>
  <c r="AT433"/>
  <c r="AT432"/>
  <c r="AT431"/>
  <c r="AT430"/>
  <c r="AT429"/>
  <c r="AT428"/>
  <c r="AT427"/>
  <c r="AT426"/>
  <c r="AT425"/>
  <c r="AT424"/>
  <c r="AT423"/>
  <c r="AT422"/>
  <c r="AT421"/>
  <c r="AT420"/>
  <c r="AT419"/>
  <c r="AT418"/>
  <c r="AT414"/>
  <c r="AT417"/>
  <c r="AT416"/>
  <c r="AT415"/>
  <c r="AT413"/>
  <c r="AT412"/>
  <c r="AT411"/>
  <c r="AT410"/>
  <c r="AT409"/>
  <c r="AT408"/>
  <c r="AT407"/>
  <c r="AT406"/>
  <c r="AT405"/>
  <c r="AT404"/>
  <c r="AT403"/>
  <c r="AT402"/>
  <c r="AT401"/>
  <c r="AT400"/>
  <c r="AT399"/>
  <c r="AT398"/>
  <c r="AT397"/>
  <c r="AT396"/>
  <c r="AT395"/>
  <c r="AT369"/>
  <c r="AT394"/>
  <c r="AT393"/>
  <c r="AT392"/>
  <c r="AT391"/>
  <c r="AT390"/>
  <c r="AT389"/>
  <c r="AT387"/>
  <c r="AT386"/>
  <c r="AT385"/>
  <c r="AT384"/>
  <c r="AT383"/>
  <c r="AT382"/>
  <c r="AT381"/>
  <c r="AT380"/>
  <c r="AT379"/>
  <c r="AT378"/>
  <c r="AT377"/>
  <c r="AT376"/>
  <c r="AT375"/>
  <c r="AT374"/>
  <c r="AT373"/>
  <c r="AT372"/>
  <c r="AT371"/>
  <c r="AT370"/>
  <c r="AT368"/>
  <c r="AT367"/>
  <c r="AT366"/>
  <c r="AT365"/>
  <c r="AT364"/>
  <c r="AT363"/>
  <c r="AT362"/>
  <c r="AT361"/>
  <c r="AT360"/>
  <c r="AT359"/>
  <c r="AT358"/>
  <c r="AT357"/>
  <c r="AT356"/>
  <c r="AT388"/>
  <c r="AT355"/>
  <c r="AT354"/>
  <c r="AT353"/>
  <c r="AT352"/>
  <c r="AT351"/>
  <c r="AT350"/>
  <c r="AT349"/>
  <c r="AT348"/>
  <c r="AT347"/>
  <c r="AT346"/>
  <c r="AT345"/>
  <c r="AT344"/>
  <c r="AT343"/>
  <c r="AT342"/>
  <c r="AT341"/>
  <c r="AT340"/>
  <c r="AT339"/>
  <c r="AT338"/>
  <c r="AT337"/>
  <c r="AT336"/>
  <c r="AT335"/>
  <c r="AT334"/>
  <c r="AT333"/>
  <c r="AT332"/>
  <c r="AT331"/>
  <c r="AT330"/>
  <c r="AT329"/>
  <c r="AT328"/>
  <c r="AT327"/>
  <c r="AT326"/>
  <c r="AT325"/>
  <c r="AT324"/>
  <c r="AT323"/>
  <c r="AT322"/>
  <c r="AT321"/>
  <c r="AT320"/>
  <c r="AT319"/>
  <c r="AT318"/>
  <c r="AT317"/>
  <c r="AT316"/>
  <c r="AT315"/>
  <c r="AT314"/>
  <c r="AT313"/>
  <c r="AT312"/>
  <c r="AT311"/>
  <c r="AT310"/>
  <c r="AT309"/>
  <c r="AT308"/>
  <c r="AT307"/>
  <c r="AT306"/>
  <c r="AT305"/>
  <c r="AT304"/>
  <c r="AT303"/>
  <c r="AT302"/>
  <c r="AT301"/>
  <c r="AT300"/>
  <c r="AT299"/>
  <c r="AT298"/>
  <c r="AT297"/>
  <c r="AT296"/>
  <c r="AT295"/>
  <c r="AT294"/>
  <c r="AT293"/>
  <c r="AT292"/>
  <c r="AT291"/>
  <c r="AT290"/>
  <c r="AT289"/>
  <c r="AT288"/>
  <c r="AT287"/>
  <c r="AT286"/>
  <c r="AT285"/>
  <c r="AT280"/>
  <c r="AT284"/>
  <c r="AT283"/>
  <c r="AT282"/>
  <c r="AT281"/>
  <c r="AT279"/>
  <c r="AT278"/>
  <c r="AT277"/>
  <c r="AT276"/>
  <c r="AT275"/>
  <c r="AT274"/>
  <c r="AT273"/>
  <c r="AT272"/>
  <c r="AT271"/>
  <c r="AT270"/>
  <c r="AT269"/>
  <c r="AT268"/>
  <c r="AT267"/>
  <c r="AT266"/>
  <c r="AT265"/>
  <c r="AT264"/>
  <c r="AT263"/>
  <c r="AT262"/>
  <c r="AT261"/>
  <c r="AT260"/>
  <c r="AT259"/>
  <c r="AT258"/>
  <c r="AT257"/>
  <c r="AT256"/>
  <c r="AT255"/>
  <c r="AT254"/>
  <c r="AT253"/>
  <c r="AT252"/>
  <c r="AT251"/>
  <c r="AT250"/>
  <c r="AT249"/>
  <c r="AT248"/>
  <c r="AT247"/>
  <c r="AT246"/>
  <c r="AT245"/>
  <c r="AT244"/>
  <c r="AT243"/>
  <c r="AT242"/>
  <c r="AT241"/>
  <c r="AT240"/>
  <c r="AT239"/>
  <c r="AT238"/>
  <c r="AT237"/>
  <c r="AT236"/>
  <c r="AT235"/>
  <c r="AT234"/>
  <c r="AT233"/>
  <c r="AT232"/>
  <c r="AT231"/>
  <c r="AT230"/>
  <c r="AT229"/>
  <c r="AT228"/>
  <c r="AT227"/>
  <c r="AT226"/>
  <c r="AT225"/>
  <c r="AT224"/>
  <c r="AT223"/>
  <c r="AT222"/>
  <c r="AT221"/>
  <c r="AT220"/>
  <c r="AT219"/>
  <c r="AT218"/>
  <c r="AT217"/>
  <c r="AT216"/>
  <c r="AT215"/>
  <c r="AT214"/>
  <c r="AT213"/>
  <c r="AT212"/>
  <c r="AT211"/>
  <c r="AT203"/>
  <c r="AT187"/>
  <c r="AT186"/>
  <c r="AT185"/>
  <c r="AT184"/>
  <c r="AT183"/>
  <c r="AT182"/>
  <c r="AT181"/>
  <c r="AT180"/>
  <c r="AT179"/>
  <c r="AT178"/>
  <c r="AT177"/>
  <c r="AT176"/>
  <c r="AT175"/>
  <c r="AT174"/>
  <c r="AT173"/>
  <c r="AT172"/>
  <c r="AT171"/>
  <c r="AT170"/>
  <c r="AT169"/>
  <c r="AT168"/>
  <c r="AT167"/>
  <c r="AT166"/>
  <c r="AT165"/>
  <c r="AT164"/>
  <c r="AT163"/>
  <c r="AT162"/>
  <c r="AT161"/>
  <c r="AT160"/>
  <c r="AT159"/>
  <c r="AT158"/>
  <c r="AT157"/>
  <c r="AT156"/>
  <c r="AT155"/>
  <c r="AT154"/>
  <c r="AT153"/>
  <c r="AT152"/>
  <c r="AT144"/>
  <c r="AT151"/>
  <c r="AT150"/>
  <c r="AT149"/>
  <c r="AT148"/>
  <c r="AT147"/>
  <c r="AT146"/>
  <c r="AT145"/>
  <c r="AT143"/>
  <c r="AT142"/>
  <c r="AT141"/>
  <c r="AT140"/>
  <c r="AT139"/>
  <c r="AT138"/>
  <c r="AT137"/>
  <c r="AT136"/>
  <c r="AT135"/>
  <c r="AT134"/>
  <c r="AT133"/>
  <c r="AT132"/>
  <c r="AT131"/>
  <c r="AT130"/>
  <c r="AT129"/>
  <c r="AT128"/>
  <c r="AT127"/>
  <c r="AT126"/>
  <c r="AT125"/>
  <c r="AT124"/>
  <c r="AT123"/>
  <c r="AT122"/>
  <c r="AT121"/>
  <c r="AT120"/>
  <c r="AT119"/>
  <c r="AT118"/>
  <c r="AT108"/>
  <c r="AT97"/>
  <c r="AT117"/>
  <c r="AT116"/>
  <c r="AT115"/>
  <c r="AT114"/>
  <c r="AT113"/>
  <c r="AT112"/>
  <c r="AT111"/>
  <c r="AT110"/>
  <c r="AT109"/>
  <c r="AT107"/>
  <c r="AT106"/>
  <c r="AT105"/>
  <c r="AT104"/>
  <c r="AT103"/>
  <c r="AT102"/>
  <c r="AT101"/>
  <c r="AT100"/>
  <c r="AT99"/>
  <c r="AT98"/>
  <c r="AT96"/>
  <c r="AT95"/>
  <c r="AT94"/>
  <c r="AT93"/>
  <c r="AT92"/>
  <c r="AT91"/>
  <c r="AT90"/>
  <c r="AT89"/>
  <c r="AT88"/>
  <c r="AT87"/>
  <c r="AT86"/>
  <c r="AT85"/>
  <c r="AT84"/>
  <c r="AT78"/>
  <c r="AT77"/>
  <c r="AT76"/>
  <c r="AT75"/>
  <c r="AT74"/>
  <c r="AT73"/>
  <c r="AT72"/>
  <c r="AT71"/>
  <c r="AT70"/>
  <c r="AT69"/>
  <c r="AT68"/>
  <c r="AT67"/>
  <c r="AT66"/>
  <c r="AT65"/>
  <c r="AT64"/>
  <c r="AT63"/>
  <c r="AT62"/>
  <c r="AT61"/>
  <c r="AT60"/>
  <c r="AT59"/>
  <c r="AT58"/>
  <c r="AT57"/>
  <c r="AT55"/>
  <c r="AT56"/>
  <c r="AT54"/>
  <c r="AT53"/>
  <c r="AT52"/>
  <c r="AT51"/>
  <c r="AT50"/>
  <c r="AT49"/>
  <c r="AT48"/>
  <c r="AT47"/>
  <c r="AT46"/>
  <c r="AT45"/>
  <c r="AT44"/>
  <c r="AT43"/>
  <c r="AT42"/>
  <c r="AT41"/>
  <c r="AT40"/>
  <c r="AT39"/>
  <c r="AT38"/>
  <c r="AT37"/>
  <c r="AT36"/>
  <c r="AT35"/>
  <c r="AT34"/>
  <c r="AT33"/>
  <c r="AT32"/>
  <c r="AT31"/>
  <c r="AT30"/>
  <c r="AT29"/>
  <c r="AT28"/>
  <c r="AT27"/>
  <c r="AT26"/>
  <c r="AT25"/>
  <c r="AT24"/>
  <c r="AT23"/>
  <c r="AT22"/>
  <c r="AT21"/>
  <c r="AT20"/>
  <c r="AT19"/>
  <c r="AT18"/>
  <c r="AT17"/>
  <c r="AT16"/>
  <c r="AT15"/>
  <c r="AT14"/>
  <c r="AT13"/>
  <c r="AT12"/>
  <c r="AT11"/>
  <c r="AT10"/>
  <c r="AT9"/>
  <c r="AQ717"/>
  <c r="AQ716"/>
  <c r="AQ715"/>
  <c r="AQ714"/>
  <c r="AQ713"/>
  <c r="AQ712"/>
  <c r="AQ711"/>
  <c r="AQ710"/>
  <c r="AQ709"/>
  <c r="AQ708"/>
  <c r="AQ707"/>
  <c r="AQ706"/>
  <c r="AQ705"/>
  <c r="AQ704"/>
  <c r="AQ703"/>
  <c r="AQ702"/>
  <c r="AQ701"/>
  <c r="AQ700"/>
  <c r="AQ699"/>
  <c r="AQ698"/>
  <c r="AQ697"/>
  <c r="AQ695"/>
  <c r="AQ694"/>
  <c r="AQ693"/>
  <c r="AQ692"/>
  <c r="AQ691"/>
  <c r="AQ689"/>
  <c r="AQ688"/>
  <c r="AQ687"/>
  <c r="AQ686"/>
  <c r="AQ685"/>
  <c r="AQ684"/>
  <c r="AQ683"/>
  <c r="AQ690"/>
  <c r="AQ682"/>
  <c r="AQ681"/>
  <c r="AQ680"/>
  <c r="AQ679"/>
  <c r="AQ678"/>
  <c r="AQ677"/>
  <c r="AQ676"/>
  <c r="AQ675"/>
  <c r="AQ674"/>
  <c r="AQ673"/>
  <c r="AQ672"/>
  <c r="AQ671"/>
  <c r="AQ670"/>
  <c r="AQ669"/>
  <c r="AQ668"/>
  <c r="AQ667"/>
  <c r="AQ666"/>
  <c r="AQ665"/>
  <c r="AQ664"/>
  <c r="AQ663"/>
  <c r="AQ662"/>
  <c r="AQ658"/>
  <c r="AQ661"/>
  <c r="AQ660"/>
  <c r="AQ659"/>
  <c r="AQ657"/>
  <c r="AQ656"/>
  <c r="AQ655"/>
  <c r="AQ654"/>
  <c r="AQ653"/>
  <c r="AQ652"/>
  <c r="AQ651"/>
  <c r="AQ650"/>
  <c r="AQ649"/>
  <c r="AQ648"/>
  <c r="AQ647"/>
  <c r="AQ646"/>
  <c r="AQ645"/>
  <c r="AQ644"/>
  <c r="AQ643"/>
  <c r="AQ642"/>
  <c r="AQ641"/>
  <c r="AQ640"/>
  <c r="AQ639"/>
  <c r="AQ638"/>
  <c r="AQ637"/>
  <c r="AQ636"/>
  <c r="AQ635"/>
  <c r="AQ634"/>
  <c r="AQ633"/>
  <c r="AQ632"/>
  <c r="AQ631"/>
  <c r="AQ630"/>
  <c r="AQ629"/>
  <c r="AQ628"/>
  <c r="AQ627"/>
  <c r="AQ626"/>
  <c r="AQ625"/>
  <c r="AQ624"/>
  <c r="AQ623"/>
  <c r="AQ622"/>
  <c r="AQ621"/>
  <c r="AQ620"/>
  <c r="AQ619"/>
  <c r="AQ618"/>
  <c r="AQ617"/>
  <c r="AQ616"/>
  <c r="AQ615"/>
  <c r="AQ614"/>
  <c r="AQ613"/>
  <c r="AQ612"/>
  <c r="AQ611"/>
  <c r="AQ610"/>
  <c r="AQ609"/>
  <c r="AQ608"/>
  <c r="AQ607"/>
  <c r="AQ606"/>
  <c r="AQ605"/>
  <c r="AQ604"/>
  <c r="AQ603"/>
  <c r="AQ602"/>
  <c r="AQ601"/>
  <c r="AQ600"/>
  <c r="AQ599"/>
  <c r="AQ598"/>
  <c r="AQ597"/>
  <c r="AQ596"/>
  <c r="AQ595"/>
  <c r="AQ594"/>
  <c r="AQ593"/>
  <c r="AQ592"/>
  <c r="AQ591"/>
  <c r="AQ590"/>
  <c r="AQ589"/>
  <c r="AQ588"/>
  <c r="AQ587"/>
  <c r="AQ586"/>
  <c r="AQ585"/>
  <c r="AQ584"/>
  <c r="AQ583"/>
  <c r="AQ582"/>
  <c r="AQ581"/>
  <c r="AQ580"/>
  <c r="AQ579"/>
  <c r="AQ578"/>
  <c r="AQ563"/>
  <c r="AQ577"/>
  <c r="AQ576"/>
  <c r="AQ575"/>
  <c r="AQ574"/>
  <c r="AQ573"/>
  <c r="AQ572"/>
  <c r="AQ571"/>
  <c r="AQ570"/>
  <c r="AQ569"/>
  <c r="AQ568"/>
  <c r="AQ567"/>
  <c r="AQ566"/>
  <c r="AQ565"/>
  <c r="AQ564"/>
  <c r="AQ559"/>
  <c r="AQ562"/>
  <c r="AQ561"/>
  <c r="AQ560"/>
  <c r="AQ558"/>
  <c r="AQ557"/>
  <c r="AQ556"/>
  <c r="AQ555"/>
  <c r="AQ554"/>
  <c r="AQ553"/>
  <c r="AQ552"/>
  <c r="AQ551"/>
  <c r="AQ550"/>
  <c r="AQ549"/>
  <c r="AQ548"/>
  <c r="AQ547"/>
  <c r="AQ546"/>
  <c r="AQ545"/>
  <c r="AQ544"/>
  <c r="AQ543"/>
  <c r="AQ542"/>
  <c r="AQ541"/>
  <c r="AQ540"/>
  <c r="AQ539"/>
  <c r="AQ538"/>
  <c r="AQ537"/>
  <c r="AQ536"/>
  <c r="AQ535"/>
  <c r="AQ534"/>
  <c r="AQ533"/>
  <c r="AQ532"/>
  <c r="AQ531"/>
  <c r="AQ530"/>
  <c r="AQ529"/>
  <c r="AQ528"/>
  <c r="AQ527"/>
  <c r="AQ526"/>
  <c r="AQ525"/>
  <c r="AQ524"/>
  <c r="AQ523"/>
  <c r="AQ522"/>
  <c r="AQ521"/>
  <c r="AQ520"/>
  <c r="AQ519"/>
  <c r="AQ518"/>
  <c r="AQ517"/>
  <c r="AQ516"/>
  <c r="AQ515"/>
  <c r="AQ514"/>
  <c r="AQ513"/>
  <c r="AQ512"/>
  <c r="AQ511"/>
  <c r="AQ510"/>
  <c r="AQ509"/>
  <c r="AQ508"/>
  <c r="AQ507"/>
  <c r="AQ506"/>
  <c r="AQ505"/>
  <c r="AQ504"/>
  <c r="AQ503"/>
  <c r="AQ502"/>
  <c r="AQ501"/>
  <c r="AQ500"/>
  <c r="AQ499"/>
  <c r="AQ498"/>
  <c r="AQ497"/>
  <c r="AQ496"/>
  <c r="AQ495"/>
  <c r="AQ494"/>
  <c r="AQ493"/>
  <c r="AQ492"/>
  <c r="AQ491"/>
  <c r="AQ490"/>
  <c r="AQ489"/>
  <c r="AQ488"/>
  <c r="AQ487"/>
  <c r="AQ486"/>
  <c r="AQ485"/>
  <c r="AQ484"/>
  <c r="AQ483"/>
  <c r="AQ482"/>
  <c r="AQ481"/>
  <c r="AQ480"/>
  <c r="AQ479"/>
  <c r="AQ478"/>
  <c r="AQ477"/>
  <c r="AQ476"/>
  <c r="AQ475"/>
  <c r="AQ474"/>
  <c r="AQ473"/>
  <c r="AQ472"/>
  <c r="AQ471"/>
  <c r="AQ470"/>
  <c r="AQ469"/>
  <c r="AQ468"/>
  <c r="AQ467"/>
  <c r="AQ466"/>
  <c r="AQ465"/>
  <c r="AQ464"/>
  <c r="AQ463"/>
  <c r="AQ462"/>
  <c r="AQ461"/>
  <c r="AQ460"/>
  <c r="AQ459"/>
  <c r="AQ458"/>
  <c r="AQ457"/>
  <c r="AQ456"/>
  <c r="AQ455"/>
  <c r="AQ454"/>
  <c r="AQ453"/>
  <c r="AQ452"/>
  <c r="AQ451"/>
  <c r="AQ450"/>
  <c r="AQ449"/>
  <c r="AQ448"/>
  <c r="AQ447"/>
  <c r="AQ446"/>
  <c r="AQ445"/>
  <c r="AQ444"/>
  <c r="AQ443"/>
  <c r="AQ442"/>
  <c r="AQ441"/>
  <c r="AQ440"/>
  <c r="AQ439"/>
  <c r="AQ438"/>
  <c r="AQ437"/>
  <c r="AQ436"/>
  <c r="AQ435"/>
  <c r="AQ434"/>
  <c r="AQ433"/>
  <c r="AQ432"/>
  <c r="AQ431"/>
  <c r="AQ430"/>
  <c r="AQ429"/>
  <c r="AQ428"/>
  <c r="AQ427"/>
  <c r="AQ426"/>
  <c r="AQ425"/>
  <c r="AQ424"/>
  <c r="AQ423"/>
  <c r="AQ422"/>
  <c r="AQ421"/>
  <c r="AQ420"/>
  <c r="AQ419"/>
  <c r="AQ418"/>
  <c r="AQ414"/>
  <c r="AQ417"/>
  <c r="AQ416"/>
  <c r="AQ415"/>
  <c r="AQ413"/>
  <c r="AQ412"/>
  <c r="AQ411"/>
  <c r="AQ410"/>
  <c r="AQ409"/>
  <c r="AQ408"/>
  <c r="AQ407"/>
  <c r="AQ406"/>
  <c r="AQ405"/>
  <c r="AQ404"/>
  <c r="AQ403"/>
  <c r="AQ402"/>
  <c r="AQ401"/>
  <c r="AQ400"/>
  <c r="AQ399"/>
  <c r="AQ398"/>
  <c r="AQ397"/>
  <c r="AQ396"/>
  <c r="AQ395"/>
  <c r="AQ369"/>
  <c r="AQ394"/>
  <c r="AQ393"/>
  <c r="AQ392"/>
  <c r="AQ391"/>
  <c r="AQ390"/>
  <c r="AQ389"/>
  <c r="AQ387"/>
  <c r="AQ386"/>
  <c r="AQ385"/>
  <c r="AQ384"/>
  <c r="AQ383"/>
  <c r="AQ382"/>
  <c r="AQ381"/>
  <c r="AQ380"/>
  <c r="AQ379"/>
  <c r="AQ378"/>
  <c r="AQ377"/>
  <c r="AQ376"/>
  <c r="AQ375"/>
  <c r="AQ374"/>
  <c r="AQ373"/>
  <c r="AQ372"/>
  <c r="AQ371"/>
  <c r="AQ370"/>
  <c r="AQ368"/>
  <c r="AQ367"/>
  <c r="AQ366"/>
  <c r="AQ365"/>
  <c r="AQ364"/>
  <c r="AQ363"/>
  <c r="AQ362"/>
  <c r="AQ361"/>
  <c r="AQ360"/>
  <c r="AQ359"/>
  <c r="AQ358"/>
  <c r="AQ357"/>
  <c r="AQ356"/>
  <c r="AQ388"/>
  <c r="AQ355"/>
  <c r="AQ354"/>
  <c r="AQ353"/>
  <c r="AQ352"/>
  <c r="AQ351"/>
  <c r="AQ350"/>
  <c r="AQ349"/>
  <c r="AQ348"/>
  <c r="AQ347"/>
  <c r="AQ346"/>
  <c r="AQ345"/>
  <c r="AQ344"/>
  <c r="AQ343"/>
  <c r="AQ342"/>
  <c r="AQ341"/>
  <c r="AQ340"/>
  <c r="AQ339"/>
  <c r="AQ338"/>
  <c r="AQ337"/>
  <c r="AQ336"/>
  <c r="AQ335"/>
  <c r="AQ334"/>
  <c r="AQ333"/>
  <c r="AQ332"/>
  <c r="AQ331"/>
  <c r="AQ330"/>
  <c r="AQ329"/>
  <c r="AQ328"/>
  <c r="AQ327"/>
  <c r="AQ326"/>
  <c r="AQ325"/>
  <c r="AQ324"/>
  <c r="AQ323"/>
  <c r="AQ322"/>
  <c r="AQ321"/>
  <c r="AQ320"/>
  <c r="AQ319"/>
  <c r="AQ318"/>
  <c r="AQ317"/>
  <c r="AQ316"/>
  <c r="AQ315"/>
  <c r="AQ314"/>
  <c r="AQ313"/>
  <c r="AQ312"/>
  <c r="AQ311"/>
  <c r="AQ310"/>
  <c r="AQ309"/>
  <c r="AQ308"/>
  <c r="AQ307"/>
  <c r="AQ306"/>
  <c r="AQ305"/>
  <c r="AQ304"/>
  <c r="AQ303"/>
  <c r="AQ302"/>
  <c r="AQ301"/>
  <c r="AQ300"/>
  <c r="AQ299"/>
  <c r="AQ298"/>
  <c r="AQ297"/>
  <c r="AQ296"/>
  <c r="AQ295"/>
  <c r="AQ294"/>
  <c r="AQ293"/>
  <c r="AQ292"/>
  <c r="AQ291"/>
  <c r="AQ290"/>
  <c r="AQ289"/>
  <c r="AQ288"/>
  <c r="AQ287"/>
  <c r="AQ286"/>
  <c r="AQ285"/>
  <c r="AQ280"/>
  <c r="AQ284"/>
  <c r="AQ283"/>
  <c r="AQ282"/>
  <c r="AQ281"/>
  <c r="AQ279"/>
  <c r="AQ278"/>
  <c r="AQ277"/>
  <c r="AQ276"/>
  <c r="AQ275"/>
  <c r="AQ274"/>
  <c r="AQ273"/>
  <c r="AQ272"/>
  <c r="AQ271"/>
  <c r="AQ270"/>
  <c r="AQ269"/>
  <c r="AQ268"/>
  <c r="AQ267"/>
  <c r="AQ266"/>
  <c r="AQ265"/>
  <c r="AQ264"/>
  <c r="AQ263"/>
  <c r="AQ262"/>
  <c r="AQ261"/>
  <c r="AQ260"/>
  <c r="AQ259"/>
  <c r="AQ258"/>
  <c r="AQ257"/>
  <c r="AQ256"/>
  <c r="AQ255"/>
  <c r="AQ254"/>
  <c r="AQ253"/>
  <c r="AQ252"/>
  <c r="AQ251"/>
  <c r="AQ250"/>
  <c r="AQ249"/>
  <c r="AQ248"/>
  <c r="AQ247"/>
  <c r="AQ246"/>
  <c r="AQ245"/>
  <c r="AQ244"/>
  <c r="AQ243"/>
  <c r="AQ242"/>
  <c r="AQ241"/>
  <c r="AQ240"/>
  <c r="AQ239"/>
  <c r="AQ238"/>
  <c r="AQ237"/>
  <c r="AQ236"/>
  <c r="AQ235"/>
  <c r="AQ234"/>
  <c r="AQ233"/>
  <c r="AQ232"/>
  <c r="AQ231"/>
  <c r="AQ230"/>
  <c r="AQ229"/>
  <c r="AQ228"/>
  <c r="AQ227"/>
  <c r="AQ226"/>
  <c r="AQ225"/>
  <c r="AQ224"/>
  <c r="AQ223"/>
  <c r="AQ222"/>
  <c r="AQ221"/>
  <c r="AQ220"/>
  <c r="AQ219"/>
  <c r="AQ218"/>
  <c r="AQ217"/>
  <c r="AQ216"/>
  <c r="AQ215"/>
  <c r="AQ214"/>
  <c r="AQ213"/>
  <c r="AQ212"/>
  <c r="AQ211"/>
  <c r="AQ210"/>
  <c r="AQ203"/>
  <c r="AQ187"/>
  <c r="AQ186"/>
  <c r="AQ185"/>
  <c r="AQ184"/>
  <c r="AQ183"/>
  <c r="AQ182"/>
  <c r="AQ181"/>
  <c r="AQ180"/>
  <c r="AQ179"/>
  <c r="AQ178"/>
  <c r="AQ177"/>
  <c r="AQ176"/>
  <c r="AQ175"/>
  <c r="AQ174"/>
  <c r="AQ173"/>
  <c r="AQ172"/>
  <c r="AQ171"/>
  <c r="AQ170"/>
  <c r="AQ169"/>
  <c r="AQ168"/>
  <c r="AQ167"/>
  <c r="AQ166"/>
  <c r="AQ165"/>
  <c r="AQ164"/>
  <c r="AQ163"/>
  <c r="AQ162"/>
  <c r="AQ161"/>
  <c r="AQ160"/>
  <c r="AQ159"/>
  <c r="AQ158"/>
  <c r="AQ157"/>
  <c r="AQ156"/>
  <c r="AQ155"/>
  <c r="AQ154"/>
  <c r="AQ153"/>
  <c r="AQ152"/>
  <c r="AQ144"/>
  <c r="AQ151"/>
  <c r="AQ150"/>
  <c r="AQ149"/>
  <c r="AQ148"/>
  <c r="AQ147"/>
  <c r="AQ146"/>
  <c r="AQ145"/>
  <c r="AQ143"/>
  <c r="AQ142"/>
  <c r="AQ141"/>
  <c r="AQ140"/>
  <c r="AQ139"/>
  <c r="AQ138"/>
  <c r="AQ137"/>
  <c r="AQ136"/>
  <c r="AQ135"/>
  <c r="AQ134"/>
  <c r="AQ133"/>
  <c r="AQ132"/>
  <c r="AQ131"/>
  <c r="AQ130"/>
  <c r="AQ129"/>
  <c r="AQ128"/>
  <c r="AQ127"/>
  <c r="AQ126"/>
  <c r="AQ125"/>
  <c r="AQ124"/>
  <c r="AQ123"/>
  <c r="AQ122"/>
  <c r="AQ121"/>
  <c r="AQ120"/>
  <c r="AQ119"/>
  <c r="AQ118"/>
  <c r="AQ108"/>
  <c r="AQ97"/>
  <c r="AQ117"/>
  <c r="AQ116"/>
  <c r="AQ115"/>
  <c r="AQ114"/>
  <c r="AQ113"/>
  <c r="AQ112"/>
  <c r="AQ111"/>
  <c r="AQ110"/>
  <c r="AQ109"/>
  <c r="AQ107"/>
  <c r="AQ106"/>
  <c r="AQ105"/>
  <c r="AQ104"/>
  <c r="AQ103"/>
  <c r="AQ102"/>
  <c r="AQ101"/>
  <c r="AQ100"/>
  <c r="AQ99"/>
  <c r="AQ98"/>
  <c r="AQ96"/>
  <c r="AQ95"/>
  <c r="AQ94"/>
  <c r="AQ93"/>
  <c r="AQ92"/>
  <c r="AQ90"/>
  <c r="AQ89"/>
  <c r="AQ88"/>
  <c r="AQ87"/>
  <c r="AQ86"/>
  <c r="AQ85"/>
  <c r="AQ84"/>
  <c r="AQ78"/>
  <c r="AQ77"/>
  <c r="AQ76"/>
  <c r="AQ75"/>
  <c r="AQ74"/>
  <c r="AQ73"/>
  <c r="AQ72"/>
  <c r="AQ71"/>
  <c r="AQ70"/>
  <c r="AQ69"/>
  <c r="AQ68"/>
  <c r="AQ67"/>
  <c r="AQ66"/>
  <c r="AQ65"/>
  <c r="AQ64"/>
  <c r="AQ63"/>
  <c r="AQ62"/>
  <c r="AQ61"/>
  <c r="AQ60"/>
  <c r="AQ59"/>
  <c r="AQ58"/>
  <c r="AQ57"/>
  <c r="AQ55"/>
  <c r="AQ56"/>
  <c r="AQ54"/>
  <c r="AQ53"/>
  <c r="AQ52"/>
  <c r="AQ51"/>
  <c r="AQ50"/>
  <c r="AQ49"/>
  <c r="AQ48"/>
  <c r="AQ47"/>
  <c r="AQ46"/>
  <c r="AQ45"/>
  <c r="AQ44"/>
  <c r="AQ43"/>
  <c r="AQ42"/>
  <c r="AQ41"/>
  <c r="AQ40"/>
  <c r="AQ39"/>
  <c r="AQ38"/>
  <c r="AQ37"/>
  <c r="AQ36"/>
  <c r="AQ35"/>
  <c r="AQ34"/>
  <c r="AQ33"/>
  <c r="AQ32"/>
  <c r="AQ31"/>
  <c r="AQ30"/>
  <c r="AQ29"/>
  <c r="AQ28"/>
  <c r="AQ27"/>
  <c r="AQ26"/>
  <c r="AQ25"/>
  <c r="AQ24"/>
  <c r="AQ23"/>
  <c r="AQ22"/>
  <c r="AQ21"/>
  <c r="AQ20"/>
  <c r="AQ19"/>
  <c r="AQ18"/>
  <c r="AQ17"/>
  <c r="AQ16"/>
  <c r="AQ15"/>
  <c r="AQ14"/>
  <c r="AQ13"/>
  <c r="AQ12"/>
  <c r="AQ11"/>
  <c r="AQ10"/>
  <c r="AQ9"/>
  <c r="AN717"/>
  <c r="AN716"/>
  <c r="AN715"/>
  <c r="AN714"/>
  <c r="AN713"/>
  <c r="AN712"/>
  <c r="AN711"/>
  <c r="AN710"/>
  <c r="AN709"/>
  <c r="AN708"/>
  <c r="AN707"/>
  <c r="AN706"/>
  <c r="AN705"/>
  <c r="AN704"/>
  <c r="AN703"/>
  <c r="AN702"/>
  <c r="AN701"/>
  <c r="AN700"/>
  <c r="AN699"/>
  <c r="AN698"/>
  <c r="AN697"/>
  <c r="AN696"/>
  <c r="AN695"/>
  <c r="AN694"/>
  <c r="AN693"/>
  <c r="AN692"/>
  <c r="AN691"/>
  <c r="AN689"/>
  <c r="AN688"/>
  <c r="AN687"/>
  <c r="AN686"/>
  <c r="AN685"/>
  <c r="AN684"/>
  <c r="AN683"/>
  <c r="AN690"/>
  <c r="AN682"/>
  <c r="AN681"/>
  <c r="AN680"/>
  <c r="AN679"/>
  <c r="AN678"/>
  <c r="AN677"/>
  <c r="AN676"/>
  <c r="AN675"/>
  <c r="AN674"/>
  <c r="AN673"/>
  <c r="AN672"/>
  <c r="AN671"/>
  <c r="AN670"/>
  <c r="AN669"/>
  <c r="AN668"/>
  <c r="AN667"/>
  <c r="AN666"/>
  <c r="AN665"/>
  <c r="AN664"/>
  <c r="AN663"/>
  <c r="AN662"/>
  <c r="AN658"/>
  <c r="AN661"/>
  <c r="AN660"/>
  <c r="AN659"/>
  <c r="AN657"/>
  <c r="AN656"/>
  <c r="AN655"/>
  <c r="AN654"/>
  <c r="AN653"/>
  <c r="AN652"/>
  <c r="AN651"/>
  <c r="AN650"/>
  <c r="AN649"/>
  <c r="AN648"/>
  <c r="AN647"/>
  <c r="AN646"/>
  <c r="AN645"/>
  <c r="AN644"/>
  <c r="AN643"/>
  <c r="AN642"/>
  <c r="AN641"/>
  <c r="AN640"/>
  <c r="AN639"/>
  <c r="AN638"/>
  <c r="AN637"/>
  <c r="AN636"/>
  <c r="AN635"/>
  <c r="AN634"/>
  <c r="AN633"/>
  <c r="AN632"/>
  <c r="AN631"/>
  <c r="AN630"/>
  <c r="AN629"/>
  <c r="AN628"/>
  <c r="AN627"/>
  <c r="AN626"/>
  <c r="AN625"/>
  <c r="AN624"/>
  <c r="AN623"/>
  <c r="AN622"/>
  <c r="AN621"/>
  <c r="AN620"/>
  <c r="AN619"/>
  <c r="AN618"/>
  <c r="AN617"/>
  <c r="AN616"/>
  <c r="AN615"/>
  <c r="AN614"/>
  <c r="AN613"/>
  <c r="AN612"/>
  <c r="AN611"/>
  <c r="AN610"/>
  <c r="AN609"/>
  <c r="AN608"/>
  <c r="AN607"/>
  <c r="AN606"/>
  <c r="AN605"/>
  <c r="AN604"/>
  <c r="AN603"/>
  <c r="AN602"/>
  <c r="AN601"/>
  <c r="AN600"/>
  <c r="AN599"/>
  <c r="AN598"/>
  <c r="AN597"/>
  <c r="AN596"/>
  <c r="AN595"/>
  <c r="AN594"/>
  <c r="AN593"/>
  <c r="AN592"/>
  <c r="AN591"/>
  <c r="AN590"/>
  <c r="AN589"/>
  <c r="AN588"/>
  <c r="AN587"/>
  <c r="AN586"/>
  <c r="AN585"/>
  <c r="AN584"/>
  <c r="AN583"/>
  <c r="AN582"/>
  <c r="AN581"/>
  <c r="AN580"/>
  <c r="AN579"/>
  <c r="AN578"/>
  <c r="AN563"/>
  <c r="AN577"/>
  <c r="AN576"/>
  <c r="AN575"/>
  <c r="AN574"/>
  <c r="AN573"/>
  <c r="AN572"/>
  <c r="AN571"/>
  <c r="AN570"/>
  <c r="AN569"/>
  <c r="AN568"/>
  <c r="AN567"/>
  <c r="AN566"/>
  <c r="AN565"/>
  <c r="AN564"/>
  <c r="AN559"/>
  <c r="AN562"/>
  <c r="AN561"/>
  <c r="AN560"/>
  <c r="AN558"/>
  <c r="AN557"/>
  <c r="AN556"/>
  <c r="AN555"/>
  <c r="AN554"/>
  <c r="AN553"/>
  <c r="AN552"/>
  <c r="AN551"/>
  <c r="AN550"/>
  <c r="AN549"/>
  <c r="AN548"/>
  <c r="AN547"/>
  <c r="AN546"/>
  <c r="AN545"/>
  <c r="AN544"/>
  <c r="AN543"/>
  <c r="AN542"/>
  <c r="AN541"/>
  <c r="AN540"/>
  <c r="AN539"/>
  <c r="AN538"/>
  <c r="AN537"/>
  <c r="AN536"/>
  <c r="AN535"/>
  <c r="AN534"/>
  <c r="AN533"/>
  <c r="AN532"/>
  <c r="AN531"/>
  <c r="AN530"/>
  <c r="AN529"/>
  <c r="AN528"/>
  <c r="AN527"/>
  <c r="AN526"/>
  <c r="AN525"/>
  <c r="AN524"/>
  <c r="AN523"/>
  <c r="AN522"/>
  <c r="AN521"/>
  <c r="AN520"/>
  <c r="AN519"/>
  <c r="AN518"/>
  <c r="AN517"/>
  <c r="AN516"/>
  <c r="AN515"/>
  <c r="AN514"/>
  <c r="AN513"/>
  <c r="AN512"/>
  <c r="AN511"/>
  <c r="AN510"/>
  <c r="AN509"/>
  <c r="AN508"/>
  <c r="AN507"/>
  <c r="AN506"/>
  <c r="AN505"/>
  <c r="AN504"/>
  <c r="AN503"/>
  <c r="AN502"/>
  <c r="AN501"/>
  <c r="AN500"/>
  <c r="AN499"/>
  <c r="AN498"/>
  <c r="AN497"/>
  <c r="AN496"/>
  <c r="AN495"/>
  <c r="AN494"/>
  <c r="AN493"/>
  <c r="AN492"/>
  <c r="AN491"/>
  <c r="AN490"/>
  <c r="AN489"/>
  <c r="AN488"/>
  <c r="AN487"/>
  <c r="AN486"/>
  <c r="AN485"/>
  <c r="AN484"/>
  <c r="AN483"/>
  <c r="AN482"/>
  <c r="AN481"/>
  <c r="AN480"/>
  <c r="AN479"/>
  <c r="AN478"/>
  <c r="AN477"/>
  <c r="AN476"/>
  <c r="AN475"/>
  <c r="AN474"/>
  <c r="AN473"/>
  <c r="AN472"/>
  <c r="AN471"/>
  <c r="AN470"/>
  <c r="AN469"/>
  <c r="AN468"/>
  <c r="AN467"/>
  <c r="AN466"/>
  <c r="AN465"/>
  <c r="AN464"/>
  <c r="AN463"/>
  <c r="AN462"/>
  <c r="AN461"/>
  <c r="AN460"/>
  <c r="AN459"/>
  <c r="AN458"/>
  <c r="AN457"/>
  <c r="AN456"/>
  <c r="AN455"/>
  <c r="AN454"/>
  <c r="AN453"/>
  <c r="AN452"/>
  <c r="AN451"/>
  <c r="AN450"/>
  <c r="AN449"/>
  <c r="AN448"/>
  <c r="AN447"/>
  <c r="AN446"/>
  <c r="AN445"/>
  <c r="AN444"/>
  <c r="AN443"/>
  <c r="AN442"/>
  <c r="AN441"/>
  <c r="AN440"/>
  <c r="AN439"/>
  <c r="AN438"/>
  <c r="AN437"/>
  <c r="AN436"/>
  <c r="AN435"/>
  <c r="AN434"/>
  <c r="AN433"/>
  <c r="AN432"/>
  <c r="AN431"/>
  <c r="AN430"/>
  <c r="AN429"/>
  <c r="AN428"/>
  <c r="AN427"/>
  <c r="AN426"/>
  <c r="AN425"/>
  <c r="AN424"/>
  <c r="AN423"/>
  <c r="AN422"/>
  <c r="AN421"/>
  <c r="AN420"/>
  <c r="AN419"/>
  <c r="AN418"/>
  <c r="AN414"/>
  <c r="AN417"/>
  <c r="AN416"/>
  <c r="AN415"/>
  <c r="AN413"/>
  <c r="AN412"/>
  <c r="AN411"/>
  <c r="AN410"/>
  <c r="AN409"/>
  <c r="AN408"/>
  <c r="AN407"/>
  <c r="AN406"/>
  <c r="AN405"/>
  <c r="AN404"/>
  <c r="AN403"/>
  <c r="AN402"/>
  <c r="AN401"/>
  <c r="AN400"/>
  <c r="AN399"/>
  <c r="AN398"/>
  <c r="AN397"/>
  <c r="AN396"/>
  <c r="AN395"/>
  <c r="AN369"/>
  <c r="AN394"/>
  <c r="AN393"/>
  <c r="AN392"/>
  <c r="AN391"/>
  <c r="AN390"/>
  <c r="AN389"/>
  <c r="AN387"/>
  <c r="AN386"/>
  <c r="AN385"/>
  <c r="AN384"/>
  <c r="AN383"/>
  <c r="AN382"/>
  <c r="AN381"/>
  <c r="AN380"/>
  <c r="AN379"/>
  <c r="AN378"/>
  <c r="AN377"/>
  <c r="AN376"/>
  <c r="AN375"/>
  <c r="AN374"/>
  <c r="AN373"/>
  <c r="AN372"/>
  <c r="AN371"/>
  <c r="AN370"/>
  <c r="AN368"/>
  <c r="AN367"/>
  <c r="AN366"/>
  <c r="AN365"/>
  <c r="AN364"/>
  <c r="AN363"/>
  <c r="AN362"/>
  <c r="AN361"/>
  <c r="AN360"/>
  <c r="AN359"/>
  <c r="AN358"/>
  <c r="AN357"/>
  <c r="AN356"/>
  <c r="AN388"/>
  <c r="AN355"/>
  <c r="AN354"/>
  <c r="AN353"/>
  <c r="AN352"/>
  <c r="AN351"/>
  <c r="AN350"/>
  <c r="AN349"/>
  <c r="AN348"/>
  <c r="AN347"/>
  <c r="AN346"/>
  <c r="AN345"/>
  <c r="AN344"/>
  <c r="AN343"/>
  <c r="AN342"/>
  <c r="AN341"/>
  <c r="AN340"/>
  <c r="AN339"/>
  <c r="AN338"/>
  <c r="AN337"/>
  <c r="AN336"/>
  <c r="AN335"/>
  <c r="AN334"/>
  <c r="AN333"/>
  <c r="AN332"/>
  <c r="AN331"/>
  <c r="AN330"/>
  <c r="AN329"/>
  <c r="AN328"/>
  <c r="AN327"/>
  <c r="AN326"/>
  <c r="AN325"/>
  <c r="AN324"/>
  <c r="AN323"/>
  <c r="AN322"/>
  <c r="AN321"/>
  <c r="AN320"/>
  <c r="AN319"/>
  <c r="AN318"/>
  <c r="AN317"/>
  <c r="AN316"/>
  <c r="AN315"/>
  <c r="AN314"/>
  <c r="AN313"/>
  <c r="AN312"/>
  <c r="AN311"/>
  <c r="AN310"/>
  <c r="AN309"/>
  <c r="AN308"/>
  <c r="AN307"/>
  <c r="AN306"/>
  <c r="AN305"/>
  <c r="AN304"/>
  <c r="AN303"/>
  <c r="AN302"/>
  <c r="AN301"/>
  <c r="AN300"/>
  <c r="AN299"/>
  <c r="AN298"/>
  <c r="AN297"/>
  <c r="AN296"/>
  <c r="AN295"/>
  <c r="AN294"/>
  <c r="AN293"/>
  <c r="AN292"/>
  <c r="AN291"/>
  <c r="AN290"/>
  <c r="AN289"/>
  <c r="AN288"/>
  <c r="AN287"/>
  <c r="AN286"/>
  <c r="AN285"/>
  <c r="AN280"/>
  <c r="AN284"/>
  <c r="AN283"/>
  <c r="AN282"/>
  <c r="AN281"/>
  <c r="AN279"/>
  <c r="AN278"/>
  <c r="AN277"/>
  <c r="AN276"/>
  <c r="AN275"/>
  <c r="AN274"/>
  <c r="AN273"/>
  <c r="AN272"/>
  <c r="AN271"/>
  <c r="AN270"/>
  <c r="AN269"/>
  <c r="AN268"/>
  <c r="AN267"/>
  <c r="AN266"/>
  <c r="AN265"/>
  <c r="AN264"/>
  <c r="AN263"/>
  <c r="AN262"/>
  <c r="AN261"/>
  <c r="AN260"/>
  <c r="AN259"/>
  <c r="AN258"/>
  <c r="AN257"/>
  <c r="AN256"/>
  <c r="AN255"/>
  <c r="AN254"/>
  <c r="AN253"/>
  <c r="AN252"/>
  <c r="AN251"/>
  <c r="AN250"/>
  <c r="AN249"/>
  <c r="AN248"/>
  <c r="AN247"/>
  <c r="AN246"/>
  <c r="AN245"/>
  <c r="AN244"/>
  <c r="AN243"/>
  <c r="AN242"/>
  <c r="AN239"/>
  <c r="AN238"/>
  <c r="AN237"/>
  <c r="AN236"/>
  <c r="AN235"/>
  <c r="AN234"/>
  <c r="AN233"/>
  <c r="AN232"/>
  <c r="AN231"/>
  <c r="AN230"/>
  <c r="AN229"/>
  <c r="AN228"/>
  <c r="AN227"/>
  <c r="AN226"/>
  <c r="AN225"/>
  <c r="AN224"/>
  <c r="AN223"/>
  <c r="AN222"/>
  <c r="AN221"/>
  <c r="AN220"/>
  <c r="AN219"/>
  <c r="AN218"/>
  <c r="AN217"/>
  <c r="AN216"/>
  <c r="AN215"/>
  <c r="AN214"/>
  <c r="AN213"/>
  <c r="AN212"/>
  <c r="AN211"/>
  <c r="AN210"/>
  <c r="AN209"/>
  <c r="AN208"/>
  <c r="AN207"/>
  <c r="AN206"/>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44"/>
  <c r="AN151"/>
  <c r="AN150"/>
  <c r="AN149"/>
  <c r="AN148"/>
  <c r="AN147"/>
  <c r="AN146"/>
  <c r="AN145"/>
  <c r="AN143"/>
  <c r="AN142"/>
  <c r="AN141"/>
  <c r="AN140"/>
  <c r="AN139"/>
  <c r="AN138"/>
  <c r="AN137"/>
  <c r="AN136"/>
  <c r="AN135"/>
  <c r="AN134"/>
  <c r="AN133"/>
  <c r="AN132"/>
  <c r="AN131"/>
  <c r="AN130"/>
  <c r="AN129"/>
  <c r="AN128"/>
  <c r="AN127"/>
  <c r="AN126"/>
  <c r="AN125"/>
  <c r="AN124"/>
  <c r="AN123"/>
  <c r="AN122"/>
  <c r="AN121"/>
  <c r="AN120"/>
  <c r="AN119"/>
  <c r="AN118"/>
  <c r="AN108"/>
  <c r="AN97"/>
  <c r="AN117"/>
  <c r="AN116"/>
  <c r="AN115"/>
  <c r="AN114"/>
  <c r="AN113"/>
  <c r="AN112"/>
  <c r="AN111"/>
  <c r="AN110"/>
  <c r="AN109"/>
  <c r="AN107"/>
  <c r="AN106"/>
  <c r="AN105"/>
  <c r="AN104"/>
  <c r="AN103"/>
  <c r="AN102"/>
  <c r="AN101"/>
  <c r="AN100"/>
  <c r="AN99"/>
  <c r="AN98"/>
  <c r="AN96"/>
  <c r="AN95"/>
  <c r="AN94"/>
  <c r="AN93"/>
  <c r="AN92"/>
  <c r="AN91"/>
  <c r="AN90"/>
  <c r="AN89"/>
  <c r="AN88"/>
  <c r="AN87"/>
  <c r="AN86"/>
  <c r="AN85"/>
  <c r="AN84"/>
  <c r="AN78"/>
  <c r="AN77"/>
  <c r="AN76"/>
  <c r="AN75"/>
  <c r="AN74"/>
  <c r="AN73"/>
  <c r="AN72"/>
  <c r="AN71"/>
  <c r="AN70"/>
  <c r="AN69"/>
  <c r="AN68"/>
  <c r="AN67"/>
  <c r="AN66"/>
  <c r="AN65"/>
  <c r="AN64"/>
  <c r="AN63"/>
  <c r="AN62"/>
  <c r="AN61"/>
  <c r="AN60"/>
  <c r="AN59"/>
  <c r="AN58"/>
  <c r="AN57"/>
  <c r="AN55"/>
  <c r="AN56"/>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K717"/>
  <c r="AK716"/>
  <c r="AK715"/>
  <c r="AK714"/>
  <c r="AK713"/>
  <c r="AK712"/>
  <c r="AK711"/>
  <c r="AK710"/>
  <c r="AK709"/>
  <c r="AK708"/>
  <c r="AK707"/>
  <c r="AK706"/>
  <c r="AK705"/>
  <c r="AK704"/>
  <c r="AK703"/>
  <c r="AK702"/>
  <c r="AK701"/>
  <c r="AK700"/>
  <c r="AK699"/>
  <c r="AK698"/>
  <c r="AK697"/>
  <c r="AK696"/>
  <c r="AK695"/>
  <c r="AK694"/>
  <c r="AK693"/>
  <c r="AK692"/>
  <c r="AK691"/>
  <c r="AK689"/>
  <c r="AK688"/>
  <c r="AK687"/>
  <c r="AK686"/>
  <c r="AK685"/>
  <c r="AK684"/>
  <c r="AK683"/>
  <c r="AK690"/>
  <c r="AK682"/>
  <c r="AK681"/>
  <c r="AK680"/>
  <c r="AK679"/>
  <c r="AK678"/>
  <c r="AK677"/>
  <c r="AK676"/>
  <c r="AK675"/>
  <c r="AK674"/>
  <c r="AK673"/>
  <c r="AK672"/>
  <c r="AK671"/>
  <c r="AK670"/>
  <c r="AK669"/>
  <c r="AK668"/>
  <c r="AK667"/>
  <c r="AK666"/>
  <c r="AK665"/>
  <c r="AK664"/>
  <c r="AK663"/>
  <c r="AK662"/>
  <c r="AK658"/>
  <c r="AK661"/>
  <c r="AK660"/>
  <c r="AK659"/>
  <c r="AK657"/>
  <c r="AK656"/>
  <c r="AK655"/>
  <c r="AK654"/>
  <c r="AK653"/>
  <c r="AK652"/>
  <c r="AK651"/>
  <c r="AK650"/>
  <c r="AK649"/>
  <c r="AK648"/>
  <c r="AK647"/>
  <c r="AK646"/>
  <c r="AK645"/>
  <c r="AK644"/>
  <c r="AK643"/>
  <c r="AK642"/>
  <c r="AK641"/>
  <c r="AK640"/>
  <c r="AK639"/>
  <c r="AK638"/>
  <c r="AK637"/>
  <c r="AK636"/>
  <c r="AK635"/>
  <c r="AK634"/>
  <c r="AK633"/>
  <c r="AK632"/>
  <c r="AK631"/>
  <c r="AK630"/>
  <c r="AK629"/>
  <c r="AK628"/>
  <c r="AK627"/>
  <c r="AK626"/>
  <c r="AK625"/>
  <c r="AK624"/>
  <c r="AK623"/>
  <c r="AK622"/>
  <c r="AK621"/>
  <c r="AK620"/>
  <c r="AK619"/>
  <c r="AK618"/>
  <c r="AK617"/>
  <c r="AK616"/>
  <c r="AK615"/>
  <c r="AK614"/>
  <c r="AK613"/>
  <c r="AK612"/>
  <c r="AK611"/>
  <c r="AK610"/>
  <c r="AK609"/>
  <c r="AK608"/>
  <c r="AK607"/>
  <c r="AK606"/>
  <c r="AK605"/>
  <c r="AK604"/>
  <c r="AK603"/>
  <c r="AK602"/>
  <c r="AK601"/>
  <c r="AK600"/>
  <c r="AK599"/>
  <c r="AK598"/>
  <c r="AK597"/>
  <c r="AK596"/>
  <c r="AK595"/>
  <c r="AK594"/>
  <c r="AK593"/>
  <c r="AK592"/>
  <c r="AK591"/>
  <c r="AK590"/>
  <c r="AK554"/>
  <c r="AK553"/>
  <c r="AK552"/>
  <c r="AK551"/>
  <c r="AK550"/>
  <c r="AK549"/>
  <c r="AK548"/>
  <c r="AK547"/>
  <c r="AK546"/>
  <c r="AK545"/>
  <c r="AK544"/>
  <c r="AK543"/>
  <c r="AK542"/>
  <c r="AK541"/>
  <c r="AK540"/>
  <c r="AK539"/>
  <c r="AK538"/>
  <c r="AK537"/>
  <c r="AK536"/>
  <c r="AK535"/>
  <c r="AK534"/>
  <c r="AK533"/>
  <c r="AK532"/>
  <c r="AK531"/>
  <c r="AK530"/>
  <c r="AK529"/>
  <c r="AK528"/>
  <c r="AK527"/>
  <c r="AK526"/>
  <c r="AK525"/>
  <c r="AK524"/>
  <c r="AK523"/>
  <c r="AK522"/>
  <c r="AK521"/>
  <c r="AK520"/>
  <c r="AK519"/>
  <c r="AK518"/>
  <c r="AK517"/>
  <c r="AK516"/>
  <c r="AK515"/>
  <c r="AK514"/>
  <c r="AK513"/>
  <c r="AK512"/>
  <c r="AK511"/>
  <c r="AK510"/>
  <c r="AK509"/>
  <c r="AK508"/>
  <c r="AK507"/>
  <c r="AK506"/>
  <c r="AK505"/>
  <c r="AK504"/>
  <c r="AK503"/>
  <c r="AK502"/>
  <c r="AK501"/>
  <c r="AK500"/>
  <c r="AK499"/>
  <c r="AK498"/>
  <c r="AK497"/>
  <c r="AK496"/>
  <c r="AK495"/>
  <c r="AK494"/>
  <c r="AK493"/>
  <c r="AK492"/>
  <c r="AK491"/>
  <c r="AK490"/>
  <c r="AK489"/>
  <c r="AK488"/>
  <c r="AK487"/>
  <c r="AK486"/>
  <c r="AK485"/>
  <c r="AK484"/>
  <c r="AK483"/>
  <c r="AK482"/>
  <c r="AK481"/>
  <c r="AK480"/>
  <c r="AK479"/>
  <c r="AK478"/>
  <c r="AK477"/>
  <c r="AK476"/>
  <c r="AK475"/>
  <c r="AK474"/>
  <c r="AK473"/>
  <c r="AK472"/>
  <c r="AK471"/>
  <c r="AK470"/>
  <c r="AK469"/>
  <c r="AK468"/>
  <c r="AK467"/>
  <c r="AK466"/>
  <c r="AK465"/>
  <c r="AK464"/>
  <c r="AK463"/>
  <c r="AK462"/>
  <c r="AK461"/>
  <c r="AK460"/>
  <c r="AK459"/>
  <c r="AK458"/>
  <c r="AK457"/>
  <c r="AK456"/>
  <c r="AK455"/>
  <c r="AK454"/>
  <c r="AK453"/>
  <c r="AK452"/>
  <c r="AK451"/>
  <c r="AK450"/>
  <c r="AK449"/>
  <c r="AK448"/>
  <c r="AK447"/>
  <c r="AK446"/>
  <c r="AK445"/>
  <c r="AK444"/>
  <c r="AK443"/>
  <c r="AK442"/>
  <c r="AK441"/>
  <c r="AK440"/>
  <c r="AK439"/>
  <c r="AK438"/>
  <c r="AK437"/>
  <c r="AK436"/>
  <c r="AK435"/>
  <c r="AK434"/>
  <c r="AK433"/>
  <c r="AK432"/>
  <c r="AK431"/>
  <c r="AK430"/>
  <c r="AK429"/>
  <c r="AK428"/>
  <c r="AK427"/>
  <c r="AK426"/>
  <c r="AK425"/>
  <c r="AK424"/>
  <c r="AK423"/>
  <c r="AK422"/>
  <c r="AK421"/>
  <c r="AK420"/>
  <c r="AK419"/>
  <c r="AK418"/>
  <c r="AK414"/>
  <c r="AK417"/>
  <c r="AK416"/>
  <c r="AK415"/>
  <c r="AK413"/>
  <c r="AK412"/>
  <c r="AK411"/>
  <c r="AK410"/>
  <c r="AK409"/>
  <c r="AK408"/>
  <c r="AK407"/>
  <c r="AK406"/>
  <c r="AK405"/>
  <c r="AK404"/>
  <c r="AK403"/>
  <c r="AK402"/>
  <c r="AK401"/>
  <c r="AK400"/>
  <c r="AK399"/>
  <c r="AK398"/>
  <c r="AK397"/>
  <c r="AK396"/>
  <c r="AK395"/>
  <c r="AK369"/>
  <c r="AK394"/>
  <c r="AK393"/>
  <c r="AK392"/>
  <c r="AK391"/>
  <c r="AK390"/>
  <c r="AK389"/>
  <c r="AK387"/>
  <c r="AK386"/>
  <c r="AK385"/>
  <c r="AK384"/>
  <c r="AK383"/>
  <c r="AK382"/>
  <c r="AK381"/>
  <c r="AK380"/>
  <c r="AK379"/>
  <c r="AK378"/>
  <c r="AK377"/>
  <c r="AK376"/>
  <c r="AK375"/>
  <c r="AK374"/>
  <c r="AK373"/>
  <c r="AK372"/>
  <c r="AK371"/>
  <c r="AK370"/>
  <c r="AK368"/>
  <c r="AK367"/>
  <c r="AK366"/>
  <c r="AK365"/>
  <c r="AK364"/>
  <c r="AK363"/>
  <c r="AK362"/>
  <c r="AK361"/>
  <c r="AK360"/>
  <c r="AK359"/>
  <c r="AK358"/>
  <c r="AK357"/>
  <c r="AK356"/>
  <c r="AK388"/>
  <c r="AK355"/>
  <c r="AK354"/>
  <c r="AK353"/>
  <c r="AK352"/>
  <c r="AK351"/>
  <c r="AK350"/>
  <c r="AK349"/>
  <c r="AK348"/>
  <c r="AK347"/>
  <c r="AK346"/>
  <c r="AK345"/>
  <c r="AK344"/>
  <c r="AK343"/>
  <c r="AK342"/>
  <c r="AK341"/>
  <c r="AK340"/>
  <c r="AK339"/>
  <c r="AK338"/>
  <c r="AK337"/>
  <c r="AK336"/>
  <c r="AK335"/>
  <c r="AK334"/>
  <c r="AK333"/>
  <c r="AK332"/>
  <c r="AK331"/>
  <c r="AK330"/>
  <c r="AK329"/>
  <c r="AK328"/>
  <c r="AK327"/>
  <c r="AK326"/>
  <c r="AK325"/>
  <c r="AK324"/>
  <c r="AK323"/>
  <c r="AK322"/>
  <c r="AK321"/>
  <c r="AK320"/>
  <c r="AK319"/>
  <c r="AK318"/>
  <c r="AK317"/>
  <c r="AK316"/>
  <c r="AK315"/>
  <c r="AK314"/>
  <c r="AK313"/>
  <c r="AK312"/>
  <c r="AK311"/>
  <c r="AK310"/>
  <c r="AK309"/>
  <c r="AK308"/>
  <c r="AK307"/>
  <c r="AK306"/>
  <c r="AK305"/>
  <c r="AK304"/>
  <c r="AK303"/>
  <c r="AK302"/>
  <c r="AK301"/>
  <c r="AK300"/>
  <c r="AK299"/>
  <c r="AK298"/>
  <c r="AK297"/>
  <c r="AK296"/>
  <c r="AK295"/>
  <c r="AK294"/>
  <c r="AK293"/>
  <c r="AK292"/>
  <c r="AK291"/>
  <c r="AK290"/>
  <c r="AK289"/>
  <c r="AK288"/>
  <c r="AK287"/>
  <c r="AK286"/>
  <c r="AK285"/>
  <c r="AK280"/>
  <c r="AK284"/>
  <c r="AK283"/>
  <c r="AK282"/>
  <c r="AK281"/>
  <c r="AK279"/>
  <c r="AK278"/>
  <c r="AK277"/>
  <c r="AK276"/>
  <c r="AK275"/>
  <c r="AK274"/>
  <c r="AK273"/>
  <c r="AK272"/>
  <c r="AK271"/>
  <c r="AK270"/>
  <c r="AK269"/>
  <c r="AK268"/>
  <c r="AK267"/>
  <c r="AK266"/>
  <c r="AK265"/>
  <c r="AK264"/>
  <c r="AK263"/>
  <c r="AK262"/>
  <c r="AK261"/>
  <c r="AK260"/>
  <c r="AK259"/>
  <c r="AK258"/>
  <c r="AK257"/>
  <c r="AK256"/>
  <c r="AK255"/>
  <c r="AK254"/>
  <c r="AK253"/>
  <c r="AK252"/>
  <c r="AK251"/>
  <c r="AK250"/>
  <c r="AK249"/>
  <c r="AK248"/>
  <c r="AK247"/>
  <c r="AK246"/>
  <c r="AK245"/>
  <c r="AK244"/>
  <c r="AK243"/>
  <c r="AK242"/>
  <c r="AK239"/>
  <c r="AK238"/>
  <c r="AK237"/>
  <c r="AK236"/>
  <c r="AK235"/>
  <c r="AK234"/>
  <c r="AK233"/>
  <c r="AK232"/>
  <c r="AK231"/>
  <c r="AK230"/>
  <c r="AK229"/>
  <c r="AK228"/>
  <c r="AK227"/>
  <c r="AK226"/>
  <c r="AK225"/>
  <c r="AK224"/>
  <c r="AK223"/>
  <c r="AK222"/>
  <c r="AK221"/>
  <c r="AK220"/>
  <c r="AK219"/>
  <c r="AK218"/>
  <c r="AK217"/>
  <c r="AK216"/>
  <c r="AK215"/>
  <c r="AK214"/>
  <c r="AK213"/>
  <c r="AK212"/>
  <c r="AK211"/>
  <c r="AK210"/>
  <c r="AK209"/>
  <c r="AK208"/>
  <c r="AK207"/>
  <c r="AK206"/>
  <c r="AK205"/>
  <c r="AK204"/>
  <c r="AK203"/>
  <c r="AK202"/>
  <c r="AK201"/>
  <c r="AK200"/>
  <c r="AK199"/>
  <c r="AK198"/>
  <c r="AK197"/>
  <c r="AK196"/>
  <c r="AK195"/>
  <c r="AK194"/>
  <c r="AK193"/>
  <c r="AK192"/>
  <c r="AK191"/>
  <c r="AK190"/>
  <c r="AK189"/>
  <c r="AK188"/>
  <c r="AK187"/>
  <c r="AK186"/>
  <c r="AK185"/>
  <c r="AK184"/>
  <c r="AK183"/>
  <c r="AK182"/>
  <c r="AK181"/>
  <c r="AK180"/>
  <c r="AK179"/>
  <c r="AK178"/>
  <c r="AK177"/>
  <c r="AK176"/>
  <c r="AK175"/>
  <c r="AK174"/>
  <c r="AK173"/>
  <c r="AK172"/>
  <c r="AK171"/>
  <c r="AK170"/>
  <c r="AK169"/>
  <c r="AK168"/>
  <c r="AK167"/>
  <c r="AK166"/>
  <c r="AK165"/>
  <c r="AK164"/>
  <c r="AK163"/>
  <c r="AK162"/>
  <c r="AK161"/>
  <c r="AK160"/>
  <c r="AK159"/>
  <c r="AK158"/>
  <c r="AK157"/>
  <c r="AK156"/>
  <c r="AK155"/>
  <c r="AK154"/>
  <c r="AK153"/>
  <c r="AK152"/>
  <c r="AK144"/>
  <c r="AK151"/>
  <c r="AK150"/>
  <c r="AK149"/>
  <c r="AK148"/>
  <c r="AK147"/>
  <c r="AK146"/>
  <c r="AK145"/>
  <c r="AK143"/>
  <c r="AK142"/>
  <c r="AK141"/>
  <c r="AK140"/>
  <c r="AK139"/>
  <c r="AK138"/>
  <c r="AK137"/>
  <c r="AK136"/>
  <c r="AK135"/>
  <c r="AK134"/>
  <c r="AK133"/>
  <c r="AK132"/>
  <c r="AK131"/>
  <c r="AK130"/>
  <c r="AK129"/>
  <c r="AK128"/>
  <c r="AK127"/>
  <c r="AK126"/>
  <c r="AK125"/>
  <c r="AK124"/>
  <c r="AK123"/>
  <c r="AK122"/>
  <c r="AK121"/>
  <c r="AK120"/>
  <c r="AK119"/>
  <c r="AK118"/>
  <c r="AK108"/>
  <c r="AK97"/>
  <c r="AK117"/>
  <c r="AK116"/>
  <c r="AK115"/>
  <c r="AK114"/>
  <c r="AK113"/>
  <c r="AK112"/>
  <c r="AK111"/>
  <c r="AK110"/>
  <c r="AK109"/>
  <c r="AK107"/>
  <c r="AK106"/>
  <c r="AK105"/>
  <c r="AK104"/>
  <c r="AK103"/>
  <c r="AK102"/>
  <c r="AK101"/>
  <c r="AK100"/>
  <c r="AK99"/>
  <c r="AK98"/>
  <c r="AK96"/>
  <c r="AK95"/>
  <c r="AK94"/>
  <c r="AK93"/>
  <c r="AK92"/>
  <c r="AK91"/>
  <c r="AK90"/>
  <c r="AK89"/>
  <c r="AK88"/>
  <c r="AK87"/>
  <c r="AK86"/>
  <c r="AK85"/>
  <c r="AK84"/>
  <c r="AK78"/>
  <c r="AK77"/>
  <c r="AK76"/>
  <c r="AK75"/>
  <c r="AK74"/>
  <c r="AK73"/>
  <c r="AK72"/>
  <c r="AK71"/>
  <c r="AK70"/>
  <c r="AK69"/>
  <c r="AK68"/>
  <c r="AK67"/>
  <c r="AK66"/>
  <c r="AK65"/>
  <c r="AK64"/>
  <c r="AK63"/>
  <c r="AK62"/>
  <c r="AK61"/>
  <c r="AK60"/>
  <c r="AK59"/>
  <c r="AK58"/>
  <c r="AK57"/>
  <c r="AK55"/>
  <c r="AK56"/>
  <c r="AK54"/>
  <c r="AK53"/>
  <c r="AK52"/>
  <c r="AK51"/>
  <c r="AK50"/>
  <c r="AK49"/>
  <c r="AK48"/>
  <c r="AK47"/>
  <c r="AK46"/>
  <c r="AK45"/>
  <c r="AK44"/>
  <c r="AK43"/>
  <c r="AK42"/>
  <c r="AK41"/>
  <c r="AK40"/>
  <c r="AK39"/>
  <c r="AK38"/>
  <c r="AK37"/>
  <c r="AK36"/>
  <c r="AK35"/>
  <c r="AK34"/>
  <c r="AK33"/>
  <c r="AK32"/>
  <c r="AK31"/>
  <c r="AK30"/>
  <c r="AK29"/>
  <c r="AK28"/>
  <c r="AK27"/>
  <c r="AK26"/>
  <c r="AK25"/>
  <c r="AK24"/>
  <c r="AK23"/>
  <c r="AK22"/>
  <c r="AK21"/>
  <c r="AK20"/>
  <c r="AK19"/>
  <c r="AK18"/>
  <c r="AK17"/>
  <c r="AK16"/>
  <c r="AK15"/>
  <c r="AK14"/>
  <c r="AK13"/>
  <c r="AK12"/>
  <c r="AK11"/>
  <c r="AK10"/>
  <c r="AK9"/>
  <c r="AH717"/>
  <c r="AH716"/>
  <c r="AH715"/>
  <c r="AH714"/>
  <c r="AH713"/>
  <c r="AH712"/>
  <c r="AH711"/>
  <c r="AH710"/>
  <c r="AH709"/>
  <c r="AH708"/>
  <c r="AH707"/>
  <c r="AH706"/>
  <c r="AH705"/>
  <c r="AH704"/>
  <c r="AH703"/>
  <c r="AH702"/>
  <c r="AH701"/>
  <c r="AH700"/>
  <c r="AH699"/>
  <c r="AH698"/>
  <c r="AH697"/>
  <c r="AH696"/>
  <c r="AH695"/>
  <c r="AH694"/>
  <c r="AH693"/>
  <c r="AH692"/>
  <c r="AH691"/>
  <c r="AH689"/>
  <c r="AH688"/>
  <c r="AH687"/>
  <c r="AH686"/>
  <c r="AH685"/>
  <c r="AH684"/>
  <c r="AH683"/>
  <c r="AH690"/>
  <c r="AH682"/>
  <c r="AH681"/>
  <c r="AH680"/>
  <c r="AH679"/>
  <c r="AH678"/>
  <c r="AH677"/>
  <c r="AH676"/>
  <c r="AH675"/>
  <c r="AH674"/>
  <c r="AH673"/>
  <c r="AH672"/>
  <c r="AH671"/>
  <c r="AH670"/>
  <c r="AH669"/>
  <c r="AH668"/>
  <c r="AH667"/>
  <c r="AH666"/>
  <c r="AH665"/>
  <c r="AH664"/>
  <c r="AH663"/>
  <c r="AH662"/>
  <c r="AH658"/>
  <c r="AH661"/>
  <c r="AH660"/>
  <c r="AH659"/>
  <c r="AH657"/>
  <c r="AH656"/>
  <c r="AH655"/>
  <c r="AH654"/>
  <c r="AH653"/>
  <c r="AH652"/>
  <c r="AH651"/>
  <c r="AH650"/>
  <c r="AH649"/>
  <c r="AH648"/>
  <c r="AH647"/>
  <c r="AH646"/>
  <c r="AH645"/>
  <c r="AH644"/>
  <c r="AH643"/>
  <c r="AH642"/>
  <c r="AH641"/>
  <c r="AH640"/>
  <c r="AH639"/>
  <c r="AH638"/>
  <c r="AH637"/>
  <c r="AH636"/>
  <c r="AH635"/>
  <c r="AH634"/>
  <c r="AH633"/>
  <c r="AH632"/>
  <c r="AH631"/>
  <c r="AH630"/>
  <c r="AH629"/>
  <c r="AH628"/>
  <c r="AH627"/>
  <c r="AH626"/>
  <c r="AH625"/>
  <c r="AH624"/>
  <c r="AH623"/>
  <c r="AH622"/>
  <c r="AH621"/>
  <c r="AH620"/>
  <c r="AH619"/>
  <c r="AH618"/>
  <c r="AH617"/>
  <c r="AH616"/>
  <c r="AH615"/>
  <c r="AH614"/>
  <c r="AH613"/>
  <c r="AH612"/>
  <c r="AH611"/>
  <c r="AH610"/>
  <c r="AH609"/>
  <c r="AH608"/>
  <c r="AH607"/>
  <c r="AH606"/>
  <c r="AH605"/>
  <c r="AH604"/>
  <c r="AH603"/>
  <c r="AH602"/>
  <c r="AH601"/>
  <c r="AH600"/>
  <c r="AH599"/>
  <c r="AH598"/>
  <c r="AH597"/>
  <c r="AH596"/>
  <c r="AH595"/>
  <c r="AH594"/>
  <c r="AH593"/>
  <c r="AH592"/>
  <c r="AH591"/>
  <c r="AH590"/>
  <c r="AH589"/>
  <c r="AH588"/>
  <c r="AH587"/>
  <c r="AH586"/>
  <c r="AH585"/>
  <c r="AH584"/>
  <c r="AH583"/>
  <c r="AH582"/>
  <c r="AH581"/>
  <c r="AH580"/>
  <c r="AH579"/>
  <c r="AH578"/>
  <c r="AH563"/>
  <c r="AH577"/>
  <c r="AH576"/>
  <c r="AH575"/>
  <c r="AH574"/>
  <c r="AH573"/>
  <c r="AH572"/>
  <c r="AH571"/>
  <c r="AH570"/>
  <c r="AH569"/>
  <c r="AH568"/>
  <c r="AH567"/>
  <c r="AH566"/>
  <c r="AH565"/>
  <c r="AH559"/>
  <c r="AH562"/>
  <c r="AH561"/>
  <c r="AH560"/>
  <c r="AH558"/>
  <c r="AH557"/>
  <c r="AH556"/>
  <c r="AH555"/>
  <c r="AH554"/>
  <c r="AH553"/>
  <c r="AH552"/>
  <c r="AH551"/>
  <c r="AH550"/>
  <c r="AH549"/>
  <c r="AH548"/>
  <c r="AH547"/>
  <c r="AH546"/>
  <c r="AH545"/>
  <c r="AH544"/>
  <c r="AH543"/>
  <c r="AH542"/>
  <c r="AH541"/>
  <c r="AH540"/>
  <c r="AH539"/>
  <c r="AH538"/>
  <c r="AH537"/>
  <c r="AH536"/>
  <c r="AH535"/>
  <c r="AH534"/>
  <c r="AH533"/>
  <c r="AH532"/>
  <c r="AH531"/>
  <c r="AH530"/>
  <c r="AH529"/>
  <c r="AH528"/>
  <c r="AH527"/>
  <c r="AH526"/>
  <c r="AH525"/>
  <c r="AH524"/>
  <c r="AH523"/>
  <c r="AH522"/>
  <c r="AH521"/>
  <c r="AH520"/>
  <c r="AH519"/>
  <c r="AH518"/>
  <c r="AH517"/>
  <c r="AH516"/>
  <c r="AH515"/>
  <c r="AH514"/>
  <c r="AH513"/>
  <c r="AH512"/>
  <c r="AH511"/>
  <c r="AH510"/>
  <c r="AH509"/>
  <c r="AH508"/>
  <c r="AH507"/>
  <c r="AH506"/>
  <c r="AH505"/>
  <c r="AH504"/>
  <c r="AH503"/>
  <c r="AH502"/>
  <c r="AH501"/>
  <c r="AH500"/>
  <c r="AH499"/>
  <c r="AH498"/>
  <c r="AH497"/>
  <c r="AH496"/>
  <c r="AH495"/>
  <c r="AH494"/>
  <c r="AH493"/>
  <c r="AH492"/>
  <c r="AH491"/>
  <c r="AH490"/>
  <c r="AH489"/>
  <c r="AH488"/>
  <c r="AH487"/>
  <c r="AH486"/>
  <c r="AH485"/>
  <c r="AH484"/>
  <c r="AH483"/>
  <c r="AH482"/>
  <c r="AH481"/>
  <c r="AH480"/>
  <c r="AH479"/>
  <c r="AH478"/>
  <c r="AH477"/>
  <c r="AH476"/>
  <c r="AH475"/>
  <c r="AH474"/>
  <c r="AH473"/>
  <c r="AH472"/>
  <c r="AH471"/>
  <c r="AH470"/>
  <c r="AH469"/>
  <c r="AH468"/>
  <c r="AH467"/>
  <c r="AH466"/>
  <c r="AH465"/>
  <c r="AH464"/>
  <c r="AH463"/>
  <c r="AH462"/>
  <c r="AH461"/>
  <c r="AH460"/>
  <c r="AH459"/>
  <c r="AH458"/>
  <c r="AH457"/>
  <c r="AH456"/>
  <c r="AH455"/>
  <c r="AH454"/>
  <c r="AH453"/>
  <c r="AH452"/>
  <c r="AH451"/>
  <c r="AH450"/>
  <c r="AH449"/>
  <c r="AH448"/>
  <c r="AH447"/>
  <c r="AH446"/>
  <c r="AH445"/>
  <c r="AH444"/>
  <c r="AH443"/>
  <c r="AH442"/>
  <c r="AH441"/>
  <c r="AH440"/>
  <c r="AH439"/>
  <c r="AH438"/>
  <c r="AH437"/>
  <c r="AH436"/>
  <c r="AH435"/>
  <c r="AH434"/>
  <c r="AH433"/>
  <c r="AH432"/>
  <c r="AH431"/>
  <c r="AH430"/>
  <c r="AH429"/>
  <c r="AH428"/>
  <c r="AH427"/>
  <c r="AH426"/>
  <c r="AH425"/>
  <c r="AH424"/>
  <c r="AH423"/>
  <c r="AH422"/>
  <c r="AH421"/>
  <c r="AH420"/>
  <c r="AH419"/>
  <c r="AH418"/>
  <c r="AH414"/>
  <c r="AH417"/>
  <c r="AH416"/>
  <c r="AH415"/>
  <c r="AH413"/>
  <c r="AH412"/>
  <c r="AH411"/>
  <c r="AH410"/>
  <c r="AH409"/>
  <c r="AH408"/>
  <c r="AH407"/>
  <c r="AH406"/>
  <c r="AH405"/>
  <c r="AH404"/>
  <c r="AH403"/>
  <c r="AH402"/>
  <c r="AH401"/>
  <c r="AH400"/>
  <c r="AH399"/>
  <c r="AH398"/>
  <c r="AH397"/>
  <c r="AH396"/>
  <c r="AH395"/>
  <c r="AH369"/>
  <c r="AH394"/>
  <c r="AH393"/>
  <c r="AH392"/>
  <c r="AH391"/>
  <c r="AH390"/>
  <c r="AH389"/>
  <c r="AH387"/>
  <c r="AH386"/>
  <c r="AH385"/>
  <c r="AH384"/>
  <c r="AH383"/>
  <c r="AH382"/>
  <c r="AH381"/>
  <c r="AH380"/>
  <c r="AH379"/>
  <c r="AH378"/>
  <c r="AH377"/>
  <c r="AH376"/>
  <c r="AH375"/>
  <c r="AH374"/>
  <c r="AH373"/>
  <c r="AH372"/>
  <c r="AH371"/>
  <c r="AH370"/>
  <c r="AH368"/>
  <c r="AH367"/>
  <c r="AH366"/>
  <c r="AH365"/>
  <c r="AH364"/>
  <c r="AH363"/>
  <c r="AH362"/>
  <c r="AH361"/>
  <c r="AH360"/>
  <c r="AH359"/>
  <c r="AH358"/>
  <c r="AH357"/>
  <c r="AH356"/>
  <c r="AH388"/>
  <c r="AH355"/>
  <c r="AH354"/>
  <c r="AH353"/>
  <c r="AH352"/>
  <c r="AH351"/>
  <c r="AH350"/>
  <c r="AH349"/>
  <c r="AH348"/>
  <c r="AH347"/>
  <c r="AH346"/>
  <c r="AH345"/>
  <c r="AH344"/>
  <c r="AH343"/>
  <c r="AH342"/>
  <c r="AH341"/>
  <c r="AH340"/>
  <c r="AH339"/>
  <c r="AH338"/>
  <c r="AH337"/>
  <c r="AH336"/>
  <c r="AH335"/>
  <c r="AH334"/>
  <c r="AH333"/>
  <c r="AH332"/>
  <c r="AH331"/>
  <c r="AH330"/>
  <c r="AH329"/>
  <c r="AH328"/>
  <c r="AH327"/>
  <c r="AH326"/>
  <c r="AH325"/>
  <c r="AH324"/>
  <c r="AH323"/>
  <c r="AH322"/>
  <c r="AH321"/>
  <c r="AH320"/>
  <c r="AH319"/>
  <c r="AH318"/>
  <c r="AH317"/>
  <c r="AH316"/>
  <c r="AH315"/>
  <c r="AH314"/>
  <c r="AH313"/>
  <c r="AH312"/>
  <c r="AH311"/>
  <c r="AH310"/>
  <c r="AH309"/>
  <c r="AH308"/>
  <c r="AH307"/>
  <c r="AH306"/>
  <c r="AH305"/>
  <c r="AH304"/>
  <c r="AH303"/>
  <c r="AH302"/>
  <c r="AH301"/>
  <c r="AH300"/>
  <c r="AH299"/>
  <c r="AH298"/>
  <c r="AH297"/>
  <c r="AH296"/>
  <c r="AH295"/>
  <c r="AH294"/>
  <c r="AH293"/>
  <c r="AH292"/>
  <c r="AH291"/>
  <c r="AH290"/>
  <c r="AH289"/>
  <c r="AH288"/>
  <c r="AH287"/>
  <c r="AH286"/>
  <c r="AH285"/>
  <c r="AH280"/>
  <c r="AH284"/>
  <c r="AH283"/>
  <c r="AH282"/>
  <c r="AH281"/>
  <c r="AH279"/>
  <c r="AH278"/>
  <c r="AH277"/>
  <c r="AH276"/>
  <c r="AH275"/>
  <c r="AH274"/>
  <c r="AH273"/>
  <c r="AH272"/>
  <c r="AH271"/>
  <c r="AH270"/>
  <c r="AH269"/>
  <c r="AH268"/>
  <c r="AH267"/>
  <c r="AH266"/>
  <c r="AH265"/>
  <c r="AH264"/>
  <c r="AH263"/>
  <c r="AH262"/>
  <c r="AH261"/>
  <c r="AH260"/>
  <c r="AH259"/>
  <c r="AH258"/>
  <c r="AH257"/>
  <c r="AH256"/>
  <c r="AH255"/>
  <c r="AH254"/>
  <c r="AH253"/>
  <c r="AH252"/>
  <c r="AH251"/>
  <c r="AH250"/>
  <c r="AH249"/>
  <c r="AH248"/>
  <c r="AH247"/>
  <c r="AH246"/>
  <c r="AH245"/>
  <c r="AH244"/>
  <c r="AH243"/>
  <c r="AH242"/>
  <c r="AH241"/>
  <c r="AH240"/>
  <c r="AH239"/>
  <c r="AH238"/>
  <c r="AH237"/>
  <c r="AH236"/>
  <c r="AH235"/>
  <c r="AH234"/>
  <c r="AH233"/>
  <c r="AH232"/>
  <c r="AH231"/>
  <c r="AH230"/>
  <c r="AH229"/>
  <c r="AH228"/>
  <c r="AH227"/>
  <c r="AH226"/>
  <c r="AH225"/>
  <c r="AH224"/>
  <c r="AH223"/>
  <c r="AH222"/>
  <c r="AH221"/>
  <c r="AH220"/>
  <c r="AH219"/>
  <c r="AH218"/>
  <c r="AH217"/>
  <c r="AH216"/>
  <c r="AH215"/>
  <c r="AH214"/>
  <c r="AH213"/>
  <c r="AH212"/>
  <c r="AH211"/>
  <c r="AH210"/>
  <c r="AH209"/>
  <c r="AH208"/>
  <c r="AH207"/>
  <c r="AH206"/>
  <c r="AH205"/>
  <c r="AH204"/>
  <c r="AH203"/>
  <c r="AH202"/>
  <c r="AH201"/>
  <c r="AH200"/>
  <c r="AH199"/>
  <c r="AH198"/>
  <c r="AH197"/>
  <c r="AH196"/>
  <c r="AH195"/>
  <c r="AH193"/>
  <c r="AH187"/>
  <c r="AH186"/>
  <c r="AH185"/>
  <c r="AH184"/>
  <c r="AH183"/>
  <c r="AH182"/>
  <c r="AH181"/>
  <c r="AH180"/>
  <c r="AH179"/>
  <c r="AH178"/>
  <c r="AH177"/>
  <c r="AH176"/>
  <c r="AH175"/>
  <c r="AH174"/>
  <c r="AH173"/>
  <c r="AH172"/>
  <c r="AH171"/>
  <c r="AH170"/>
  <c r="AH169"/>
  <c r="AH168"/>
  <c r="AH167"/>
  <c r="AH166"/>
  <c r="AH165"/>
  <c r="AH164"/>
  <c r="AH163"/>
  <c r="AH162"/>
  <c r="AH161"/>
  <c r="AH160"/>
  <c r="AH159"/>
  <c r="AH158"/>
  <c r="AH157"/>
  <c r="AH156"/>
  <c r="AH155"/>
  <c r="AH154"/>
  <c r="AH153"/>
  <c r="AH152"/>
  <c r="AH144"/>
  <c r="AH151"/>
  <c r="AH150"/>
  <c r="AH149"/>
  <c r="AH148"/>
  <c r="AH147"/>
  <c r="AH146"/>
  <c r="AH145"/>
  <c r="AH143"/>
  <c r="AH142"/>
  <c r="AH141"/>
  <c r="AH140"/>
  <c r="AH139"/>
  <c r="AH138"/>
  <c r="AH137"/>
  <c r="AH136"/>
  <c r="AH135"/>
  <c r="AH134"/>
  <c r="AH133"/>
  <c r="AH132"/>
  <c r="AH131"/>
  <c r="AH130"/>
  <c r="AH129"/>
  <c r="AH128"/>
  <c r="AH127"/>
  <c r="AH126"/>
  <c r="AH125"/>
  <c r="AH124"/>
  <c r="AH123"/>
  <c r="AH122"/>
  <c r="AH121"/>
  <c r="AH120"/>
  <c r="AH119"/>
  <c r="AH118"/>
  <c r="AH108"/>
  <c r="AH97"/>
  <c r="AH117"/>
  <c r="AH116"/>
  <c r="AH115"/>
  <c r="AH114"/>
  <c r="AH113"/>
  <c r="AH112"/>
  <c r="AH111"/>
  <c r="AH110"/>
  <c r="AH109"/>
  <c r="AH107"/>
  <c r="AH106"/>
  <c r="AH105"/>
  <c r="AH104"/>
  <c r="AH103"/>
  <c r="AH102"/>
  <c r="AH101"/>
  <c r="AH100"/>
  <c r="AH99"/>
  <c r="AH98"/>
  <c r="AH96"/>
  <c r="AH95"/>
  <c r="AH94"/>
  <c r="AH93"/>
  <c r="AH92"/>
  <c r="AH91"/>
  <c r="AH90"/>
  <c r="AH89"/>
  <c r="AH88"/>
  <c r="AH87"/>
  <c r="AH86"/>
  <c r="AH85"/>
  <c r="AH84"/>
  <c r="AH78"/>
  <c r="AH77"/>
  <c r="AH76"/>
  <c r="AH75"/>
  <c r="AH74"/>
  <c r="AH73"/>
  <c r="AH72"/>
  <c r="AH71"/>
  <c r="AH70"/>
  <c r="AH69"/>
  <c r="AH68"/>
  <c r="AH67"/>
  <c r="AH66"/>
  <c r="AH65"/>
  <c r="AH64"/>
  <c r="AH63"/>
  <c r="AH62"/>
  <c r="AH61"/>
  <c r="AH60"/>
  <c r="AH59"/>
  <c r="AH58"/>
  <c r="AH57"/>
  <c r="AH55"/>
  <c r="AH56"/>
  <c r="AH54"/>
  <c r="AH53"/>
  <c r="AH52"/>
  <c r="AH51"/>
  <c r="AH50"/>
  <c r="AH49"/>
  <c r="AH48"/>
  <c r="AH47"/>
  <c r="AH46"/>
  <c r="AH45"/>
  <c r="AH44"/>
  <c r="AH43"/>
  <c r="AH42"/>
  <c r="AH41"/>
  <c r="AH40"/>
  <c r="AH39"/>
  <c r="AH38"/>
  <c r="AH37"/>
  <c r="AH36"/>
  <c r="AH35"/>
  <c r="AH34"/>
  <c r="AH33"/>
  <c r="AH32"/>
  <c r="AH31"/>
  <c r="AH30"/>
  <c r="AH29"/>
  <c r="AH28"/>
  <c r="AH27"/>
  <c r="AH26"/>
  <c r="AH25"/>
  <c r="AH24"/>
  <c r="AH23"/>
  <c r="AH22"/>
  <c r="AH21"/>
  <c r="AH20"/>
  <c r="AH19"/>
  <c r="AH18"/>
  <c r="AH17"/>
  <c r="AH16"/>
  <c r="AH15"/>
  <c r="AH14"/>
  <c r="AH13"/>
  <c r="AH12"/>
  <c r="AH11"/>
  <c r="AH10"/>
  <c r="AH9"/>
  <c r="AE717"/>
  <c r="AE716"/>
  <c r="AE715"/>
  <c r="AE714"/>
  <c r="AE713"/>
  <c r="AE712"/>
  <c r="AE711"/>
  <c r="AE710"/>
  <c r="AE709"/>
  <c r="AE708"/>
  <c r="AE707"/>
  <c r="AE706"/>
  <c r="AE705"/>
  <c r="AE704"/>
  <c r="AE703"/>
  <c r="AE702"/>
  <c r="AE701"/>
  <c r="AE700"/>
  <c r="AE699"/>
  <c r="AE698"/>
  <c r="AE697"/>
  <c r="AE696"/>
  <c r="AE695"/>
  <c r="AE694"/>
  <c r="AE693"/>
  <c r="AE692"/>
  <c r="AE691"/>
  <c r="AE689"/>
  <c r="AE688"/>
  <c r="AE687"/>
  <c r="AE686"/>
  <c r="AE685"/>
  <c r="AE684"/>
  <c r="AE683"/>
  <c r="AE690"/>
  <c r="AE682"/>
  <c r="AE681"/>
  <c r="AE680"/>
  <c r="AE679"/>
  <c r="AE678"/>
  <c r="AE677"/>
  <c r="AE676"/>
  <c r="AE675"/>
  <c r="AE674"/>
  <c r="AE673"/>
  <c r="AE672"/>
  <c r="AE671"/>
  <c r="AE670"/>
  <c r="AE669"/>
  <c r="AE668"/>
  <c r="AE667"/>
  <c r="AE666"/>
  <c r="AE665"/>
  <c r="AE664"/>
  <c r="AE663"/>
  <c r="AE662"/>
  <c r="AE658"/>
  <c r="AE661"/>
  <c r="AE660"/>
  <c r="AE659"/>
  <c r="AE657"/>
  <c r="AE656"/>
  <c r="AE655"/>
  <c r="AE654"/>
  <c r="AE653"/>
  <c r="AE652"/>
  <c r="AE651"/>
  <c r="AE650"/>
  <c r="AE649"/>
  <c r="AE648"/>
  <c r="AE647"/>
  <c r="AE646"/>
  <c r="AE645"/>
  <c r="AE644"/>
  <c r="AE643"/>
  <c r="AE642"/>
  <c r="AE641"/>
  <c r="AE640"/>
  <c r="AE639"/>
  <c r="AE638"/>
  <c r="AE637"/>
  <c r="AE636"/>
  <c r="AE635"/>
  <c r="AE634"/>
  <c r="AE633"/>
  <c r="AE632"/>
  <c r="AE631"/>
  <c r="AE630"/>
  <c r="AE629"/>
  <c r="AE628"/>
  <c r="AE627"/>
  <c r="AE626"/>
  <c r="AE625"/>
  <c r="AE624"/>
  <c r="AE623"/>
  <c r="AE622"/>
  <c r="AE621"/>
  <c r="AE620"/>
  <c r="AE619"/>
  <c r="AE618"/>
  <c r="AE617"/>
  <c r="AE616"/>
  <c r="AE615"/>
  <c r="AE614"/>
  <c r="AE613"/>
  <c r="AE612"/>
  <c r="AE611"/>
  <c r="AE610"/>
  <c r="AE609"/>
  <c r="AE608"/>
  <c r="AE607"/>
  <c r="AE606"/>
  <c r="AE605"/>
  <c r="AE604"/>
  <c r="AE603"/>
  <c r="AE602"/>
  <c r="AE601"/>
  <c r="AE600"/>
  <c r="AE599"/>
  <c r="AE598"/>
  <c r="AE597"/>
  <c r="AE596"/>
  <c r="AE595"/>
  <c r="AE594"/>
  <c r="AE593"/>
  <c r="AE592"/>
  <c r="AE591"/>
  <c r="AE590"/>
  <c r="AE589"/>
  <c r="AE588"/>
  <c r="AE587"/>
  <c r="AE586"/>
  <c r="AE585"/>
  <c r="AE584"/>
  <c r="AE583"/>
  <c r="AE582"/>
  <c r="AE581"/>
  <c r="AE580"/>
  <c r="AE579"/>
  <c r="AE578"/>
  <c r="AE563"/>
  <c r="AE577"/>
  <c r="AE576"/>
  <c r="AE575"/>
  <c r="AE574"/>
  <c r="AE573"/>
  <c r="AE572"/>
  <c r="AE571"/>
  <c r="AE570"/>
  <c r="AE569"/>
  <c r="AE568"/>
  <c r="AE567"/>
  <c r="AE566"/>
  <c r="AE565"/>
  <c r="AE564"/>
  <c r="AE559"/>
  <c r="AE562"/>
  <c r="AE561"/>
  <c r="AE560"/>
  <c r="AE558"/>
  <c r="AE557"/>
  <c r="AE556"/>
  <c r="AE555"/>
  <c r="AE554"/>
  <c r="AE553"/>
  <c r="AE552"/>
  <c r="AE551"/>
  <c r="AE550"/>
  <c r="AE549"/>
  <c r="AE548"/>
  <c r="AE547"/>
  <c r="AE546"/>
  <c r="AE545"/>
  <c r="AE544"/>
  <c r="AE543"/>
  <c r="AE542"/>
  <c r="AE541"/>
  <c r="AE540"/>
  <c r="AE539"/>
  <c r="AE538"/>
  <c r="AE537"/>
  <c r="AE536"/>
  <c r="AE535"/>
  <c r="AE534"/>
  <c r="AE533"/>
  <c r="AE532"/>
  <c r="AE531"/>
  <c r="AE530"/>
  <c r="AE529"/>
  <c r="AE528"/>
  <c r="AE527"/>
  <c r="AE526"/>
  <c r="AE525"/>
  <c r="AE524"/>
  <c r="AE523"/>
  <c r="AE522"/>
  <c r="AE521"/>
  <c r="AE520"/>
  <c r="AE519"/>
  <c r="AE518"/>
  <c r="AE517"/>
  <c r="AE516"/>
  <c r="AE515"/>
  <c r="AE514"/>
  <c r="AE513"/>
  <c r="AE512"/>
  <c r="AE511"/>
  <c r="AE510"/>
  <c r="AE509"/>
  <c r="AE508"/>
  <c r="AE507"/>
  <c r="AE506"/>
  <c r="AE505"/>
  <c r="AE504"/>
  <c r="AE503"/>
  <c r="AE502"/>
  <c r="AE501"/>
  <c r="AE500"/>
  <c r="AE499"/>
  <c r="AE498"/>
  <c r="AE497"/>
  <c r="AE496"/>
  <c r="AE495"/>
  <c r="AE494"/>
  <c r="AE493"/>
  <c r="AE492"/>
  <c r="AE491"/>
  <c r="AE490"/>
  <c r="AE489"/>
  <c r="AE488"/>
  <c r="AE487"/>
  <c r="AE486"/>
  <c r="AE485"/>
  <c r="AE484"/>
  <c r="AE483"/>
  <c r="AE482"/>
  <c r="AE481"/>
  <c r="AE480"/>
  <c r="AE479"/>
  <c r="AE478"/>
  <c r="AE477"/>
  <c r="AE476"/>
  <c r="AE475"/>
  <c r="AE474"/>
  <c r="AE473"/>
  <c r="AE472"/>
  <c r="AE471"/>
  <c r="AE470"/>
  <c r="AE469"/>
  <c r="AE468"/>
  <c r="AE467"/>
  <c r="AE466"/>
  <c r="AE465"/>
  <c r="AE464"/>
  <c r="AE463"/>
  <c r="AE462"/>
  <c r="AE461"/>
  <c r="AE460"/>
  <c r="AE459"/>
  <c r="AE458"/>
  <c r="AE457"/>
  <c r="AE456"/>
  <c r="AE455"/>
  <c r="AE454"/>
  <c r="AE453"/>
  <c r="AE452"/>
  <c r="AE451"/>
  <c r="AE450"/>
  <c r="AE449"/>
  <c r="AE448"/>
  <c r="AE447"/>
  <c r="AE446"/>
  <c r="AE445"/>
  <c r="AE444"/>
  <c r="AE443"/>
  <c r="AE442"/>
  <c r="AE441"/>
  <c r="AE440"/>
  <c r="AE439"/>
  <c r="AE438"/>
  <c r="AE437"/>
  <c r="AE436"/>
  <c r="AE435"/>
  <c r="AE434"/>
  <c r="AE433"/>
  <c r="AE432"/>
  <c r="AE431"/>
  <c r="AE430"/>
  <c r="AE429"/>
  <c r="AE428"/>
  <c r="AE427"/>
  <c r="AE426"/>
  <c r="AE425"/>
  <c r="AE424"/>
  <c r="AE423"/>
  <c r="AE422"/>
  <c r="AE421"/>
  <c r="AE420"/>
  <c r="AE419"/>
  <c r="AE418"/>
  <c r="AE414"/>
  <c r="AE417"/>
  <c r="AE416"/>
  <c r="AE415"/>
  <c r="AE413"/>
  <c r="AE412"/>
  <c r="AE411"/>
  <c r="AE410"/>
  <c r="AE409"/>
  <c r="AE408"/>
  <c r="AE407"/>
  <c r="AE406"/>
  <c r="AE405"/>
  <c r="AE404"/>
  <c r="AE403"/>
  <c r="AE402"/>
  <c r="AE401"/>
  <c r="AE400"/>
  <c r="AE399"/>
  <c r="AE398"/>
  <c r="AE397"/>
  <c r="AE396"/>
  <c r="AE395"/>
  <c r="AE369"/>
  <c r="AE394"/>
  <c r="AE393"/>
  <c r="AE392"/>
  <c r="AE391"/>
  <c r="AE390"/>
  <c r="AE389"/>
  <c r="AE387"/>
  <c r="AE386"/>
  <c r="AE385"/>
  <c r="AE384"/>
  <c r="AE383"/>
  <c r="AE382"/>
  <c r="AE381"/>
  <c r="AE380"/>
  <c r="AE379"/>
  <c r="AE378"/>
  <c r="AE377"/>
  <c r="AE376"/>
  <c r="AE375"/>
  <c r="AE374"/>
  <c r="AE373"/>
  <c r="AE372"/>
  <c r="AE371"/>
  <c r="AE370"/>
  <c r="AE368"/>
  <c r="AE367"/>
  <c r="AE366"/>
  <c r="AE365"/>
  <c r="AE364"/>
  <c r="AE363"/>
  <c r="AE362"/>
  <c r="AE361"/>
  <c r="AE360"/>
  <c r="AE359"/>
  <c r="AE358"/>
  <c r="AE357"/>
  <c r="AE356"/>
  <c r="AE388"/>
  <c r="AE355"/>
  <c r="AE354"/>
  <c r="AE353"/>
  <c r="AE352"/>
  <c r="AE351"/>
  <c r="AE350"/>
  <c r="AE349"/>
  <c r="AE348"/>
  <c r="AE347"/>
  <c r="AE346"/>
  <c r="AE345"/>
  <c r="AE344"/>
  <c r="AE343"/>
  <c r="AE342"/>
  <c r="AE341"/>
  <c r="AE340"/>
  <c r="AE339"/>
  <c r="AE338"/>
  <c r="AE337"/>
  <c r="AE336"/>
  <c r="AE335"/>
  <c r="AE334"/>
  <c r="AE333"/>
  <c r="AE332"/>
  <c r="AE331"/>
  <c r="AE330"/>
  <c r="AE329"/>
  <c r="AE328"/>
  <c r="AE327"/>
  <c r="AE326"/>
  <c r="AE325"/>
  <c r="AE324"/>
  <c r="AE323"/>
  <c r="AE322"/>
  <c r="AE321"/>
  <c r="AE320"/>
  <c r="AE319"/>
  <c r="AE318"/>
  <c r="AE317"/>
  <c r="AE316"/>
  <c r="AE315"/>
  <c r="AE314"/>
  <c r="AE313"/>
  <c r="AE312"/>
  <c r="AE311"/>
  <c r="AE310"/>
  <c r="AE309"/>
  <c r="AE308"/>
  <c r="AE307"/>
  <c r="AE306"/>
  <c r="AE305"/>
  <c r="AE304"/>
  <c r="AE303"/>
  <c r="AE302"/>
  <c r="AE301"/>
  <c r="AE300"/>
  <c r="AE299"/>
  <c r="AE298"/>
  <c r="AE297"/>
  <c r="AE296"/>
  <c r="AE295"/>
  <c r="AE294"/>
  <c r="AE293"/>
  <c r="AE292"/>
  <c r="AE291"/>
  <c r="AE290"/>
  <c r="AE289"/>
  <c r="AE288"/>
  <c r="AE287"/>
  <c r="AE286"/>
  <c r="AE285"/>
  <c r="AE280"/>
  <c r="AE284"/>
  <c r="AE283"/>
  <c r="AE282"/>
  <c r="AE281"/>
  <c r="AE279"/>
  <c r="AE278"/>
  <c r="AE277"/>
  <c r="AE276"/>
  <c r="AE275"/>
  <c r="AE274"/>
  <c r="AE273"/>
  <c r="AE272"/>
  <c r="AE271"/>
  <c r="AE270"/>
  <c r="AE269"/>
  <c r="AE268"/>
  <c r="AE267"/>
  <c r="AE266"/>
  <c r="AE265"/>
  <c r="AE264"/>
  <c r="AE263"/>
  <c r="AE262"/>
  <c r="AE261"/>
  <c r="AE260"/>
  <c r="AE259"/>
  <c r="AE258"/>
  <c r="AE257"/>
  <c r="AE256"/>
  <c r="AE255"/>
  <c r="AE254"/>
  <c r="AE253"/>
  <c r="AE252"/>
  <c r="AE251"/>
  <c r="AE250"/>
  <c r="AE249"/>
  <c r="AE248"/>
  <c r="AE247"/>
  <c r="AE246"/>
  <c r="AE245"/>
  <c r="AE244"/>
  <c r="AE243"/>
  <c r="AE242"/>
  <c r="AE241"/>
  <c r="AE240"/>
  <c r="AE239"/>
  <c r="AE238"/>
  <c r="AE237"/>
  <c r="AE236"/>
  <c r="AE235"/>
  <c r="AE234"/>
  <c r="AE233"/>
  <c r="AE232"/>
  <c r="AE231"/>
  <c r="AE230"/>
  <c r="AE229"/>
  <c r="AE228"/>
  <c r="AE227"/>
  <c r="AE226"/>
  <c r="AE225"/>
  <c r="AE224"/>
  <c r="AE223"/>
  <c r="AE222"/>
  <c r="AE221"/>
  <c r="AE220"/>
  <c r="AE219"/>
  <c r="AE218"/>
  <c r="AE217"/>
  <c r="AE216"/>
  <c r="AE215"/>
  <c r="AE214"/>
  <c r="AE213"/>
  <c r="AE212"/>
  <c r="AE211"/>
  <c r="AE210"/>
  <c r="AE209"/>
  <c r="AE208"/>
  <c r="AE207"/>
  <c r="AE206"/>
  <c r="AE205"/>
  <c r="AE204"/>
  <c r="AE203"/>
  <c r="AE202"/>
  <c r="AE201"/>
  <c r="AE200"/>
  <c r="AE199"/>
  <c r="AE198"/>
  <c r="AE197"/>
  <c r="AE196"/>
  <c r="AE195"/>
  <c r="AE193"/>
  <c r="AE189"/>
  <c r="AE187"/>
  <c r="AE186"/>
  <c r="AE185"/>
  <c r="AE184"/>
  <c r="AE183"/>
  <c r="AE182"/>
  <c r="AE181"/>
  <c r="AE180"/>
  <c r="AE179"/>
  <c r="AE178"/>
  <c r="AE177"/>
  <c r="AE176"/>
  <c r="AE175"/>
  <c r="AE174"/>
  <c r="AE173"/>
  <c r="AE172"/>
  <c r="AE171"/>
  <c r="AE170"/>
  <c r="AE169"/>
  <c r="AE168"/>
  <c r="AE167"/>
  <c r="AE166"/>
  <c r="AE165"/>
  <c r="AE164"/>
  <c r="AE163"/>
  <c r="AE162"/>
  <c r="AE161"/>
  <c r="AE160"/>
  <c r="AE159"/>
  <c r="AE158"/>
  <c r="AE157"/>
  <c r="AE156"/>
  <c r="AE155"/>
  <c r="AE154"/>
  <c r="AE153"/>
  <c r="AE152"/>
  <c r="AE144"/>
  <c r="AE151"/>
  <c r="AE150"/>
  <c r="AE149"/>
  <c r="AE148"/>
  <c r="AE147"/>
  <c r="AE146"/>
  <c r="AE145"/>
  <c r="AE143"/>
  <c r="AE142"/>
  <c r="AE141"/>
  <c r="AE140"/>
  <c r="AE139"/>
  <c r="AE138"/>
  <c r="AE137"/>
  <c r="AE136"/>
  <c r="AE135"/>
  <c r="AE134"/>
  <c r="AE133"/>
  <c r="AE132"/>
  <c r="AE131"/>
  <c r="AE130"/>
  <c r="AE129"/>
  <c r="AE128"/>
  <c r="AE127"/>
  <c r="AE126"/>
  <c r="AE125"/>
  <c r="AE124"/>
  <c r="AE123"/>
  <c r="AE122"/>
  <c r="AE121"/>
  <c r="AE120"/>
  <c r="AE119"/>
  <c r="AE118"/>
  <c r="AE108"/>
  <c r="AE97"/>
  <c r="AE117"/>
  <c r="AE116"/>
  <c r="AE115"/>
  <c r="AE114"/>
  <c r="AE113"/>
  <c r="AE112"/>
  <c r="AE111"/>
  <c r="AE110"/>
  <c r="AE109"/>
  <c r="AE107"/>
  <c r="AE106"/>
  <c r="AE105"/>
  <c r="AE104"/>
  <c r="AE103"/>
  <c r="AE102"/>
  <c r="AE101"/>
  <c r="AE100"/>
  <c r="AE99"/>
  <c r="AE98"/>
  <c r="AE96"/>
  <c r="AE95"/>
  <c r="AE94"/>
  <c r="AE93"/>
  <c r="AE92"/>
  <c r="AE91"/>
  <c r="AE90"/>
  <c r="AE89"/>
  <c r="AE88"/>
  <c r="AE87"/>
  <c r="AE86"/>
  <c r="AE85"/>
  <c r="AE84"/>
  <c r="AE78"/>
  <c r="AE77"/>
  <c r="AE76"/>
  <c r="AE75"/>
  <c r="AE74"/>
  <c r="AE73"/>
  <c r="AE72"/>
  <c r="AE71"/>
  <c r="AE70"/>
  <c r="AE69"/>
  <c r="AE68"/>
  <c r="AE67"/>
  <c r="AE66"/>
  <c r="AE65"/>
  <c r="AE64"/>
  <c r="AE63"/>
  <c r="AE62"/>
  <c r="AE61"/>
  <c r="AE60"/>
  <c r="AE59"/>
  <c r="AE58"/>
  <c r="AE57"/>
  <c r="AE55"/>
  <c r="AE56"/>
  <c r="AE54"/>
  <c r="AE53"/>
  <c r="AE52"/>
  <c r="AE51"/>
  <c r="AE50"/>
  <c r="AE49"/>
  <c r="AE48"/>
  <c r="AE47"/>
  <c r="AE46"/>
  <c r="AE45"/>
  <c r="AE44"/>
  <c r="AE43"/>
  <c r="AE42"/>
  <c r="AE41"/>
  <c r="AE40"/>
  <c r="AE39"/>
  <c r="AE38"/>
  <c r="AE37"/>
  <c r="AE36"/>
  <c r="AE35"/>
  <c r="AE34"/>
  <c r="AE33"/>
  <c r="AE32"/>
  <c r="AE31"/>
  <c r="AE30"/>
  <c r="AE29"/>
  <c r="AE28"/>
  <c r="AE27"/>
  <c r="AE26"/>
  <c r="AE25"/>
  <c r="AE24"/>
  <c r="AE23"/>
  <c r="AE22"/>
  <c r="AE21"/>
  <c r="AE20"/>
  <c r="AE19"/>
  <c r="AE18"/>
  <c r="AE17"/>
  <c r="AE16"/>
  <c r="AE15"/>
  <c r="AE14"/>
  <c r="AE13"/>
  <c r="AE12"/>
  <c r="AE11"/>
  <c r="AE10"/>
  <c r="AE9"/>
  <c r="AB717"/>
  <c r="AB716"/>
  <c r="AB715"/>
  <c r="AB714"/>
  <c r="AB713"/>
  <c r="AB712"/>
  <c r="AB711"/>
  <c r="AB710"/>
  <c r="AB709"/>
  <c r="AB708"/>
  <c r="AB707"/>
  <c r="AB706"/>
  <c r="AB705"/>
  <c r="AB704"/>
  <c r="AB703"/>
  <c r="AB702"/>
  <c r="AB701"/>
  <c r="AB700"/>
  <c r="AB699"/>
  <c r="AB698"/>
  <c r="AB697"/>
  <c r="AB695"/>
  <c r="AB694"/>
  <c r="AB693"/>
  <c r="AB692"/>
  <c r="AB691"/>
  <c r="AB689"/>
  <c r="AB688"/>
  <c r="AB687"/>
  <c r="AB686"/>
  <c r="AB685"/>
  <c r="AB684"/>
  <c r="AB683"/>
  <c r="AB690"/>
  <c r="AB682"/>
  <c r="AB681"/>
  <c r="AB680"/>
  <c r="AB679"/>
  <c r="AB678"/>
  <c r="AB677"/>
  <c r="AB676"/>
  <c r="AB675"/>
  <c r="AB674"/>
  <c r="AB673"/>
  <c r="AB672"/>
  <c r="AB671"/>
  <c r="AB670"/>
  <c r="AB669"/>
  <c r="AB668"/>
  <c r="AB667"/>
  <c r="AB666"/>
  <c r="AB665"/>
  <c r="AB664"/>
  <c r="AB663"/>
  <c r="AB662"/>
  <c r="AB658"/>
  <c r="AB661"/>
  <c r="AB660"/>
  <c r="AB659"/>
  <c r="AB657"/>
  <c r="AB656"/>
  <c r="AB655"/>
  <c r="AB654"/>
  <c r="AB653"/>
  <c r="AB652"/>
  <c r="AB651"/>
  <c r="AB650"/>
  <c r="AB649"/>
  <c r="AB648"/>
  <c r="AB647"/>
  <c r="AB646"/>
  <c r="AB645"/>
  <c r="AB644"/>
  <c r="AB643"/>
  <c r="AB642"/>
  <c r="AB641"/>
  <c r="AB640"/>
  <c r="AB639"/>
  <c r="AB638"/>
  <c r="AB637"/>
  <c r="AB636"/>
  <c r="AB635"/>
  <c r="AB634"/>
  <c r="AB633"/>
  <c r="AB632"/>
  <c r="AB631"/>
  <c r="AB630"/>
  <c r="AB629"/>
  <c r="AB628"/>
  <c r="AB627"/>
  <c r="AB626"/>
  <c r="AB625"/>
  <c r="AB624"/>
  <c r="AB623"/>
  <c r="AB622"/>
  <c r="AB621"/>
  <c r="AB620"/>
  <c r="AB619"/>
  <c r="AB618"/>
  <c r="AB617"/>
  <c r="AB616"/>
  <c r="AB615"/>
  <c r="AB614"/>
  <c r="AB613"/>
  <c r="AB612"/>
  <c r="AB611"/>
  <c r="AB610"/>
  <c r="AB609"/>
  <c r="AB608"/>
  <c r="AB607"/>
  <c r="AB606"/>
  <c r="AB605"/>
  <c r="AB604"/>
  <c r="AB603"/>
  <c r="AB602"/>
  <c r="AB601"/>
  <c r="AB600"/>
  <c r="AB599"/>
  <c r="AB598"/>
  <c r="AB597"/>
  <c r="AB596"/>
  <c r="AB595"/>
  <c r="AB594"/>
  <c r="AB593"/>
  <c r="AB592"/>
  <c r="AB591"/>
  <c r="AB590"/>
  <c r="AB589"/>
  <c r="AB588"/>
  <c r="AB587"/>
  <c r="AB586"/>
  <c r="AB585"/>
  <c r="AB584"/>
  <c r="AB583"/>
  <c r="AB582"/>
  <c r="AB581"/>
  <c r="AB580"/>
  <c r="AB579"/>
  <c r="AB578"/>
  <c r="AB563"/>
  <c r="AB577"/>
  <c r="AB576"/>
  <c r="AB575"/>
  <c r="AB574"/>
  <c r="AB573"/>
  <c r="AB572"/>
  <c r="AB571"/>
  <c r="AB570"/>
  <c r="AB569"/>
  <c r="AB568"/>
  <c r="AB567"/>
  <c r="AB566"/>
  <c r="AB565"/>
  <c r="AB564"/>
  <c r="AB559"/>
  <c r="AB562"/>
  <c r="AB561"/>
  <c r="AB560"/>
  <c r="AB558"/>
  <c r="AB557"/>
  <c r="AB556"/>
  <c r="AB555"/>
  <c r="AB554"/>
  <c r="AB553"/>
  <c r="AB552"/>
  <c r="AB551"/>
  <c r="AB550"/>
  <c r="AB549"/>
  <c r="AB548"/>
  <c r="AB547"/>
  <c r="AB546"/>
  <c r="AB545"/>
  <c r="AB544"/>
  <c r="AB543"/>
  <c r="AB542"/>
  <c r="AB541"/>
  <c r="AB540"/>
  <c r="AB539"/>
  <c r="AB538"/>
  <c r="AB537"/>
  <c r="AB536"/>
  <c r="AB535"/>
  <c r="AB534"/>
  <c r="AB533"/>
  <c r="AB532"/>
  <c r="AB531"/>
  <c r="AB530"/>
  <c r="AB529"/>
  <c r="AB528"/>
  <c r="AB527"/>
  <c r="AB526"/>
  <c r="AB525"/>
  <c r="AB524"/>
  <c r="AB523"/>
  <c r="AB522"/>
  <c r="AB521"/>
  <c r="AB520"/>
  <c r="AB519"/>
  <c r="AB518"/>
  <c r="AB517"/>
  <c r="AB516"/>
  <c r="AB515"/>
  <c r="AB514"/>
  <c r="AB513"/>
  <c r="AB512"/>
  <c r="AB511"/>
  <c r="AB510"/>
  <c r="AB509"/>
  <c r="AB508"/>
  <c r="AB507"/>
  <c r="AB506"/>
  <c r="AB505"/>
  <c r="AB504"/>
  <c r="AB503"/>
  <c r="AB502"/>
  <c r="AB501"/>
  <c r="AB500"/>
  <c r="AB499"/>
  <c r="AB498"/>
  <c r="AB497"/>
  <c r="AB496"/>
  <c r="AB495"/>
  <c r="AB494"/>
  <c r="AB493"/>
  <c r="AB492"/>
  <c r="AB491"/>
  <c r="AB490"/>
  <c r="AB489"/>
  <c r="AB488"/>
  <c r="AB487"/>
  <c r="AB486"/>
  <c r="AB485"/>
  <c r="AB484"/>
  <c r="AB483"/>
  <c r="AB482"/>
  <c r="AB481"/>
  <c r="AB480"/>
  <c r="AB479"/>
  <c r="AB478"/>
  <c r="AB477"/>
  <c r="AB476"/>
  <c r="AB475"/>
  <c r="AB474"/>
  <c r="AB473"/>
  <c r="AB472"/>
  <c r="AB471"/>
  <c r="AB470"/>
  <c r="AB469"/>
  <c r="AB468"/>
  <c r="AB467"/>
  <c r="AB466"/>
  <c r="AB465"/>
  <c r="AB464"/>
  <c r="AB463"/>
  <c r="AB462"/>
  <c r="AB461"/>
  <c r="AB460"/>
  <c r="AB459"/>
  <c r="AB458"/>
  <c r="AB457"/>
  <c r="AB456"/>
  <c r="AB455"/>
  <c r="AB454"/>
  <c r="AB453"/>
  <c r="AB452"/>
  <c r="AB451"/>
  <c r="AB450"/>
  <c r="AB449"/>
  <c r="AB448"/>
  <c r="AB447"/>
  <c r="AB446"/>
  <c r="AB445"/>
  <c r="AB444"/>
  <c r="AB443"/>
  <c r="AB442"/>
  <c r="AB441"/>
  <c r="AB440"/>
  <c r="AB439"/>
  <c r="AB438"/>
  <c r="AB437"/>
  <c r="AB436"/>
  <c r="AB435"/>
  <c r="AB434"/>
  <c r="AB433"/>
  <c r="AB432"/>
  <c r="AB431"/>
  <c r="AB430"/>
  <c r="AB429"/>
  <c r="AB428"/>
  <c r="AB427"/>
  <c r="AB426"/>
  <c r="AB425"/>
  <c r="AB424"/>
  <c r="AB423"/>
  <c r="AB422"/>
  <c r="AB421"/>
  <c r="AB420"/>
  <c r="AB419"/>
  <c r="AB418"/>
  <c r="AB414"/>
  <c r="AB417"/>
  <c r="AB416"/>
  <c r="AB415"/>
  <c r="AB413"/>
  <c r="AB412"/>
  <c r="AB411"/>
  <c r="AB410"/>
  <c r="AB409"/>
  <c r="AB408"/>
  <c r="AB407"/>
  <c r="AB406"/>
  <c r="AB405"/>
  <c r="AB404"/>
  <c r="AB403"/>
  <c r="AB402"/>
  <c r="AB401"/>
  <c r="AB400"/>
  <c r="AB399"/>
  <c r="AB398"/>
  <c r="AB397"/>
  <c r="AB396"/>
  <c r="AB395"/>
  <c r="AB369"/>
  <c r="AB394"/>
  <c r="AB393"/>
  <c r="AB392"/>
  <c r="AB391"/>
  <c r="AB390"/>
  <c r="AB389"/>
  <c r="AB387"/>
  <c r="AB386"/>
  <c r="AB385"/>
  <c r="AB384"/>
  <c r="AB383"/>
  <c r="AB382"/>
  <c r="AB381"/>
  <c r="AB380"/>
  <c r="AB379"/>
  <c r="AB378"/>
  <c r="AB377"/>
  <c r="AB376"/>
  <c r="AB375"/>
  <c r="AB374"/>
  <c r="AB373"/>
  <c r="AB372"/>
  <c r="AB371"/>
  <c r="AB370"/>
  <c r="AB368"/>
  <c r="AB367"/>
  <c r="AB366"/>
  <c r="AB365"/>
  <c r="AB364"/>
  <c r="AB363"/>
  <c r="AB362"/>
  <c r="AB361"/>
  <c r="AB360"/>
  <c r="AB359"/>
  <c r="AB358"/>
  <c r="AB357"/>
  <c r="AB356"/>
  <c r="AB388"/>
  <c r="AB355"/>
  <c r="AB354"/>
  <c r="AB353"/>
  <c r="AB352"/>
  <c r="AB351"/>
  <c r="AB350"/>
  <c r="AB349"/>
  <c r="AB348"/>
  <c r="AB347"/>
  <c r="AB346"/>
  <c r="AB345"/>
  <c r="AB344"/>
  <c r="AB343"/>
  <c r="AB342"/>
  <c r="AB341"/>
  <c r="AB340"/>
  <c r="AB339"/>
  <c r="AB338"/>
  <c r="AB337"/>
  <c r="AB336"/>
  <c r="AB335"/>
  <c r="AB334"/>
  <c r="AB333"/>
  <c r="AB332"/>
  <c r="AB331"/>
  <c r="AB330"/>
  <c r="AB329"/>
  <c r="AB328"/>
  <c r="AB327"/>
  <c r="AB326"/>
  <c r="AB325"/>
  <c r="AB324"/>
  <c r="AB323"/>
  <c r="AB322"/>
  <c r="AB321"/>
  <c r="AB320"/>
  <c r="AB319"/>
  <c r="AB318"/>
  <c r="AB317"/>
  <c r="AB316"/>
  <c r="AB315"/>
  <c r="AB314"/>
  <c r="AB313"/>
  <c r="AB312"/>
  <c r="AB311"/>
  <c r="AB310"/>
  <c r="AB309"/>
  <c r="AB308"/>
  <c r="AB307"/>
  <c r="AB306"/>
  <c r="AB305"/>
  <c r="AB304"/>
  <c r="AB303"/>
  <c r="AB302"/>
  <c r="AB301"/>
  <c r="AB300"/>
  <c r="AB299"/>
  <c r="AB298"/>
  <c r="AB297"/>
  <c r="AB296"/>
  <c r="AB295"/>
  <c r="AB294"/>
  <c r="AB293"/>
  <c r="AB292"/>
  <c r="AB291"/>
  <c r="AB290"/>
  <c r="AB289"/>
  <c r="AB288"/>
  <c r="AB287"/>
  <c r="AB286"/>
  <c r="AB285"/>
  <c r="AB280"/>
  <c r="AB284"/>
  <c r="AB283"/>
  <c r="AB282"/>
  <c r="AB281"/>
  <c r="AB279"/>
  <c r="AB278"/>
  <c r="AB277"/>
  <c r="AB276"/>
  <c r="AB275"/>
  <c r="AB274"/>
  <c r="AB273"/>
  <c r="AB272"/>
  <c r="AB271"/>
  <c r="AB270"/>
  <c r="AB269"/>
  <c r="AB268"/>
  <c r="AB267"/>
  <c r="AB266"/>
  <c r="AB265"/>
  <c r="AB264"/>
  <c r="AB263"/>
  <c r="AB262"/>
  <c r="AB261"/>
  <c r="AB260"/>
  <c r="AB259"/>
  <c r="AB258"/>
  <c r="AB257"/>
  <c r="AB256"/>
  <c r="AB255"/>
  <c r="AB254"/>
  <c r="AB253"/>
  <c r="AB252"/>
  <c r="AB251"/>
  <c r="AB250"/>
  <c r="AB249"/>
  <c r="AB248"/>
  <c r="AB247"/>
  <c r="AB246"/>
  <c r="AB245"/>
  <c r="AB244"/>
  <c r="AB243"/>
  <c r="AB242"/>
  <c r="AB241"/>
  <c r="AB240"/>
  <c r="AB238"/>
  <c r="AB237"/>
  <c r="AB236"/>
  <c r="AB235"/>
  <c r="AB234"/>
  <c r="AB233"/>
  <c r="AB232"/>
  <c r="AB231"/>
  <c r="AB230"/>
  <c r="AB229"/>
  <c r="AB228"/>
  <c r="AB227"/>
  <c r="AB226"/>
  <c r="AB225"/>
  <c r="AB224"/>
  <c r="AB223"/>
  <c r="AB222"/>
  <c r="AB221"/>
  <c r="AB220"/>
  <c r="AB219"/>
  <c r="AB218"/>
  <c r="AB217"/>
  <c r="AB216"/>
  <c r="AB215"/>
  <c r="AB214"/>
  <c r="AB213"/>
  <c r="AB212"/>
  <c r="AB194"/>
  <c r="AB191"/>
  <c r="AB187"/>
  <c r="AB186"/>
  <c r="AB185"/>
  <c r="AB184"/>
  <c r="AB183"/>
  <c r="AB182"/>
  <c r="AB181"/>
  <c r="AB180"/>
  <c r="AB179"/>
  <c r="AB178"/>
  <c r="AB177"/>
  <c r="AB176"/>
  <c r="AB175"/>
  <c r="AB174"/>
  <c r="AB173"/>
  <c r="AB172"/>
  <c r="AB171"/>
  <c r="AB170"/>
  <c r="AB169"/>
  <c r="AB168"/>
  <c r="AB167"/>
  <c r="AB166"/>
  <c r="AB165"/>
  <c r="AB164"/>
  <c r="AB163"/>
  <c r="AB162"/>
  <c r="AB161"/>
  <c r="AB160"/>
  <c r="AB159"/>
  <c r="AB158"/>
  <c r="AB157"/>
  <c r="AB156"/>
  <c r="AB155"/>
  <c r="AB154"/>
  <c r="AB153"/>
  <c r="AB152"/>
  <c r="AB144"/>
  <c r="AB151"/>
  <c r="AB150"/>
  <c r="AB149"/>
  <c r="AB148"/>
  <c r="AB147"/>
  <c r="AB146"/>
  <c r="AB145"/>
  <c r="AB143"/>
  <c r="AB142"/>
  <c r="AB141"/>
  <c r="AB140"/>
  <c r="AB139"/>
  <c r="AB138"/>
  <c r="AB137"/>
  <c r="AB136"/>
  <c r="AB135"/>
  <c r="AB134"/>
  <c r="AB133"/>
  <c r="AB132"/>
  <c r="AB131"/>
  <c r="AB130"/>
  <c r="AB129"/>
  <c r="AB128"/>
  <c r="AB127"/>
  <c r="AB126"/>
  <c r="AB125"/>
  <c r="AB124"/>
  <c r="AB123"/>
  <c r="AB122"/>
  <c r="AB121"/>
  <c r="AB120"/>
  <c r="AB119"/>
  <c r="AB118"/>
  <c r="AB108"/>
  <c r="AB97"/>
  <c r="AB117"/>
  <c r="AB116"/>
  <c r="AB115"/>
  <c r="AB114"/>
  <c r="AB113"/>
  <c r="AB112"/>
  <c r="AB111"/>
  <c r="AB110"/>
  <c r="AB109"/>
  <c r="AB107"/>
  <c r="AB106"/>
  <c r="AB105"/>
  <c r="AB104"/>
  <c r="AB103"/>
  <c r="AB102"/>
  <c r="AB101"/>
  <c r="AB100"/>
  <c r="AB99"/>
  <c r="AB98"/>
  <c r="AB96"/>
  <c r="AB95"/>
  <c r="AB94"/>
  <c r="AB93"/>
  <c r="AB92"/>
  <c r="AB91"/>
  <c r="AB90"/>
  <c r="AB89"/>
  <c r="AB88"/>
  <c r="AB87"/>
  <c r="AB86"/>
  <c r="AB85"/>
  <c r="AB84"/>
  <c r="AB78"/>
  <c r="AB77"/>
  <c r="AB76"/>
  <c r="AB75"/>
  <c r="AB74"/>
  <c r="AB73"/>
  <c r="AB72"/>
  <c r="AB71"/>
  <c r="AB70"/>
  <c r="AB69"/>
  <c r="AB68"/>
  <c r="AB67"/>
  <c r="AB66"/>
  <c r="AB65"/>
  <c r="AB64"/>
  <c r="AB63"/>
  <c r="AB62"/>
  <c r="AB61"/>
  <c r="AB60"/>
  <c r="AB59"/>
  <c r="AB58"/>
  <c r="AB57"/>
  <c r="AB55"/>
  <c r="AB56"/>
  <c r="AB54"/>
  <c r="AB53"/>
  <c r="AB52"/>
  <c r="AB51"/>
  <c r="AB50"/>
  <c r="AB49"/>
  <c r="AB48"/>
  <c r="AB47"/>
  <c r="AB46"/>
  <c r="AB45"/>
  <c r="AB44"/>
  <c r="AB43"/>
  <c r="AB42"/>
  <c r="AB41"/>
  <c r="AB40"/>
  <c r="AB39"/>
  <c r="AB38"/>
  <c r="AB37"/>
  <c r="AB36"/>
  <c r="AB35"/>
  <c r="AB34"/>
  <c r="AB33"/>
  <c r="AB32"/>
  <c r="AB31"/>
  <c r="AB30"/>
  <c r="AB29"/>
  <c r="AB28"/>
  <c r="AB27"/>
  <c r="AB26"/>
  <c r="AB25"/>
  <c r="AB24"/>
  <c r="AB23"/>
  <c r="AB22"/>
  <c r="AB21"/>
  <c r="AB20"/>
  <c r="AB19"/>
  <c r="AB18"/>
  <c r="AB17"/>
  <c r="AB16"/>
  <c r="AB15"/>
  <c r="AB14"/>
  <c r="AB13"/>
  <c r="AB12"/>
  <c r="AB11"/>
  <c r="AB10"/>
  <c r="AB9"/>
  <c r="Y717"/>
  <c r="Y716"/>
  <c r="Y715"/>
  <c r="Y714"/>
  <c r="Y713"/>
  <c r="Y712"/>
  <c r="Y711"/>
  <c r="Y710"/>
  <c r="Y709"/>
  <c r="Y708"/>
  <c r="Y707"/>
  <c r="Y706"/>
  <c r="Y705"/>
  <c r="Y704"/>
  <c r="Y703"/>
  <c r="Y702"/>
  <c r="Y701"/>
  <c r="Y700"/>
  <c r="Y699"/>
  <c r="Y698"/>
  <c r="Y697"/>
  <c r="Y695"/>
  <c r="Y694"/>
  <c r="Y693"/>
  <c r="Y692"/>
  <c r="Y691"/>
  <c r="Y689"/>
  <c r="Y688"/>
  <c r="Y687"/>
  <c r="Y686"/>
  <c r="Y685"/>
  <c r="Y684"/>
  <c r="Y683"/>
  <c r="Y690"/>
  <c r="Y682"/>
  <c r="Y681"/>
  <c r="Y680"/>
  <c r="Y679"/>
  <c r="Y678"/>
  <c r="Y677"/>
  <c r="Y676"/>
  <c r="Y675"/>
  <c r="Y674"/>
  <c r="Y673"/>
  <c r="Y672"/>
  <c r="Y671"/>
  <c r="Y670"/>
  <c r="Y669"/>
  <c r="Y668"/>
  <c r="Y667"/>
  <c r="Y666"/>
  <c r="Y665"/>
  <c r="Y664"/>
  <c r="Y663"/>
  <c r="Y662"/>
  <c r="Y658"/>
  <c r="Y661"/>
  <c r="Y660"/>
  <c r="Y659"/>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63"/>
  <c r="Y577"/>
  <c r="Y576"/>
  <c r="Y575"/>
  <c r="Y574"/>
  <c r="Y573"/>
  <c r="Y572"/>
  <c r="Y571"/>
  <c r="Y570"/>
  <c r="Y569"/>
  <c r="Y568"/>
  <c r="Y567"/>
  <c r="Y566"/>
  <c r="Y565"/>
  <c r="Y564"/>
  <c r="Y559"/>
  <c r="Y562"/>
  <c r="Y561"/>
  <c r="Y560"/>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4"/>
  <c r="Y417"/>
  <c r="Y416"/>
  <c r="Y415"/>
  <c r="Y413"/>
  <c r="Y412"/>
  <c r="Y411"/>
  <c r="Y410"/>
  <c r="Y409"/>
  <c r="Y408"/>
  <c r="Y407"/>
  <c r="Y406"/>
  <c r="Y405"/>
  <c r="Y404"/>
  <c r="Y403"/>
  <c r="Y402"/>
  <c r="Y401"/>
  <c r="Y400"/>
  <c r="Y399"/>
  <c r="Y398"/>
  <c r="Y397"/>
  <c r="Y396"/>
  <c r="Y395"/>
  <c r="Y369"/>
  <c r="Y394"/>
  <c r="Y393"/>
  <c r="Y392"/>
  <c r="Y391"/>
  <c r="Y390"/>
  <c r="Y389"/>
  <c r="Y387"/>
  <c r="Y386"/>
  <c r="Y385"/>
  <c r="Y384"/>
  <c r="Y383"/>
  <c r="Y382"/>
  <c r="Y381"/>
  <c r="Y380"/>
  <c r="Y379"/>
  <c r="Y378"/>
  <c r="Y377"/>
  <c r="Y376"/>
  <c r="Y375"/>
  <c r="Y374"/>
  <c r="Y373"/>
  <c r="Y372"/>
  <c r="Y371"/>
  <c r="Y370"/>
  <c r="Y368"/>
  <c r="Y367"/>
  <c r="Y366"/>
  <c r="Y365"/>
  <c r="Y364"/>
  <c r="Y363"/>
  <c r="Y362"/>
  <c r="Y361"/>
  <c r="Y360"/>
  <c r="Y359"/>
  <c r="Y358"/>
  <c r="Y357"/>
  <c r="Y356"/>
  <c r="Y388"/>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0"/>
  <c r="Y284"/>
  <c r="Y283"/>
  <c r="Y282"/>
  <c r="Y281"/>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8"/>
  <c r="Y237"/>
  <c r="Y236"/>
  <c r="Y235"/>
  <c r="Y234"/>
  <c r="Y233"/>
  <c r="Y232"/>
  <c r="Y231"/>
  <c r="Y230"/>
  <c r="Y229"/>
  <c r="Y228"/>
  <c r="Y227"/>
  <c r="Y226"/>
  <c r="Y225"/>
  <c r="Y224"/>
  <c r="Y223"/>
  <c r="Y222"/>
  <c r="Y221"/>
  <c r="Y220"/>
  <c r="Y219"/>
  <c r="Y218"/>
  <c r="Y217"/>
  <c r="Y216"/>
  <c r="Y215"/>
  <c r="Y214"/>
  <c r="Y213"/>
  <c r="Y212"/>
  <c r="Y194"/>
  <c r="Y191"/>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44"/>
  <c r="Y151"/>
  <c r="Y150"/>
  <c r="Y149"/>
  <c r="Y148"/>
  <c r="Y147"/>
  <c r="Y146"/>
  <c r="Y145"/>
  <c r="Y143"/>
  <c r="Y142"/>
  <c r="Y141"/>
  <c r="Y140"/>
  <c r="Y139"/>
  <c r="Y138"/>
  <c r="Y137"/>
  <c r="Y136"/>
  <c r="Y135"/>
  <c r="Y134"/>
  <c r="Y133"/>
  <c r="Y132"/>
  <c r="Y131"/>
  <c r="Y130"/>
  <c r="Y129"/>
  <c r="Y128"/>
  <c r="Y127"/>
  <c r="Y126"/>
  <c r="Y125"/>
  <c r="Y124"/>
  <c r="Y123"/>
  <c r="Y122"/>
  <c r="Y121"/>
  <c r="Y120"/>
  <c r="Y119"/>
  <c r="Y118"/>
  <c r="Y108"/>
  <c r="Y97"/>
  <c r="Y117"/>
  <c r="Y116"/>
  <c r="Y115"/>
  <c r="Y114"/>
  <c r="Y113"/>
  <c r="Y112"/>
  <c r="Y111"/>
  <c r="Y110"/>
  <c r="Y109"/>
  <c r="Y107"/>
  <c r="Y106"/>
  <c r="Y105"/>
  <c r="Y104"/>
  <c r="Y103"/>
  <c r="Y102"/>
  <c r="Y101"/>
  <c r="Y100"/>
  <c r="Y99"/>
  <c r="Y98"/>
  <c r="Y96"/>
  <c r="Y95"/>
  <c r="Y94"/>
  <c r="Y93"/>
  <c r="Y92"/>
  <c r="Y90"/>
  <c r="Y89"/>
  <c r="Y88"/>
  <c r="Y87"/>
  <c r="Y86"/>
  <c r="Y85"/>
  <c r="Y84"/>
  <c r="Y78"/>
  <c r="Y77"/>
  <c r="Y76"/>
  <c r="Y75"/>
  <c r="Y74"/>
  <c r="Y73"/>
  <c r="Y72"/>
  <c r="Y71"/>
  <c r="Y70"/>
  <c r="Y69"/>
  <c r="Y68"/>
  <c r="Y67"/>
  <c r="Y66"/>
  <c r="Y65"/>
  <c r="Y64"/>
  <c r="Y63"/>
  <c r="Y62"/>
  <c r="Y61"/>
  <c r="Y60"/>
  <c r="Y59"/>
  <c r="Y58"/>
  <c r="Y57"/>
  <c r="Y55"/>
  <c r="Y56"/>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 r="Y10"/>
  <c r="Y9"/>
  <c r="V717"/>
  <c r="V716"/>
  <c r="V715"/>
  <c r="V714"/>
  <c r="V713"/>
  <c r="V712"/>
  <c r="V711"/>
  <c r="V710"/>
  <c r="V709"/>
  <c r="V708"/>
  <c r="V707"/>
  <c r="V706"/>
  <c r="V705"/>
  <c r="V704"/>
  <c r="V703"/>
  <c r="V702"/>
  <c r="V701"/>
  <c r="V700"/>
  <c r="V699"/>
  <c r="V698"/>
  <c r="V697"/>
  <c r="V695"/>
  <c r="V694"/>
  <c r="V693"/>
  <c r="V692"/>
  <c r="V691"/>
  <c r="V689"/>
  <c r="V688"/>
  <c r="V687"/>
  <c r="V686"/>
  <c r="V685"/>
  <c r="V684"/>
  <c r="V683"/>
  <c r="V690"/>
  <c r="V682"/>
  <c r="V681"/>
  <c r="V680"/>
  <c r="V679"/>
  <c r="V678"/>
  <c r="V677"/>
  <c r="V676"/>
  <c r="V675"/>
  <c r="V674"/>
  <c r="V673"/>
  <c r="V672"/>
  <c r="V671"/>
  <c r="V670"/>
  <c r="V669"/>
  <c r="V668"/>
  <c r="V667"/>
  <c r="V666"/>
  <c r="V665"/>
  <c r="V664"/>
  <c r="V663"/>
  <c r="V662"/>
  <c r="V658"/>
  <c r="V661"/>
  <c r="V660"/>
  <c r="V659"/>
  <c r="V657"/>
  <c r="V656"/>
  <c r="V655"/>
  <c r="V654"/>
  <c r="V653"/>
  <c r="V652"/>
  <c r="V651"/>
  <c r="V650"/>
  <c r="V649"/>
  <c r="V648"/>
  <c r="V647"/>
  <c r="V646"/>
  <c r="V645"/>
  <c r="V644"/>
  <c r="V643"/>
  <c r="V642"/>
  <c r="V641"/>
  <c r="V640"/>
  <c r="V639"/>
  <c r="V638"/>
  <c r="V637"/>
  <c r="V636"/>
  <c r="V635"/>
  <c r="V634"/>
  <c r="V633"/>
  <c r="V632"/>
  <c r="V631"/>
  <c r="V630"/>
  <c r="V629"/>
  <c r="V628"/>
  <c r="V627"/>
  <c r="V626"/>
  <c r="V625"/>
  <c r="V624"/>
  <c r="V623"/>
  <c r="V622"/>
  <c r="V621"/>
  <c r="V620"/>
  <c r="V619"/>
  <c r="V618"/>
  <c r="V617"/>
  <c r="V616"/>
  <c r="V615"/>
  <c r="V614"/>
  <c r="V613"/>
  <c r="V612"/>
  <c r="V611"/>
  <c r="V610"/>
  <c r="V609"/>
  <c r="V608"/>
  <c r="V607"/>
  <c r="V606"/>
  <c r="V605"/>
  <c r="V604"/>
  <c r="V603"/>
  <c r="V602"/>
  <c r="V601"/>
  <c r="V600"/>
  <c r="V599"/>
  <c r="V598"/>
  <c r="V597"/>
  <c r="V596"/>
  <c r="V595"/>
  <c r="V594"/>
  <c r="V593"/>
  <c r="V592"/>
  <c r="V591"/>
  <c r="V590"/>
  <c r="V589"/>
  <c r="V588"/>
  <c r="V587"/>
  <c r="V586"/>
  <c r="V585"/>
  <c r="V584"/>
  <c r="V583"/>
  <c r="V582"/>
  <c r="V581"/>
  <c r="V580"/>
  <c r="V579"/>
  <c r="V578"/>
  <c r="V563"/>
  <c r="V577"/>
  <c r="V576"/>
  <c r="V575"/>
  <c r="V574"/>
  <c r="V573"/>
  <c r="V572"/>
  <c r="V571"/>
  <c r="V570"/>
  <c r="V569"/>
  <c r="V568"/>
  <c r="V567"/>
  <c r="V566"/>
  <c r="V565"/>
  <c r="V564"/>
  <c r="V559"/>
  <c r="V562"/>
  <c r="V561"/>
  <c r="V560"/>
  <c r="V558"/>
  <c r="V557"/>
  <c r="V556"/>
  <c r="V555"/>
  <c r="V554"/>
  <c r="V553"/>
  <c r="V552"/>
  <c r="V551"/>
  <c r="V550"/>
  <c r="V549"/>
  <c r="V548"/>
  <c r="V547"/>
  <c r="V546"/>
  <c r="V545"/>
  <c r="V544"/>
  <c r="V543"/>
  <c r="V542"/>
  <c r="V541"/>
  <c r="V540"/>
  <c r="V539"/>
  <c r="V538"/>
  <c r="V537"/>
  <c r="V536"/>
  <c r="V535"/>
  <c r="V534"/>
  <c r="V533"/>
  <c r="V532"/>
  <c r="V531"/>
  <c r="V530"/>
  <c r="V529"/>
  <c r="V528"/>
  <c r="V527"/>
  <c r="V526"/>
  <c r="V525"/>
  <c r="V524"/>
  <c r="V523"/>
  <c r="V522"/>
  <c r="V521"/>
  <c r="V520"/>
  <c r="V519"/>
  <c r="V518"/>
  <c r="V517"/>
  <c r="V516"/>
  <c r="V515"/>
  <c r="V514"/>
  <c r="V513"/>
  <c r="V512"/>
  <c r="V511"/>
  <c r="V510"/>
  <c r="V509"/>
  <c r="V508"/>
  <c r="V507"/>
  <c r="V506"/>
  <c r="V505"/>
  <c r="V504"/>
  <c r="V503"/>
  <c r="V502"/>
  <c r="V501"/>
  <c r="V500"/>
  <c r="V499"/>
  <c r="V498"/>
  <c r="V497"/>
  <c r="V496"/>
  <c r="V495"/>
  <c r="V494"/>
  <c r="V493"/>
  <c r="V492"/>
  <c r="V491"/>
  <c r="V490"/>
  <c r="V489"/>
  <c r="V488"/>
  <c r="V487"/>
  <c r="V486"/>
  <c r="V485"/>
  <c r="V484"/>
  <c r="V483"/>
  <c r="V482"/>
  <c r="V481"/>
  <c r="V480"/>
  <c r="V479"/>
  <c r="V478"/>
  <c r="V477"/>
  <c r="V476"/>
  <c r="V475"/>
  <c r="V474"/>
  <c r="V473"/>
  <c r="V472"/>
  <c r="V471"/>
  <c r="V470"/>
  <c r="V469"/>
  <c r="V468"/>
  <c r="V467"/>
  <c r="V466"/>
  <c r="V465"/>
  <c r="V464"/>
  <c r="V463"/>
  <c r="V462"/>
  <c r="V461"/>
  <c r="V460"/>
  <c r="V459"/>
  <c r="V458"/>
  <c r="V457"/>
  <c r="V456"/>
  <c r="V455"/>
  <c r="V454"/>
  <c r="V453"/>
  <c r="V452"/>
  <c r="V451"/>
  <c r="V450"/>
  <c r="V449"/>
  <c r="V448"/>
  <c r="V447"/>
  <c r="V446"/>
  <c r="V445"/>
  <c r="V444"/>
  <c r="V443"/>
  <c r="V442"/>
  <c r="V441"/>
  <c r="V440"/>
  <c r="V439"/>
  <c r="V438"/>
  <c r="V437"/>
  <c r="V436"/>
  <c r="V435"/>
  <c r="V434"/>
  <c r="V433"/>
  <c r="V432"/>
  <c r="V431"/>
  <c r="V430"/>
  <c r="V429"/>
  <c r="V428"/>
  <c r="V427"/>
  <c r="V426"/>
  <c r="V425"/>
  <c r="V424"/>
  <c r="V423"/>
  <c r="V422"/>
  <c r="V421"/>
  <c r="V420"/>
  <c r="V419"/>
  <c r="V418"/>
  <c r="V414"/>
  <c r="V417"/>
  <c r="V416"/>
  <c r="V415"/>
  <c r="V413"/>
  <c r="V412"/>
  <c r="V411"/>
  <c r="V410"/>
  <c r="V409"/>
  <c r="V408"/>
  <c r="V407"/>
  <c r="V406"/>
  <c r="V405"/>
  <c r="V404"/>
  <c r="V403"/>
  <c r="V402"/>
  <c r="V401"/>
  <c r="V400"/>
  <c r="V399"/>
  <c r="V398"/>
  <c r="V397"/>
  <c r="V396"/>
  <c r="V395"/>
  <c r="V369"/>
  <c r="V394"/>
  <c r="V393"/>
  <c r="V392"/>
  <c r="V391"/>
  <c r="V390"/>
  <c r="V389"/>
  <c r="V387"/>
  <c r="V386"/>
  <c r="V385"/>
  <c r="V384"/>
  <c r="V383"/>
  <c r="V382"/>
  <c r="V381"/>
  <c r="V380"/>
  <c r="V379"/>
  <c r="V378"/>
  <c r="V377"/>
  <c r="V376"/>
  <c r="V375"/>
  <c r="V374"/>
  <c r="V373"/>
  <c r="V372"/>
  <c r="V371"/>
  <c r="V370"/>
  <c r="V368"/>
  <c r="V367"/>
  <c r="V366"/>
  <c r="V365"/>
  <c r="V364"/>
  <c r="V363"/>
  <c r="V362"/>
  <c r="V361"/>
  <c r="V360"/>
  <c r="V359"/>
  <c r="V358"/>
  <c r="V357"/>
  <c r="V356"/>
  <c r="V388"/>
  <c r="V355"/>
  <c r="V354"/>
  <c r="V353"/>
  <c r="V352"/>
  <c r="V351"/>
  <c r="V350"/>
  <c r="V349"/>
  <c r="V348"/>
  <c r="V347"/>
  <c r="V346"/>
  <c r="V345"/>
  <c r="V344"/>
  <c r="V343"/>
  <c r="V342"/>
  <c r="V341"/>
  <c r="V340"/>
  <c r="V339"/>
  <c r="V338"/>
  <c r="V337"/>
  <c r="V336"/>
  <c r="V335"/>
  <c r="V334"/>
  <c r="V333"/>
  <c r="V332"/>
  <c r="V331"/>
  <c r="V330"/>
  <c r="V329"/>
  <c r="V328"/>
  <c r="V327"/>
  <c r="V326"/>
  <c r="V325"/>
  <c r="V324"/>
  <c r="V323"/>
  <c r="V322"/>
  <c r="V321"/>
  <c r="V320"/>
  <c r="V319"/>
  <c r="V318"/>
  <c r="V317"/>
  <c r="V316"/>
  <c r="V315"/>
  <c r="V314"/>
  <c r="V313"/>
  <c r="V312"/>
  <c r="V311"/>
  <c r="V310"/>
  <c r="V309"/>
  <c r="V308"/>
  <c r="V307"/>
  <c r="V306"/>
  <c r="V305"/>
  <c r="V304"/>
  <c r="V303"/>
  <c r="V302"/>
  <c r="V301"/>
  <c r="V300"/>
  <c r="V299"/>
  <c r="V298"/>
  <c r="V297"/>
  <c r="V296"/>
  <c r="V295"/>
  <c r="V294"/>
  <c r="V293"/>
  <c r="V292"/>
  <c r="V291"/>
  <c r="V290"/>
  <c r="V289"/>
  <c r="V288"/>
  <c r="V287"/>
  <c r="V286"/>
  <c r="V285"/>
  <c r="V280"/>
  <c r="V284"/>
  <c r="V283"/>
  <c r="V282"/>
  <c r="V281"/>
  <c r="V279"/>
  <c r="V278"/>
  <c r="V277"/>
  <c r="V276"/>
  <c r="V275"/>
  <c r="V274"/>
  <c r="V273"/>
  <c r="V272"/>
  <c r="V271"/>
  <c r="V270"/>
  <c r="V269"/>
  <c r="V268"/>
  <c r="V267"/>
  <c r="V266"/>
  <c r="V265"/>
  <c r="V264"/>
  <c r="V263"/>
  <c r="V262"/>
  <c r="V261"/>
  <c r="V260"/>
  <c r="V259"/>
  <c r="V258"/>
  <c r="V257"/>
  <c r="V256"/>
  <c r="V255"/>
  <c r="V254"/>
  <c r="V253"/>
  <c r="V252"/>
  <c r="V251"/>
  <c r="V250"/>
  <c r="V249"/>
  <c r="V248"/>
  <c r="V247"/>
  <c r="V246"/>
  <c r="V245"/>
  <c r="V244"/>
  <c r="V243"/>
  <c r="V242"/>
  <c r="V241"/>
  <c r="V240"/>
  <c r="V239"/>
  <c r="V238"/>
  <c r="V237"/>
  <c r="V236"/>
  <c r="V235"/>
  <c r="V234"/>
  <c r="V233"/>
  <c r="V232"/>
  <c r="V231"/>
  <c r="V230"/>
  <c r="V229"/>
  <c r="V228"/>
  <c r="V227"/>
  <c r="V226"/>
  <c r="V225"/>
  <c r="V224"/>
  <c r="V223"/>
  <c r="V222"/>
  <c r="V221"/>
  <c r="V220"/>
  <c r="V219"/>
  <c r="V218"/>
  <c r="V217"/>
  <c r="V216"/>
  <c r="V215"/>
  <c r="V214"/>
  <c r="V213"/>
  <c r="V212"/>
  <c r="V187"/>
  <c r="V186"/>
  <c r="V185"/>
  <c r="V184"/>
  <c r="V183"/>
  <c r="V182"/>
  <c r="V181"/>
  <c r="V180"/>
  <c r="V179"/>
  <c r="V178"/>
  <c r="V177"/>
  <c r="V176"/>
  <c r="V175"/>
  <c r="V174"/>
  <c r="V173"/>
  <c r="V172"/>
  <c r="V171"/>
  <c r="V170"/>
  <c r="V169"/>
  <c r="V168"/>
  <c r="V167"/>
  <c r="V166"/>
  <c r="V165"/>
  <c r="V164"/>
  <c r="V163"/>
  <c r="V162"/>
  <c r="V161"/>
  <c r="V160"/>
  <c r="V159"/>
  <c r="V158"/>
  <c r="V157"/>
  <c r="V156"/>
  <c r="V155"/>
  <c r="V154"/>
  <c r="V153"/>
  <c r="V152"/>
  <c r="V144"/>
  <c r="V151"/>
  <c r="V150"/>
  <c r="V149"/>
  <c r="V148"/>
  <c r="V147"/>
  <c r="V146"/>
  <c r="V145"/>
  <c r="V143"/>
  <c r="V142"/>
  <c r="V141"/>
  <c r="V140"/>
  <c r="V139"/>
  <c r="V138"/>
  <c r="V137"/>
  <c r="V136"/>
  <c r="V135"/>
  <c r="V134"/>
  <c r="V133"/>
  <c r="V132"/>
  <c r="V131"/>
  <c r="V130"/>
  <c r="V129"/>
  <c r="V128"/>
  <c r="V127"/>
  <c r="V126"/>
  <c r="V125"/>
  <c r="V124"/>
  <c r="V123"/>
  <c r="V122"/>
  <c r="V121"/>
  <c r="V120"/>
  <c r="V119"/>
  <c r="V118"/>
  <c r="V108"/>
  <c r="V97"/>
  <c r="V117"/>
  <c r="V116"/>
  <c r="V115"/>
  <c r="V114"/>
  <c r="V113"/>
  <c r="V112"/>
  <c r="V111"/>
  <c r="V110"/>
  <c r="V109"/>
  <c r="V107"/>
  <c r="V106"/>
  <c r="V105"/>
  <c r="V104"/>
  <c r="V103"/>
  <c r="V102"/>
  <c r="V101"/>
  <c r="V100"/>
  <c r="V99"/>
  <c r="V98"/>
  <c r="V96"/>
  <c r="V95"/>
  <c r="V94"/>
  <c r="V93"/>
  <c r="V92"/>
  <c r="V91"/>
  <c r="V90"/>
  <c r="V89"/>
  <c r="V88"/>
  <c r="V87"/>
  <c r="V86"/>
  <c r="V85"/>
  <c r="V84"/>
  <c r="V78"/>
  <c r="V77"/>
  <c r="V76"/>
  <c r="V75"/>
  <c r="V74"/>
  <c r="V73"/>
  <c r="V72"/>
  <c r="V71"/>
  <c r="V70"/>
  <c r="V69"/>
  <c r="V68"/>
  <c r="V67"/>
  <c r="V66"/>
  <c r="V65"/>
  <c r="V64"/>
  <c r="V63"/>
  <c r="V62"/>
  <c r="V61"/>
  <c r="V60"/>
  <c r="V59"/>
  <c r="V58"/>
  <c r="V57"/>
  <c r="V55"/>
  <c r="V56"/>
  <c r="V54"/>
  <c r="V53"/>
  <c r="V52"/>
  <c r="V51"/>
  <c r="V50"/>
  <c r="V49"/>
  <c r="V48"/>
  <c r="V47"/>
  <c r="V46"/>
  <c r="V45"/>
  <c r="V44"/>
  <c r="V43"/>
  <c r="V42"/>
  <c r="V41"/>
  <c r="V40"/>
  <c r="V39"/>
  <c r="V38"/>
  <c r="V37"/>
  <c r="V36"/>
  <c r="V35"/>
  <c r="V34"/>
  <c r="V33"/>
  <c r="V32"/>
  <c r="V31"/>
  <c r="V30"/>
  <c r="V29"/>
  <c r="V28"/>
  <c r="V27"/>
  <c r="V26"/>
  <c r="V25"/>
  <c r="V24"/>
  <c r="V23"/>
  <c r="V22"/>
  <c r="V21"/>
  <c r="V20"/>
  <c r="V19"/>
  <c r="V18"/>
  <c r="V17"/>
  <c r="V16"/>
  <c r="V15"/>
  <c r="V14"/>
  <c r="V13"/>
  <c r="V12"/>
  <c r="V11"/>
  <c r="V10"/>
  <c r="V9"/>
  <c r="S717"/>
  <c r="S716"/>
  <c r="S715"/>
  <c r="S714"/>
  <c r="S713"/>
  <c r="S712"/>
  <c r="S711"/>
  <c r="S710"/>
  <c r="S709"/>
  <c r="S708"/>
  <c r="S707"/>
  <c r="S706"/>
  <c r="S705"/>
  <c r="S704"/>
  <c r="S703"/>
  <c r="S702"/>
  <c r="S701"/>
  <c r="S700"/>
  <c r="S699"/>
  <c r="S698"/>
  <c r="S697"/>
  <c r="S695"/>
  <c r="S694"/>
  <c r="S693"/>
  <c r="S692"/>
  <c r="S691"/>
  <c r="S689"/>
  <c r="S688"/>
  <c r="S687"/>
  <c r="S686"/>
  <c r="S685"/>
  <c r="S684"/>
  <c r="S683"/>
  <c r="S690"/>
  <c r="S682"/>
  <c r="S681"/>
  <c r="S680"/>
  <c r="S679"/>
  <c r="S678"/>
  <c r="S677"/>
  <c r="S676"/>
  <c r="S675"/>
  <c r="S674"/>
  <c r="S673"/>
  <c r="S672"/>
  <c r="S671"/>
  <c r="S670"/>
  <c r="S669"/>
  <c r="S668"/>
  <c r="S667"/>
  <c r="S666"/>
  <c r="S665"/>
  <c r="S664"/>
  <c r="S663"/>
  <c r="S662"/>
  <c r="S658"/>
  <c r="S661"/>
  <c r="S660"/>
  <c r="S659"/>
  <c r="S657"/>
  <c r="S656"/>
  <c r="S655"/>
  <c r="S654"/>
  <c r="S653"/>
  <c r="S652"/>
  <c r="S651"/>
  <c r="S650"/>
  <c r="S649"/>
  <c r="S648"/>
  <c r="S647"/>
  <c r="S646"/>
  <c r="S645"/>
  <c r="S644"/>
  <c r="S643"/>
  <c r="S642"/>
  <c r="S641"/>
  <c r="S640"/>
  <c r="S639"/>
  <c r="S638"/>
  <c r="S637"/>
  <c r="S636"/>
  <c r="S635"/>
  <c r="S634"/>
  <c r="S633"/>
  <c r="S632"/>
  <c r="S631"/>
  <c r="S630"/>
  <c r="S629"/>
  <c r="S628"/>
  <c r="S627"/>
  <c r="S626"/>
  <c r="S625"/>
  <c r="S624"/>
  <c r="S623"/>
  <c r="S622"/>
  <c r="S621"/>
  <c r="S620"/>
  <c r="S619"/>
  <c r="S618"/>
  <c r="S617"/>
  <c r="S616"/>
  <c r="S615"/>
  <c r="S614"/>
  <c r="S613"/>
  <c r="S612"/>
  <c r="S611"/>
  <c r="S610"/>
  <c r="S609"/>
  <c r="S608"/>
  <c r="S607"/>
  <c r="S606"/>
  <c r="S605"/>
  <c r="S604"/>
  <c r="S603"/>
  <c r="S602"/>
  <c r="S601"/>
  <c r="S600"/>
  <c r="S599"/>
  <c r="S598"/>
  <c r="S597"/>
  <c r="S596"/>
  <c r="S595"/>
  <c r="S594"/>
  <c r="S593"/>
  <c r="S592"/>
  <c r="S591"/>
  <c r="S590"/>
  <c r="S589"/>
  <c r="S588"/>
  <c r="S587"/>
  <c r="S586"/>
  <c r="S585"/>
  <c r="S584"/>
  <c r="S583"/>
  <c r="S582"/>
  <c r="S581"/>
  <c r="S580"/>
  <c r="S579"/>
  <c r="S578"/>
  <c r="S563"/>
  <c r="S577"/>
  <c r="S576"/>
  <c r="S575"/>
  <c r="S574"/>
  <c r="S573"/>
  <c r="S572"/>
  <c r="S571"/>
  <c r="S570"/>
  <c r="S569"/>
  <c r="S568"/>
  <c r="S567"/>
  <c r="S566"/>
  <c r="S565"/>
  <c r="S564"/>
  <c r="S559"/>
  <c r="S562"/>
  <c r="S561"/>
  <c r="S560"/>
  <c r="S558"/>
  <c r="S557"/>
  <c r="S556"/>
  <c r="S555"/>
  <c r="S554"/>
  <c r="S553"/>
  <c r="S552"/>
  <c r="S551"/>
  <c r="S550"/>
  <c r="S549"/>
  <c r="S548"/>
  <c r="S547"/>
  <c r="S546"/>
  <c r="S545"/>
  <c r="S544"/>
  <c r="S543"/>
  <c r="S542"/>
  <c r="S541"/>
  <c r="S540"/>
  <c r="S539"/>
  <c r="S538"/>
  <c r="S537"/>
  <c r="S536"/>
  <c r="S535"/>
  <c r="S534"/>
  <c r="S533"/>
  <c r="S532"/>
  <c r="S531"/>
  <c r="S530"/>
  <c r="S529"/>
  <c r="S528"/>
  <c r="S527"/>
  <c r="S526"/>
  <c r="S525"/>
  <c r="S524"/>
  <c r="S523"/>
  <c r="S522"/>
  <c r="S521"/>
  <c r="S520"/>
  <c r="S519"/>
  <c r="S518"/>
  <c r="S517"/>
  <c r="S516"/>
  <c r="S515"/>
  <c r="S514"/>
  <c r="S513"/>
  <c r="S512"/>
  <c r="S511"/>
  <c r="S510"/>
  <c r="S509"/>
  <c r="S508"/>
  <c r="S507"/>
  <c r="S506"/>
  <c r="S505"/>
  <c r="S504"/>
  <c r="S503"/>
  <c r="S502"/>
  <c r="S501"/>
  <c r="S500"/>
  <c r="S499"/>
  <c r="S498"/>
  <c r="S497"/>
  <c r="S496"/>
  <c r="S495"/>
  <c r="S494"/>
  <c r="S493"/>
  <c r="S492"/>
  <c r="S491"/>
  <c r="S490"/>
  <c r="S489"/>
  <c r="S488"/>
  <c r="S487"/>
  <c r="S486"/>
  <c r="S485"/>
  <c r="S484"/>
  <c r="S483"/>
  <c r="S482"/>
  <c r="S481"/>
  <c r="S480"/>
  <c r="S479"/>
  <c r="S478"/>
  <c r="S477"/>
  <c r="S476"/>
  <c r="S475"/>
  <c r="S474"/>
  <c r="S473"/>
  <c r="S472"/>
  <c r="S471"/>
  <c r="S470"/>
  <c r="S469"/>
  <c r="S468"/>
  <c r="S467"/>
  <c r="S466"/>
  <c r="S465"/>
  <c r="S464"/>
  <c r="S463"/>
  <c r="S462"/>
  <c r="S461"/>
  <c r="S460"/>
  <c r="S459"/>
  <c r="S458"/>
  <c r="S457"/>
  <c r="S456"/>
  <c r="S455"/>
  <c r="S454"/>
  <c r="S453"/>
  <c r="S452"/>
  <c r="S451"/>
  <c r="S450"/>
  <c r="S449"/>
  <c r="S448"/>
  <c r="S447"/>
  <c r="S446"/>
  <c r="S445"/>
  <c r="S444"/>
  <c r="S443"/>
  <c r="S442"/>
  <c r="S441"/>
  <c r="S440"/>
  <c r="S439"/>
  <c r="S438"/>
  <c r="S437"/>
  <c r="S436"/>
  <c r="S435"/>
  <c r="S434"/>
  <c r="S433"/>
  <c r="S432"/>
  <c r="S431"/>
  <c r="S430"/>
  <c r="S429"/>
  <c r="S428"/>
  <c r="S427"/>
  <c r="S426"/>
  <c r="S425"/>
  <c r="S424"/>
  <c r="S423"/>
  <c r="S422"/>
  <c r="S421"/>
  <c r="S420"/>
  <c r="S419"/>
  <c r="S418"/>
  <c r="S414"/>
  <c r="S417"/>
  <c r="S416"/>
  <c r="S415"/>
  <c r="S413"/>
  <c r="S412"/>
  <c r="S411"/>
  <c r="S410"/>
  <c r="S409"/>
  <c r="S408"/>
  <c r="S407"/>
  <c r="S406"/>
  <c r="S405"/>
  <c r="S404"/>
  <c r="S403"/>
  <c r="S402"/>
  <c r="S401"/>
  <c r="S400"/>
  <c r="S399"/>
  <c r="S398"/>
  <c r="S397"/>
  <c r="S396"/>
  <c r="S395"/>
  <c r="S369"/>
  <c r="S394"/>
  <c r="S393"/>
  <c r="S392"/>
  <c r="S391"/>
  <c r="S390"/>
  <c r="S389"/>
  <c r="S387"/>
  <c r="S386"/>
  <c r="S385"/>
  <c r="S384"/>
  <c r="S383"/>
  <c r="S382"/>
  <c r="S381"/>
  <c r="S380"/>
  <c r="S379"/>
  <c r="S378"/>
  <c r="S377"/>
  <c r="S376"/>
  <c r="S375"/>
  <c r="S374"/>
  <c r="S373"/>
  <c r="S372"/>
  <c r="S371"/>
  <c r="S370"/>
  <c r="S368"/>
  <c r="S367"/>
  <c r="S366"/>
  <c r="S365"/>
  <c r="S364"/>
  <c r="S363"/>
  <c r="S362"/>
  <c r="S361"/>
  <c r="S360"/>
  <c r="S359"/>
  <c r="S358"/>
  <c r="S357"/>
  <c r="S356"/>
  <c r="S388"/>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0"/>
  <c r="S284"/>
  <c r="S283"/>
  <c r="S282"/>
  <c r="S281"/>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222"/>
  <c r="S221"/>
  <c r="S220"/>
  <c r="S219"/>
  <c r="S218"/>
  <c r="S217"/>
  <c r="S216"/>
  <c r="S215"/>
  <c r="S214"/>
  <c r="S213"/>
  <c r="S212"/>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44"/>
  <c r="S151"/>
  <c r="S150"/>
  <c r="S149"/>
  <c r="S148"/>
  <c r="S147"/>
  <c r="S146"/>
  <c r="S145"/>
  <c r="S143"/>
  <c r="S142"/>
  <c r="S141"/>
  <c r="S140"/>
  <c r="S139"/>
  <c r="S138"/>
  <c r="S137"/>
  <c r="S136"/>
  <c r="S135"/>
  <c r="S134"/>
  <c r="S133"/>
  <c r="S132"/>
  <c r="S131"/>
  <c r="S130"/>
  <c r="S129"/>
  <c r="S128"/>
  <c r="S127"/>
  <c r="S126"/>
  <c r="S125"/>
  <c r="S124"/>
  <c r="S123"/>
  <c r="S122"/>
  <c r="S121"/>
  <c r="S120"/>
  <c r="S119"/>
  <c r="S118"/>
  <c r="S108"/>
  <c r="S97"/>
  <c r="S117"/>
  <c r="S116"/>
  <c r="S115"/>
  <c r="S114"/>
  <c r="S113"/>
  <c r="S112"/>
  <c r="S111"/>
  <c r="S110"/>
  <c r="S109"/>
  <c r="S107"/>
  <c r="S106"/>
  <c r="S105"/>
  <c r="S104"/>
  <c r="S103"/>
  <c r="S102"/>
  <c r="S101"/>
  <c r="S100"/>
  <c r="S99"/>
  <c r="S98"/>
  <c r="S96"/>
  <c r="S95"/>
  <c r="S94"/>
  <c r="S93"/>
  <c r="S92"/>
  <c r="S90"/>
  <c r="S89"/>
  <c r="S88"/>
  <c r="S87"/>
  <c r="S86"/>
  <c r="S85"/>
  <c r="R84"/>
  <c r="S84" s="1"/>
  <c r="S78"/>
  <c r="S77"/>
  <c r="S76"/>
  <c r="S75"/>
  <c r="S74"/>
  <c r="S73"/>
  <c r="S72"/>
  <c r="S71"/>
  <c r="S70"/>
  <c r="S69"/>
  <c r="S68"/>
  <c r="S67"/>
  <c r="S66"/>
  <c r="S65"/>
  <c r="S64"/>
  <c r="S63"/>
  <c r="S62"/>
  <c r="S61"/>
  <c r="S60"/>
  <c r="S59"/>
  <c r="S58"/>
  <c r="S57"/>
  <c r="S55"/>
  <c r="S56"/>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P717"/>
  <c r="P716"/>
  <c r="P715"/>
  <c r="P714"/>
  <c r="P713"/>
  <c r="P712"/>
  <c r="P711"/>
  <c r="P710"/>
  <c r="P709"/>
  <c r="P708"/>
  <c r="P707"/>
  <c r="P706"/>
  <c r="P705"/>
  <c r="P704"/>
  <c r="P703"/>
  <c r="P702"/>
  <c r="P701"/>
  <c r="P700"/>
  <c r="P699"/>
  <c r="P698"/>
  <c r="P697"/>
  <c r="P695"/>
  <c r="P694"/>
  <c r="P693"/>
  <c r="P692"/>
  <c r="P691"/>
  <c r="P689"/>
  <c r="P688"/>
  <c r="P687"/>
  <c r="P686"/>
  <c r="P685"/>
  <c r="P684"/>
  <c r="P683"/>
  <c r="P690"/>
  <c r="P682"/>
  <c r="P681"/>
  <c r="P680"/>
  <c r="P679"/>
  <c r="P678"/>
  <c r="P677"/>
  <c r="P676"/>
  <c r="P675"/>
  <c r="P674"/>
  <c r="P673"/>
  <c r="P672"/>
  <c r="P671"/>
  <c r="P670"/>
  <c r="P669"/>
  <c r="P668"/>
  <c r="P667"/>
  <c r="P666"/>
  <c r="P665"/>
  <c r="P664"/>
  <c r="P663"/>
  <c r="P662"/>
  <c r="P658"/>
  <c r="P661"/>
  <c r="P660"/>
  <c r="P659"/>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63"/>
  <c r="P577"/>
  <c r="P576"/>
  <c r="P575"/>
  <c r="P574"/>
  <c r="P573"/>
  <c r="P572"/>
  <c r="P571"/>
  <c r="P570"/>
  <c r="P569"/>
  <c r="P568"/>
  <c r="P567"/>
  <c r="P566"/>
  <c r="P565"/>
  <c r="P564"/>
  <c r="P559"/>
  <c r="P562"/>
  <c r="P561"/>
  <c r="P560"/>
  <c r="P558"/>
  <c r="P557"/>
  <c r="P556"/>
  <c r="P555"/>
  <c r="P554"/>
  <c r="P553"/>
  <c r="P552"/>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4"/>
  <c r="P417"/>
  <c r="P416"/>
  <c r="P415"/>
  <c r="P413"/>
  <c r="P412"/>
  <c r="P411"/>
  <c r="P410"/>
  <c r="P409"/>
  <c r="P408"/>
  <c r="P407"/>
  <c r="P406"/>
  <c r="P405"/>
  <c r="P404"/>
  <c r="P403"/>
  <c r="P402"/>
  <c r="P401"/>
  <c r="P400"/>
  <c r="P399"/>
  <c r="P398"/>
  <c r="P397"/>
  <c r="P396"/>
  <c r="P395"/>
  <c r="P369"/>
  <c r="P394"/>
  <c r="P393"/>
  <c r="P392"/>
  <c r="P391"/>
  <c r="P390"/>
  <c r="P389"/>
  <c r="P387"/>
  <c r="P386"/>
  <c r="P385"/>
  <c r="P384"/>
  <c r="P383"/>
  <c r="P382"/>
  <c r="P381"/>
  <c r="P380"/>
  <c r="P379"/>
  <c r="P378"/>
  <c r="P377"/>
  <c r="P376"/>
  <c r="P375"/>
  <c r="P374"/>
  <c r="P373"/>
  <c r="P372"/>
  <c r="P371"/>
  <c r="P370"/>
  <c r="P368"/>
  <c r="P367"/>
  <c r="P366"/>
  <c r="P365"/>
  <c r="P364"/>
  <c r="P363"/>
  <c r="P362"/>
  <c r="P361"/>
  <c r="P360"/>
  <c r="P359"/>
  <c r="P358"/>
  <c r="P357"/>
  <c r="P356"/>
  <c r="P388"/>
  <c r="P355"/>
  <c r="P354"/>
  <c r="P353"/>
  <c r="P352"/>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0"/>
  <c r="P284"/>
  <c r="P283"/>
  <c r="P282"/>
  <c r="P281"/>
  <c r="P279"/>
  <c r="P278"/>
  <c r="P277"/>
  <c r="P276"/>
  <c r="P275"/>
  <c r="P274"/>
  <c r="P273"/>
  <c r="P272"/>
  <c r="P271"/>
  <c r="P270"/>
  <c r="P269"/>
  <c r="P268"/>
  <c r="P267"/>
  <c r="P266"/>
  <c r="P265"/>
  <c r="P264"/>
  <c r="P263"/>
  <c r="P262"/>
  <c r="P261"/>
  <c r="P260"/>
  <c r="P259"/>
  <c r="P258"/>
  <c r="P257"/>
  <c r="P256"/>
  <c r="P255"/>
  <c r="P254"/>
  <c r="P253"/>
  <c r="P252"/>
  <c r="P251"/>
  <c r="P250"/>
  <c r="P249"/>
  <c r="P248"/>
  <c r="P247"/>
  <c r="P246"/>
  <c r="P245"/>
  <c r="P244"/>
  <c r="P243"/>
  <c r="P242"/>
  <c r="P241"/>
  <c r="P240"/>
  <c r="P239"/>
  <c r="P238"/>
  <c r="P237"/>
  <c r="P236"/>
  <c r="P235"/>
  <c r="P234"/>
  <c r="P233"/>
  <c r="P232"/>
  <c r="P231"/>
  <c r="P230"/>
  <c r="P229"/>
  <c r="P228"/>
  <c r="P227"/>
  <c r="P226"/>
  <c r="P225"/>
  <c r="P224"/>
  <c r="P223"/>
  <c r="P222"/>
  <c r="P221"/>
  <c r="P220"/>
  <c r="P219"/>
  <c r="P218"/>
  <c r="P217"/>
  <c r="P216"/>
  <c r="P215"/>
  <c r="P214"/>
  <c r="P213"/>
  <c r="P212"/>
  <c r="P187"/>
  <c r="P186"/>
  <c r="P185"/>
  <c r="P184"/>
  <c r="P183"/>
  <c r="P182"/>
  <c r="P181"/>
  <c r="P180"/>
  <c r="P179"/>
  <c r="P178"/>
  <c r="P177"/>
  <c r="P176"/>
  <c r="P175"/>
  <c r="P174"/>
  <c r="P173"/>
  <c r="P172"/>
  <c r="P171"/>
  <c r="P170"/>
  <c r="P169"/>
  <c r="P168"/>
  <c r="P167"/>
  <c r="P166"/>
  <c r="P165"/>
  <c r="P164"/>
  <c r="P163"/>
  <c r="P162"/>
  <c r="P161"/>
  <c r="P160"/>
  <c r="P159"/>
  <c r="P158"/>
  <c r="P157"/>
  <c r="P156"/>
  <c r="P155"/>
  <c r="P154"/>
  <c r="P153"/>
  <c r="P152"/>
  <c r="P144"/>
  <c r="P151"/>
  <c r="P150"/>
  <c r="P149"/>
  <c r="P148"/>
  <c r="P147"/>
  <c r="P146"/>
  <c r="P145"/>
  <c r="P143"/>
  <c r="P142"/>
  <c r="P141"/>
  <c r="P140"/>
  <c r="P139"/>
  <c r="P138"/>
  <c r="P137"/>
  <c r="P136"/>
  <c r="P135"/>
  <c r="P134"/>
  <c r="P133"/>
  <c r="P132"/>
  <c r="P131"/>
  <c r="P130"/>
  <c r="P129"/>
  <c r="P128"/>
  <c r="P127"/>
  <c r="P126"/>
  <c r="P125"/>
  <c r="P124"/>
  <c r="P123"/>
  <c r="P122"/>
  <c r="P121"/>
  <c r="P120"/>
  <c r="P119"/>
  <c r="P118"/>
  <c r="P108"/>
  <c r="P97"/>
  <c r="P117"/>
  <c r="P116"/>
  <c r="P115"/>
  <c r="P114"/>
  <c r="P113"/>
  <c r="P112"/>
  <c r="P111"/>
  <c r="P110"/>
  <c r="P109"/>
  <c r="P107"/>
  <c r="P106"/>
  <c r="P105"/>
  <c r="P104"/>
  <c r="P103"/>
  <c r="P102"/>
  <c r="P101"/>
  <c r="P100"/>
  <c r="P99"/>
  <c r="P98"/>
  <c r="P96"/>
  <c r="P95"/>
  <c r="P94"/>
  <c r="P93"/>
  <c r="P92"/>
  <c r="P91"/>
  <c r="P90"/>
  <c r="P89"/>
  <c r="P88"/>
  <c r="P87"/>
  <c r="P86"/>
  <c r="P85"/>
  <c r="P84"/>
  <c r="P78"/>
  <c r="P77"/>
  <c r="P76"/>
  <c r="P75"/>
  <c r="P74"/>
  <c r="P73"/>
  <c r="P72"/>
  <c r="P71"/>
  <c r="P70"/>
  <c r="P69"/>
  <c r="P68"/>
  <c r="P67"/>
  <c r="P66"/>
  <c r="P65"/>
  <c r="P64"/>
  <c r="P63"/>
  <c r="P62"/>
  <c r="P61"/>
  <c r="P60"/>
  <c r="P59"/>
  <c r="P58"/>
  <c r="P57"/>
  <c r="P55"/>
  <c r="P56"/>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P10"/>
  <c r="P9"/>
  <c r="M717"/>
  <c r="M716"/>
  <c r="M715"/>
  <c r="M714"/>
  <c r="M713"/>
  <c r="M712"/>
  <c r="M711"/>
  <c r="M710"/>
  <c r="M709"/>
  <c r="M708"/>
  <c r="M707"/>
  <c r="M706"/>
  <c r="M705"/>
  <c r="M704"/>
  <c r="M703"/>
  <c r="M702"/>
  <c r="M701"/>
  <c r="M700"/>
  <c r="M699"/>
  <c r="M698"/>
  <c r="M697"/>
  <c r="M695"/>
  <c r="M694"/>
  <c r="M693"/>
  <c r="M692"/>
  <c r="M691"/>
  <c r="M689"/>
  <c r="M688"/>
  <c r="M687"/>
  <c r="M686"/>
  <c r="M685"/>
  <c r="M684"/>
  <c r="M683"/>
  <c r="M690"/>
  <c r="M682"/>
  <c r="M681"/>
  <c r="M680"/>
  <c r="M679"/>
  <c r="M678"/>
  <c r="M677"/>
  <c r="M676"/>
  <c r="M675"/>
  <c r="M674"/>
  <c r="M673"/>
  <c r="M672"/>
  <c r="M671"/>
  <c r="M670"/>
  <c r="M669"/>
  <c r="M668"/>
  <c r="M667"/>
  <c r="M666"/>
  <c r="M665"/>
  <c r="M664"/>
  <c r="M663"/>
  <c r="M662"/>
  <c r="M658"/>
  <c r="M661"/>
  <c r="M660"/>
  <c r="M659"/>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63"/>
  <c r="M577"/>
  <c r="M576"/>
  <c r="M575"/>
  <c r="M574"/>
  <c r="M573"/>
  <c r="M572"/>
  <c r="M571"/>
  <c r="M570"/>
  <c r="M569"/>
  <c r="M568"/>
  <c r="M567"/>
  <c r="M566"/>
  <c r="M565"/>
  <c r="M564"/>
  <c r="M559"/>
  <c r="M562"/>
  <c r="M561"/>
  <c r="M560"/>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4"/>
  <c r="M417"/>
  <c r="M416"/>
  <c r="M415"/>
  <c r="M413"/>
  <c r="M412"/>
  <c r="M411"/>
  <c r="M410"/>
  <c r="M409"/>
  <c r="M408"/>
  <c r="M407"/>
  <c r="M406"/>
  <c r="M405"/>
  <c r="M404"/>
  <c r="M403"/>
  <c r="M402"/>
  <c r="M401"/>
  <c r="M400"/>
  <c r="M399"/>
  <c r="M398"/>
  <c r="M397"/>
  <c r="M396"/>
  <c r="M395"/>
  <c r="M369"/>
  <c r="M394"/>
  <c r="M393"/>
  <c r="M392"/>
  <c r="M391"/>
  <c r="M390"/>
  <c r="M389"/>
  <c r="M387"/>
  <c r="M386"/>
  <c r="M385"/>
  <c r="M384"/>
  <c r="M383"/>
  <c r="M382"/>
  <c r="M381"/>
  <c r="M380"/>
  <c r="M379"/>
  <c r="M378"/>
  <c r="M377"/>
  <c r="M376"/>
  <c r="M375"/>
  <c r="M374"/>
  <c r="M373"/>
  <c r="M372"/>
  <c r="M371"/>
  <c r="M370"/>
  <c r="M368"/>
  <c r="M367"/>
  <c r="M366"/>
  <c r="M365"/>
  <c r="M364"/>
  <c r="M363"/>
  <c r="M362"/>
  <c r="M361"/>
  <c r="M360"/>
  <c r="M359"/>
  <c r="M358"/>
  <c r="M357"/>
  <c r="M356"/>
  <c r="M388"/>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0"/>
  <c r="M284"/>
  <c r="M283"/>
  <c r="M282"/>
  <c r="M281"/>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44"/>
  <c r="M151"/>
  <c r="M150"/>
  <c r="M149"/>
  <c r="M148"/>
  <c r="M147"/>
  <c r="M146"/>
  <c r="M145"/>
  <c r="M143"/>
  <c r="M142"/>
  <c r="M141"/>
  <c r="M140"/>
  <c r="M139"/>
  <c r="M138"/>
  <c r="M137"/>
  <c r="M136"/>
  <c r="M135"/>
  <c r="M134"/>
  <c r="M133"/>
  <c r="M132"/>
  <c r="M131"/>
  <c r="M130"/>
  <c r="M129"/>
  <c r="M128"/>
  <c r="M127"/>
  <c r="M126"/>
  <c r="M125"/>
  <c r="M124"/>
  <c r="M123"/>
  <c r="M122"/>
  <c r="M121"/>
  <c r="M120"/>
  <c r="M119"/>
  <c r="M118"/>
  <c r="M108"/>
  <c r="M97"/>
  <c r="M117"/>
  <c r="M116"/>
  <c r="M115"/>
  <c r="M114"/>
  <c r="M113"/>
  <c r="M112"/>
  <c r="M111"/>
  <c r="M110"/>
  <c r="M109"/>
  <c r="M107"/>
  <c r="M106"/>
  <c r="M105"/>
  <c r="M104"/>
  <c r="M103"/>
  <c r="M102"/>
  <c r="M101"/>
  <c r="M100"/>
  <c r="M99"/>
  <c r="M98"/>
  <c r="M96"/>
  <c r="M95"/>
  <c r="M94"/>
  <c r="M93"/>
  <c r="M92"/>
  <c r="M90"/>
  <c r="M89"/>
  <c r="M88"/>
  <c r="M87"/>
  <c r="M86"/>
  <c r="M85"/>
  <c r="M84"/>
  <c r="M78"/>
  <c r="M77"/>
  <c r="M76"/>
  <c r="M75"/>
  <c r="M74"/>
  <c r="M73"/>
  <c r="M72"/>
  <c r="M71"/>
  <c r="M70"/>
  <c r="M69"/>
  <c r="M68"/>
  <c r="M67"/>
  <c r="M66"/>
  <c r="M65"/>
  <c r="M64"/>
  <c r="M63"/>
  <c r="M62"/>
  <c r="M61"/>
  <c r="M60"/>
  <c r="M59"/>
  <c r="M58"/>
  <c r="M57"/>
  <c r="M55"/>
  <c r="M56"/>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J717"/>
  <c r="J716"/>
  <c r="J715"/>
  <c r="J714"/>
  <c r="J713"/>
  <c r="J712"/>
  <c r="J711"/>
  <c r="J710"/>
  <c r="J709"/>
  <c r="J708"/>
  <c r="J707"/>
  <c r="J706"/>
  <c r="J705"/>
  <c r="J704"/>
  <c r="J703"/>
  <c r="J702"/>
  <c r="J701"/>
  <c r="J700"/>
  <c r="J699"/>
  <c r="J698"/>
  <c r="J697"/>
  <c r="J695"/>
  <c r="J694"/>
  <c r="J693"/>
  <c r="J692"/>
  <c r="J691"/>
  <c r="J689"/>
  <c r="J688"/>
  <c r="J687"/>
  <c r="J686"/>
  <c r="J685"/>
  <c r="J684"/>
  <c r="J683"/>
  <c r="J690"/>
  <c r="J682"/>
  <c r="J681"/>
  <c r="J680"/>
  <c r="J679"/>
  <c r="J678"/>
  <c r="J677"/>
  <c r="J676"/>
  <c r="J675"/>
  <c r="J674"/>
  <c r="J673"/>
  <c r="J672"/>
  <c r="J671"/>
  <c r="J670"/>
  <c r="J669"/>
  <c r="J668"/>
  <c r="J667"/>
  <c r="J666"/>
  <c r="J665"/>
  <c r="J664"/>
  <c r="J663"/>
  <c r="J662"/>
  <c r="J658"/>
  <c r="J661"/>
  <c r="J660"/>
  <c r="J659"/>
  <c r="J657"/>
  <c r="J656"/>
  <c r="J655"/>
  <c r="J654"/>
  <c r="J653"/>
  <c r="J652"/>
  <c r="J651"/>
  <c r="J650"/>
  <c r="J649"/>
  <c r="J648"/>
  <c r="J647"/>
  <c r="J646"/>
  <c r="J645"/>
  <c r="J644"/>
  <c r="J643"/>
  <c r="J642"/>
  <c r="J641"/>
  <c r="J640"/>
  <c r="J639"/>
  <c r="J638"/>
  <c r="J637"/>
  <c r="J636"/>
  <c r="J635"/>
  <c r="J634"/>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3"/>
  <c r="J592"/>
  <c r="J591"/>
  <c r="J590"/>
  <c r="J589"/>
  <c r="J588"/>
  <c r="J587"/>
  <c r="J586"/>
  <c r="J585"/>
  <c r="J584"/>
  <c r="J583"/>
  <c r="J582"/>
  <c r="J581"/>
  <c r="J580"/>
  <c r="J579"/>
  <c r="J578"/>
  <c r="J563"/>
  <c r="J577"/>
  <c r="J576"/>
  <c r="J575"/>
  <c r="J574"/>
  <c r="J573"/>
  <c r="J572"/>
  <c r="J571"/>
  <c r="J570"/>
  <c r="J569"/>
  <c r="J568"/>
  <c r="J567"/>
  <c r="J566"/>
  <c r="J565"/>
  <c r="J564"/>
  <c r="J559"/>
  <c r="J562"/>
  <c r="J561"/>
  <c r="J560"/>
  <c r="J558"/>
  <c r="J557"/>
  <c r="J556"/>
  <c r="J555"/>
  <c r="J554"/>
  <c r="J553"/>
  <c r="J552"/>
  <c r="J551"/>
  <c r="J550"/>
  <c r="J549"/>
  <c r="J548"/>
  <c r="J547"/>
  <c r="J546"/>
  <c r="J545"/>
  <c r="J544"/>
  <c r="J543"/>
  <c r="J542"/>
  <c r="J541"/>
  <c r="J540"/>
  <c r="J539"/>
  <c r="J538"/>
  <c r="J537"/>
  <c r="J536"/>
  <c r="J535"/>
  <c r="J534"/>
  <c r="J533"/>
  <c r="J532"/>
  <c r="J531"/>
  <c r="J530"/>
  <c r="J529"/>
  <c r="J528"/>
  <c r="J527"/>
  <c r="J526"/>
  <c r="J525"/>
  <c r="J524"/>
  <c r="J523"/>
  <c r="J522"/>
  <c r="J521"/>
  <c r="J520"/>
  <c r="J519"/>
  <c r="J518"/>
  <c r="J517"/>
  <c r="J516"/>
  <c r="J515"/>
  <c r="J514"/>
  <c r="J513"/>
  <c r="J512"/>
  <c r="J511"/>
  <c r="J510"/>
  <c r="J509"/>
  <c r="J508"/>
  <c r="J507"/>
  <c r="J506"/>
  <c r="J505"/>
  <c r="J504"/>
  <c r="J503"/>
  <c r="J502"/>
  <c r="J501"/>
  <c r="J500"/>
  <c r="J499"/>
  <c r="J498"/>
  <c r="J497"/>
  <c r="J496"/>
  <c r="J495"/>
  <c r="J494"/>
  <c r="J493"/>
  <c r="J492"/>
  <c r="J491"/>
  <c r="J490"/>
  <c r="J489"/>
  <c r="J488"/>
  <c r="J487"/>
  <c r="J486"/>
  <c r="J485"/>
  <c r="J484"/>
  <c r="J483"/>
  <c r="J482"/>
  <c r="J481"/>
  <c r="J480"/>
  <c r="J479"/>
  <c r="J478"/>
  <c r="J477"/>
  <c r="J476"/>
  <c r="J475"/>
  <c r="J474"/>
  <c r="J473"/>
  <c r="J472"/>
  <c r="J471"/>
  <c r="J470"/>
  <c r="J469"/>
  <c r="J468"/>
  <c r="J467"/>
  <c r="J466"/>
  <c r="J465"/>
  <c r="J464"/>
  <c r="J463"/>
  <c r="J462"/>
  <c r="J461"/>
  <c r="J460"/>
  <c r="J459"/>
  <c r="J458"/>
  <c r="J457"/>
  <c r="J456"/>
  <c r="J455"/>
  <c r="J454"/>
  <c r="J453"/>
  <c r="J452"/>
  <c r="J451"/>
  <c r="J450"/>
  <c r="J449"/>
  <c r="J448"/>
  <c r="J447"/>
  <c r="J446"/>
  <c r="J445"/>
  <c r="J444"/>
  <c r="J443"/>
  <c r="J442"/>
  <c r="J441"/>
  <c r="J440"/>
  <c r="J439"/>
  <c r="J438"/>
  <c r="J437"/>
  <c r="J436"/>
  <c r="J435"/>
  <c r="J434"/>
  <c r="J433"/>
  <c r="J432"/>
  <c r="J431"/>
  <c r="J430"/>
  <c r="J429"/>
  <c r="J428"/>
  <c r="J427"/>
  <c r="J426"/>
  <c r="J425"/>
  <c r="J424"/>
  <c r="J423"/>
  <c r="J422"/>
  <c r="J421"/>
  <c r="J420"/>
  <c r="J419"/>
  <c r="J418"/>
  <c r="J414"/>
  <c r="J417"/>
  <c r="J416"/>
  <c r="J415"/>
  <c r="J413"/>
  <c r="J412"/>
  <c r="J411"/>
  <c r="J410"/>
  <c r="J409"/>
  <c r="J408"/>
  <c r="J407"/>
  <c r="J406"/>
  <c r="J405"/>
  <c r="J404"/>
  <c r="J403"/>
  <c r="J402"/>
  <c r="J401"/>
  <c r="J400"/>
  <c r="J399"/>
  <c r="J398"/>
  <c r="J397"/>
  <c r="J396"/>
  <c r="J395"/>
  <c r="J369"/>
  <c r="J394"/>
  <c r="J393"/>
  <c r="J392"/>
  <c r="J391"/>
  <c r="J390"/>
  <c r="J389"/>
  <c r="J387"/>
  <c r="J386"/>
  <c r="J385"/>
  <c r="J384"/>
  <c r="J383"/>
  <c r="J382"/>
  <c r="J381"/>
  <c r="J380"/>
  <c r="J379"/>
  <c r="J378"/>
  <c r="J377"/>
  <c r="J376"/>
  <c r="J375"/>
  <c r="J374"/>
  <c r="J373"/>
  <c r="J372"/>
  <c r="J371"/>
  <c r="J370"/>
  <c r="J368"/>
  <c r="J367"/>
  <c r="J366"/>
  <c r="J365"/>
  <c r="J364"/>
  <c r="J363"/>
  <c r="J362"/>
  <c r="J361"/>
  <c r="J360"/>
  <c r="J359"/>
  <c r="J358"/>
  <c r="J357"/>
  <c r="J356"/>
  <c r="J388"/>
  <c r="J355"/>
  <c r="J354"/>
  <c r="J353"/>
  <c r="J352"/>
  <c r="J351"/>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J293"/>
  <c r="J292"/>
  <c r="J291"/>
  <c r="J290"/>
  <c r="J289"/>
  <c r="J288"/>
  <c r="J287"/>
  <c r="J286"/>
  <c r="J285"/>
  <c r="J280"/>
  <c r="J284"/>
  <c r="J283"/>
  <c r="J282"/>
  <c r="J281"/>
  <c r="J279"/>
  <c r="J278"/>
  <c r="J277"/>
  <c r="J276"/>
  <c r="J275"/>
  <c r="J274"/>
  <c r="J273"/>
  <c r="J272"/>
  <c r="J271"/>
  <c r="J270"/>
  <c r="J269"/>
  <c r="J268"/>
  <c r="J267"/>
  <c r="J266"/>
  <c r="J265"/>
  <c r="J264"/>
  <c r="J263"/>
  <c r="J262"/>
  <c r="J261"/>
  <c r="J260"/>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44"/>
  <c r="J151"/>
  <c r="J150"/>
  <c r="J149"/>
  <c r="J148"/>
  <c r="J147"/>
  <c r="J146"/>
  <c r="J145"/>
  <c r="J143"/>
  <c r="J142"/>
  <c r="J141"/>
  <c r="J140"/>
  <c r="J139"/>
  <c r="J138"/>
  <c r="J137"/>
  <c r="J136"/>
  <c r="J135"/>
  <c r="J134"/>
  <c r="J133"/>
  <c r="J132"/>
  <c r="J131"/>
  <c r="J130"/>
  <c r="J129"/>
  <c r="J128"/>
  <c r="J127"/>
  <c r="J126"/>
  <c r="J125"/>
  <c r="J124"/>
  <c r="J123"/>
  <c r="J122"/>
  <c r="J121"/>
  <c r="J120"/>
  <c r="J119"/>
  <c r="J118"/>
  <c r="J108"/>
  <c r="J97"/>
  <c r="J117"/>
  <c r="J116"/>
  <c r="J115"/>
  <c r="J114"/>
  <c r="J113"/>
  <c r="J112"/>
  <c r="J111"/>
  <c r="J110"/>
  <c r="J109"/>
  <c r="J107"/>
  <c r="J106"/>
  <c r="J105"/>
  <c r="J104"/>
  <c r="J103"/>
  <c r="J102"/>
  <c r="J101"/>
  <c r="J100"/>
  <c r="J99"/>
  <c r="J98"/>
  <c r="J96"/>
  <c r="J95"/>
  <c r="J94"/>
  <c r="J93"/>
  <c r="J92"/>
  <c r="J91"/>
  <c r="J90"/>
  <c r="J89"/>
  <c r="J88"/>
  <c r="J87"/>
  <c r="J86"/>
  <c r="J85"/>
  <c r="J84"/>
  <c r="J78"/>
  <c r="J77"/>
  <c r="J76"/>
  <c r="J75"/>
  <c r="J74"/>
  <c r="J73"/>
  <c r="J72"/>
  <c r="J71"/>
  <c r="J70"/>
  <c r="J69"/>
  <c r="J68"/>
  <c r="J67"/>
  <c r="J66"/>
  <c r="J65"/>
  <c r="J64"/>
  <c r="J63"/>
  <c r="J62"/>
  <c r="J61"/>
  <c r="J60"/>
  <c r="J59"/>
  <c r="J58"/>
  <c r="J57"/>
  <c r="J55"/>
  <c r="J56"/>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G717"/>
  <c r="G716"/>
  <c r="G715"/>
  <c r="G714"/>
  <c r="G713"/>
  <c r="G712"/>
  <c r="G711"/>
  <c r="G710"/>
  <c r="G709"/>
  <c r="G708"/>
  <c r="G707"/>
  <c r="G706"/>
  <c r="G705"/>
  <c r="G704"/>
  <c r="G703"/>
  <c r="G702"/>
  <c r="G701"/>
  <c r="G700"/>
  <c r="G699"/>
  <c r="G698"/>
  <c r="G697"/>
  <c r="G695"/>
  <c r="G694"/>
  <c r="G693"/>
  <c r="G692"/>
  <c r="G691"/>
  <c r="G689"/>
  <c r="G688"/>
  <c r="G687"/>
  <c r="G686"/>
  <c r="G685"/>
  <c r="G684"/>
  <c r="G683"/>
  <c r="G690"/>
  <c r="G682"/>
  <c r="G681"/>
  <c r="G680"/>
  <c r="G679"/>
  <c r="G678"/>
  <c r="G677"/>
  <c r="G676"/>
  <c r="G675"/>
  <c r="G674"/>
  <c r="G673"/>
  <c r="G672"/>
  <c r="G671"/>
  <c r="G670"/>
  <c r="G669"/>
  <c r="G668"/>
  <c r="G667"/>
  <c r="G666"/>
  <c r="G665"/>
  <c r="G664"/>
  <c r="G663"/>
  <c r="G662"/>
  <c r="G658"/>
  <c r="G661"/>
  <c r="G660"/>
  <c r="G659"/>
  <c r="G657"/>
  <c r="G656"/>
  <c r="G655"/>
  <c r="G654"/>
  <c r="G653"/>
  <c r="G652"/>
  <c r="G651"/>
  <c r="G650"/>
  <c r="G649"/>
  <c r="G648"/>
  <c r="G647"/>
  <c r="G646"/>
  <c r="G645"/>
  <c r="G644"/>
  <c r="G643"/>
  <c r="G642"/>
  <c r="G641"/>
  <c r="G640"/>
  <c r="G639"/>
  <c r="G638"/>
  <c r="G637"/>
  <c r="G636"/>
  <c r="G635"/>
  <c r="G634"/>
  <c r="G633"/>
  <c r="G632"/>
  <c r="G631"/>
  <c r="G630"/>
  <c r="G629"/>
  <c r="G628"/>
  <c r="G627"/>
  <c r="G626"/>
  <c r="G625"/>
  <c r="G624"/>
  <c r="G623"/>
  <c r="G622"/>
  <c r="G621"/>
  <c r="G620"/>
  <c r="G619"/>
  <c r="G618"/>
  <c r="G617"/>
  <c r="G616"/>
  <c r="G615"/>
  <c r="G614"/>
  <c r="G613"/>
  <c r="G612"/>
  <c r="G611"/>
  <c r="G610"/>
  <c r="G609"/>
  <c r="G608"/>
  <c r="G607"/>
  <c r="G606"/>
  <c r="G605"/>
  <c r="G604"/>
  <c r="G603"/>
  <c r="G602"/>
  <c r="G601"/>
  <c r="G600"/>
  <c r="G599"/>
  <c r="G598"/>
  <c r="G597"/>
  <c r="G596"/>
  <c r="G595"/>
  <c r="G594"/>
  <c r="G593"/>
  <c r="G592"/>
  <c r="G591"/>
  <c r="G590"/>
  <c r="G589"/>
  <c r="G588"/>
  <c r="G587"/>
  <c r="G586"/>
  <c r="G585"/>
  <c r="G584"/>
  <c r="G583"/>
  <c r="G582"/>
  <c r="G581"/>
  <c r="G580"/>
  <c r="G579"/>
  <c r="G578"/>
  <c r="G563"/>
  <c r="G577"/>
  <c r="G576"/>
  <c r="G575"/>
  <c r="G574"/>
  <c r="G573"/>
  <c r="G572"/>
  <c r="G571"/>
  <c r="G570"/>
  <c r="G569"/>
  <c r="G568"/>
  <c r="G567"/>
  <c r="G566"/>
  <c r="G565"/>
  <c r="G564"/>
  <c r="G559"/>
  <c r="G562"/>
  <c r="G561"/>
  <c r="G560"/>
  <c r="G558"/>
  <c r="G557"/>
  <c r="G556"/>
  <c r="G555"/>
  <c r="G554"/>
  <c r="G553"/>
  <c r="G552"/>
  <c r="G551"/>
  <c r="G550"/>
  <c r="G549"/>
  <c r="G548"/>
  <c r="G547"/>
  <c r="G546"/>
  <c r="G545"/>
  <c r="G544"/>
  <c r="G543"/>
  <c r="G542"/>
  <c r="G541"/>
  <c r="G540"/>
  <c r="G539"/>
  <c r="G538"/>
  <c r="G537"/>
  <c r="G536"/>
  <c r="G535"/>
  <c r="G534"/>
  <c r="G533"/>
  <c r="G532"/>
  <c r="G531"/>
  <c r="G530"/>
  <c r="G529"/>
  <c r="G528"/>
  <c r="G527"/>
  <c r="G526"/>
  <c r="G525"/>
  <c r="G524"/>
  <c r="G523"/>
  <c r="G522"/>
  <c r="G521"/>
  <c r="G520"/>
  <c r="G519"/>
  <c r="G518"/>
  <c r="G517"/>
  <c r="G516"/>
  <c r="G515"/>
  <c r="G514"/>
  <c r="G513"/>
  <c r="G512"/>
  <c r="G511"/>
  <c r="G510"/>
  <c r="G509"/>
  <c r="G508"/>
  <c r="G507"/>
  <c r="G506"/>
  <c r="G505"/>
  <c r="G504"/>
  <c r="G503"/>
  <c r="G502"/>
  <c r="G501"/>
  <c r="G500"/>
  <c r="G499"/>
  <c r="G498"/>
  <c r="G497"/>
  <c r="G496"/>
  <c r="G495"/>
  <c r="G494"/>
  <c r="G493"/>
  <c r="G492"/>
  <c r="G491"/>
  <c r="G490"/>
  <c r="G489"/>
  <c r="G488"/>
  <c r="G487"/>
  <c r="G486"/>
  <c r="G485"/>
  <c r="G484"/>
  <c r="G483"/>
  <c r="G482"/>
  <c r="G481"/>
  <c r="G480"/>
  <c r="G479"/>
  <c r="G478"/>
  <c r="G477"/>
  <c r="G476"/>
  <c r="G475"/>
  <c r="G474"/>
  <c r="G473"/>
  <c r="G472"/>
  <c r="G471"/>
  <c r="G470"/>
  <c r="G469"/>
  <c r="G468"/>
  <c r="G467"/>
  <c r="G466"/>
  <c r="G465"/>
  <c r="G464"/>
  <c r="G463"/>
  <c r="G462"/>
  <c r="G461"/>
  <c r="G460"/>
  <c r="G459"/>
  <c r="G458"/>
  <c r="G457"/>
  <c r="G456"/>
  <c r="G455"/>
  <c r="G454"/>
  <c r="G453"/>
  <c r="G452"/>
  <c r="G451"/>
  <c r="G450"/>
  <c r="G449"/>
  <c r="G448"/>
  <c r="G447"/>
  <c r="G446"/>
  <c r="G445"/>
  <c r="G444"/>
  <c r="G443"/>
  <c r="G442"/>
  <c r="G441"/>
  <c r="G440"/>
  <c r="G439"/>
  <c r="G438"/>
  <c r="G437"/>
  <c r="G436"/>
  <c r="G435"/>
  <c r="G434"/>
  <c r="G433"/>
  <c r="G432"/>
  <c r="G431"/>
  <c r="G430"/>
  <c r="G429"/>
  <c r="G428"/>
  <c r="G427"/>
  <c r="G426"/>
  <c r="G425"/>
  <c r="G424"/>
  <c r="G423"/>
  <c r="G422"/>
  <c r="G421"/>
  <c r="G420"/>
  <c r="G419"/>
  <c r="G418"/>
  <c r="G414"/>
  <c r="G417"/>
  <c r="G416"/>
  <c r="G415"/>
  <c r="G413"/>
  <c r="G412"/>
  <c r="G411"/>
  <c r="G410"/>
  <c r="G409"/>
  <c r="G408"/>
  <c r="G407"/>
  <c r="G406"/>
  <c r="G405"/>
  <c r="G404"/>
  <c r="G403"/>
  <c r="G402"/>
  <c r="G401"/>
  <c r="G400"/>
  <c r="G399"/>
  <c r="G398"/>
  <c r="G397"/>
  <c r="G396"/>
  <c r="G395"/>
  <c r="G369"/>
  <c r="G394"/>
  <c r="G393"/>
  <c r="G392"/>
  <c r="G391"/>
  <c r="G390"/>
  <c r="G389"/>
  <c r="G387"/>
  <c r="G386"/>
  <c r="G385"/>
  <c r="G384"/>
  <c r="G383"/>
  <c r="G382"/>
  <c r="G381"/>
  <c r="G380"/>
  <c r="G379"/>
  <c r="G378"/>
  <c r="G377"/>
  <c r="G376"/>
  <c r="G375"/>
  <c r="G374"/>
  <c r="G373"/>
  <c r="G372"/>
  <c r="G371"/>
  <c r="G370"/>
  <c r="G368"/>
  <c r="G367"/>
  <c r="G366"/>
  <c r="G365"/>
  <c r="G364"/>
  <c r="G363"/>
  <c r="G362"/>
  <c r="G361"/>
  <c r="G360"/>
  <c r="G359"/>
  <c r="G358"/>
  <c r="G357"/>
  <c r="G356"/>
  <c r="G388"/>
  <c r="G355"/>
  <c r="G354"/>
  <c r="G353"/>
  <c r="G352"/>
  <c r="G351"/>
  <c r="G350"/>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0"/>
  <c r="G284"/>
  <c r="G283"/>
  <c r="G282"/>
  <c r="G281"/>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44"/>
  <c r="G151"/>
  <c r="G150"/>
  <c r="G149"/>
  <c r="G148"/>
  <c r="G147"/>
  <c r="G146"/>
  <c r="G145"/>
  <c r="G143"/>
  <c r="G142"/>
  <c r="G141"/>
  <c r="G140"/>
  <c r="G139"/>
  <c r="G138"/>
  <c r="G137"/>
  <c r="G136"/>
  <c r="G135"/>
  <c r="G134"/>
  <c r="G133"/>
  <c r="G132"/>
  <c r="G131"/>
  <c r="G130"/>
  <c r="G129"/>
  <c r="G128"/>
  <c r="G127"/>
  <c r="G126"/>
  <c r="G125"/>
  <c r="G124"/>
  <c r="G123"/>
  <c r="G122"/>
  <c r="G121"/>
  <c r="G120"/>
  <c r="G119"/>
  <c r="G118"/>
  <c r="G108"/>
  <c r="G97"/>
  <c r="G117"/>
  <c r="G116"/>
  <c r="G115"/>
  <c r="G114"/>
  <c r="G113"/>
  <c r="G112"/>
  <c r="G111"/>
  <c r="G110"/>
  <c r="G109"/>
  <c r="G107"/>
  <c r="G106"/>
  <c r="G105"/>
  <c r="G104"/>
  <c r="G103"/>
  <c r="G102"/>
  <c r="G101"/>
  <c r="G100"/>
  <c r="G99"/>
  <c r="G98"/>
  <c r="G96"/>
  <c r="G95"/>
  <c r="G94"/>
  <c r="G93"/>
  <c r="G92"/>
  <c r="G90"/>
  <c r="G89"/>
  <c r="G88"/>
  <c r="G87"/>
  <c r="G86"/>
  <c r="G85"/>
  <c r="F84"/>
  <c r="G84" s="1"/>
  <c r="G78"/>
  <c r="G77"/>
  <c r="G76"/>
  <c r="G75"/>
  <c r="G74"/>
  <c r="G73"/>
  <c r="G72"/>
  <c r="G71"/>
  <c r="G70"/>
  <c r="G69"/>
  <c r="G68"/>
  <c r="G67"/>
  <c r="G66"/>
  <c r="G65"/>
  <c r="G64"/>
  <c r="G63"/>
  <c r="G62"/>
  <c r="G61"/>
  <c r="G60"/>
  <c r="G59"/>
  <c r="G58"/>
  <c r="G57"/>
  <c r="G55"/>
  <c r="G56"/>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BZ318"/>
  <c r="CA318" s="1"/>
  <c r="CA313"/>
  <c r="CB313" s="1"/>
  <c r="BK210"/>
  <c r="BL210" s="1"/>
  <c r="BH210"/>
  <c r="BI210" s="1"/>
  <c r="BE210"/>
  <c r="BF210" s="1"/>
  <c r="BB210"/>
  <c r="BC210" s="1"/>
  <c r="AY210"/>
  <c r="AZ210" s="1"/>
  <c r="AV210"/>
  <c r="AW210" s="1"/>
  <c r="AS210"/>
  <c r="AT210" s="1"/>
  <c r="AA210"/>
  <c r="AB210" s="1"/>
  <c r="X210"/>
  <c r="Y210" s="1"/>
  <c r="U210"/>
  <c r="V210" s="1"/>
  <c r="R210"/>
  <c r="S210" s="1"/>
  <c r="O210"/>
  <c r="P210" s="1"/>
  <c r="L210"/>
  <c r="M210" s="1"/>
  <c r="I210"/>
  <c r="J210" s="1"/>
  <c r="F210"/>
  <c r="G210" s="1"/>
  <c r="BK211"/>
  <c r="BL211" s="1"/>
  <c r="BH211"/>
  <c r="BI211" s="1"/>
  <c r="BE211"/>
  <c r="BF211" s="1"/>
  <c r="BB211"/>
  <c r="BC211" s="1"/>
  <c r="AY211"/>
  <c r="AZ211" s="1"/>
  <c r="AV211"/>
  <c r="AW211" s="1"/>
  <c r="AA211"/>
  <c r="AB211" s="1"/>
  <c r="X211"/>
  <c r="Y211" s="1"/>
  <c r="U211"/>
  <c r="V211" s="1"/>
  <c r="R211"/>
  <c r="S211" s="1"/>
  <c r="O211"/>
  <c r="P211" s="1"/>
  <c r="L211"/>
  <c r="M211" s="1"/>
  <c r="I211"/>
  <c r="J211" s="1"/>
  <c r="F211"/>
  <c r="G211" s="1"/>
  <c r="AY202"/>
  <c r="AZ202" s="1"/>
  <c r="AV202"/>
  <c r="AW202" s="1"/>
  <c r="AS202"/>
  <c r="AT202" s="1"/>
  <c r="AP202"/>
  <c r="AQ202" s="1"/>
  <c r="AA202"/>
  <c r="AB202" s="1"/>
  <c r="X202"/>
  <c r="Y202" s="1"/>
  <c r="T202"/>
  <c r="U202"/>
  <c r="R202"/>
  <c r="S202" s="1"/>
  <c r="N202"/>
  <c r="O202"/>
  <c r="L202"/>
  <c r="M202" s="1"/>
  <c r="H202"/>
  <c r="I202"/>
  <c r="J202"/>
  <c r="F202"/>
  <c r="G202"/>
  <c r="BK209"/>
  <c r="BL209"/>
  <c r="BH209"/>
  <c r="BI209"/>
  <c r="AY209"/>
  <c r="AZ209"/>
  <c r="AV209"/>
  <c r="AW209"/>
  <c r="AS209"/>
  <c r="AT209"/>
  <c r="AP209"/>
  <c r="AQ209"/>
  <c r="AA209"/>
  <c r="AB209"/>
  <c r="X209"/>
  <c r="Y209"/>
  <c r="U209"/>
  <c r="V209"/>
  <c r="R209"/>
  <c r="S209"/>
  <c r="O209"/>
  <c r="P209"/>
  <c r="L209"/>
  <c r="M209"/>
  <c r="I209"/>
  <c r="J209"/>
  <c r="F209"/>
  <c r="G209"/>
  <c r="AS208"/>
  <c r="AT208"/>
  <c r="AP208"/>
  <c r="AQ208"/>
  <c r="AA208"/>
  <c r="AB208"/>
  <c r="X208"/>
  <c r="Y208"/>
  <c r="U208"/>
  <c r="V208"/>
  <c r="R208"/>
  <c r="S208"/>
  <c r="O208"/>
  <c r="P208"/>
  <c r="L208"/>
  <c r="M208"/>
  <c r="I208"/>
  <c r="J208"/>
  <c r="F208"/>
  <c r="G208"/>
  <c r="BK206"/>
  <c r="BL206"/>
  <c r="BH206"/>
  <c r="BI206"/>
  <c r="BE206"/>
  <c r="BF206"/>
  <c r="BB206"/>
  <c r="BC206"/>
  <c r="AY206"/>
  <c r="AZ206"/>
  <c r="AV206"/>
  <c r="AW206"/>
  <c r="AS206"/>
  <c r="AT206"/>
  <c r="AP206"/>
  <c r="AQ206"/>
  <c r="AA206"/>
  <c r="AB206"/>
  <c r="X206"/>
  <c r="Y206"/>
  <c r="U206"/>
  <c r="V206"/>
  <c r="R206"/>
  <c r="S206"/>
  <c r="N206"/>
  <c r="P206"/>
  <c r="O206"/>
  <c r="K206"/>
  <c r="M206" s="1"/>
  <c r="L206"/>
  <c r="H206"/>
  <c r="J206" s="1"/>
  <c r="I206"/>
  <c r="E206"/>
  <c r="F206"/>
  <c r="BH205"/>
  <c r="BI205" s="1"/>
  <c r="BE205"/>
  <c r="BF205" s="1"/>
  <c r="BB205"/>
  <c r="BC205" s="1"/>
  <c r="AY205"/>
  <c r="AZ205" s="1"/>
  <c r="AV205"/>
  <c r="AW205" s="1"/>
  <c r="AS205"/>
  <c r="AT205" s="1"/>
  <c r="AP205"/>
  <c r="AQ205" s="1"/>
  <c r="AA205"/>
  <c r="AB205" s="1"/>
  <c r="X205"/>
  <c r="Y205" s="1"/>
  <c r="U205"/>
  <c r="V205" s="1"/>
  <c r="R205"/>
  <c r="S205" s="1"/>
  <c r="O205"/>
  <c r="P205" s="1"/>
  <c r="L205"/>
  <c r="M205" s="1"/>
  <c r="H205"/>
  <c r="J205" s="1"/>
  <c r="I205"/>
  <c r="E205"/>
  <c r="F205"/>
  <c r="BK204"/>
  <c r="BL204" s="1"/>
  <c r="BE204"/>
  <c r="BF204" s="1"/>
  <c r="BB204"/>
  <c r="BC204" s="1"/>
  <c r="AS204"/>
  <c r="AT204" s="1"/>
  <c r="AP204"/>
  <c r="AQ204" s="1"/>
  <c r="AA204"/>
  <c r="AB204" s="1"/>
  <c r="X204"/>
  <c r="Y204" s="1"/>
  <c r="U204"/>
  <c r="V204" s="1"/>
  <c r="Q204"/>
  <c r="S204" s="1"/>
  <c r="R204"/>
  <c r="O204"/>
  <c r="P204" s="1"/>
  <c r="K204"/>
  <c r="M204" s="1"/>
  <c r="L204"/>
  <c r="H204"/>
  <c r="I204"/>
  <c r="E204"/>
  <c r="F204"/>
  <c r="BK203"/>
  <c r="BL203" s="1"/>
  <c r="BH203"/>
  <c r="BI203" s="1"/>
  <c r="BE203"/>
  <c r="BF203" s="1"/>
  <c r="BB203"/>
  <c r="BC203" s="1"/>
  <c r="AY203"/>
  <c r="AZ203" s="1"/>
  <c r="AV203"/>
  <c r="AW203" s="1"/>
  <c r="AA203"/>
  <c r="AB203" s="1"/>
  <c r="X203"/>
  <c r="Y203" s="1"/>
  <c r="U203"/>
  <c r="V203" s="1"/>
  <c r="R203"/>
  <c r="S203" s="1"/>
  <c r="N203"/>
  <c r="O203"/>
  <c r="L203"/>
  <c r="M203"/>
  <c r="I203"/>
  <c r="J203"/>
  <c r="F203"/>
  <c r="G203"/>
  <c r="BK201"/>
  <c r="BL201"/>
  <c r="BH201"/>
  <c r="BI201"/>
  <c r="BB201"/>
  <c r="BC201"/>
  <c r="AY201"/>
  <c r="AZ201"/>
  <c r="AV201"/>
  <c r="AW201"/>
  <c r="AS201"/>
  <c r="AT201"/>
  <c r="AP201"/>
  <c r="AQ201"/>
  <c r="AA201"/>
  <c r="AB201"/>
  <c r="X201"/>
  <c r="Y201"/>
  <c r="U201"/>
  <c r="V201"/>
  <c r="R201"/>
  <c r="S201"/>
  <c r="N201"/>
  <c r="P201"/>
  <c r="O201"/>
  <c r="K201"/>
  <c r="M201" s="1"/>
  <c r="L201"/>
  <c r="H201"/>
  <c r="J201" s="1"/>
  <c r="I201"/>
  <c r="E201"/>
  <c r="F201"/>
  <c r="BK207"/>
  <c r="BL207" s="1"/>
  <c r="BH207"/>
  <c r="BI207" s="1"/>
  <c r="BE207"/>
  <c r="BF207" s="1"/>
  <c r="BB207"/>
  <c r="BC207" s="1"/>
  <c r="AY207"/>
  <c r="AZ207" s="1"/>
  <c r="AV207"/>
  <c r="AW207" s="1"/>
  <c r="AS207"/>
  <c r="AT207" s="1"/>
  <c r="AP207"/>
  <c r="AQ207" s="1"/>
  <c r="AA207"/>
  <c r="AB207" s="1"/>
  <c r="X207"/>
  <c r="Y207" s="1"/>
  <c r="U207"/>
  <c r="V207" s="1"/>
  <c r="R207"/>
  <c r="S207" s="1"/>
  <c r="O207"/>
  <c r="P207" s="1"/>
  <c r="K207"/>
  <c r="L207"/>
  <c r="I207"/>
  <c r="J207" s="1"/>
  <c r="E207"/>
  <c r="F207"/>
  <c r="AY200"/>
  <c r="AZ200" s="1"/>
  <c r="AV200"/>
  <c r="AW200" s="1"/>
  <c r="AS200"/>
  <c r="AT200" s="1"/>
  <c r="AP200"/>
  <c r="AQ200" s="1"/>
  <c r="AA200"/>
  <c r="AB200" s="1"/>
  <c r="W200"/>
  <c r="X200"/>
  <c r="U200"/>
  <c r="V200" s="1"/>
  <c r="Q200"/>
  <c r="R200"/>
  <c r="N200"/>
  <c r="O200"/>
  <c r="K200"/>
  <c r="M200"/>
  <c r="L200"/>
  <c r="H200"/>
  <c r="J200" s="1"/>
  <c r="I200"/>
  <c r="E200"/>
  <c r="G200" s="1"/>
  <c r="F200"/>
  <c r="BK199"/>
  <c r="BL199" s="1"/>
  <c r="BH199"/>
  <c r="BI199" s="1"/>
  <c r="BE199"/>
  <c r="BF199" s="1"/>
  <c r="BB199"/>
  <c r="BC199" s="1"/>
  <c r="AY199"/>
  <c r="AZ199" s="1"/>
  <c r="AV199"/>
  <c r="AW199" s="1"/>
  <c r="AS199"/>
  <c r="AT199" s="1"/>
  <c r="AP199"/>
  <c r="AQ199" s="1"/>
  <c r="AA199"/>
  <c r="AB199" s="1"/>
  <c r="X199"/>
  <c r="Y199" s="1"/>
  <c r="U199"/>
  <c r="V199" s="1"/>
  <c r="R199"/>
  <c r="S199" s="1"/>
  <c r="O199"/>
  <c r="P199" s="1"/>
  <c r="L199"/>
  <c r="M199" s="1"/>
  <c r="H199"/>
  <c r="I199"/>
  <c r="E199"/>
  <c r="G199" s="1"/>
  <c r="F199"/>
  <c r="BE198"/>
  <c r="BF198" s="1"/>
  <c r="BB198"/>
  <c r="BC198" s="1"/>
  <c r="AY198"/>
  <c r="AZ198" s="1"/>
  <c r="AV198"/>
  <c r="AW198" s="1"/>
  <c r="AS198"/>
  <c r="AT198" s="1"/>
  <c r="AP198"/>
  <c r="AQ198" s="1"/>
  <c r="AA198"/>
  <c r="AB198" s="1"/>
  <c r="X198"/>
  <c r="Y198" s="1"/>
  <c r="U198"/>
  <c r="V198" s="1"/>
  <c r="R198"/>
  <c r="S198" s="1"/>
  <c r="O198"/>
  <c r="P198" s="1"/>
  <c r="L198"/>
  <c r="M198" s="1"/>
  <c r="I198"/>
  <c r="J198" s="1"/>
  <c r="F198"/>
  <c r="G198" s="1"/>
  <c r="BK197"/>
  <c r="BL197" s="1"/>
  <c r="BH197"/>
  <c r="BI197" s="1"/>
  <c r="BE197"/>
  <c r="BF197" s="1"/>
  <c r="BB197"/>
  <c r="BC197" s="1"/>
  <c r="AY197"/>
  <c r="AZ197" s="1"/>
  <c r="AV197"/>
  <c r="AW197" s="1"/>
  <c r="AS197"/>
  <c r="AT197" s="1"/>
  <c r="AP197"/>
  <c r="AQ197" s="1"/>
  <c r="AA197"/>
  <c r="AB197" s="1"/>
  <c r="W197"/>
  <c r="Y197" s="1"/>
  <c r="X197"/>
  <c r="T197"/>
  <c r="U197"/>
  <c r="Q197"/>
  <c r="R197"/>
  <c r="N197"/>
  <c r="O197"/>
  <c r="P197"/>
  <c r="K197"/>
  <c r="L197"/>
  <c r="M197" s="1"/>
  <c r="H197"/>
  <c r="I197"/>
  <c r="E197"/>
  <c r="F197"/>
  <c r="G197" s="1"/>
  <c r="BK196"/>
  <c r="BL196" s="1"/>
  <c r="BH196"/>
  <c r="BI196" s="1"/>
  <c r="BE196"/>
  <c r="BF196" s="1"/>
  <c r="BB196"/>
  <c r="BC196" s="1"/>
  <c r="AY196"/>
  <c r="AZ196" s="1"/>
  <c r="AV196"/>
  <c r="AW196" s="1"/>
  <c r="AS196"/>
  <c r="AT196" s="1"/>
  <c r="AP196"/>
  <c r="AQ196" s="1"/>
  <c r="Z196"/>
  <c r="AA196"/>
  <c r="W196"/>
  <c r="X196"/>
  <c r="Y196" s="1"/>
  <c r="T196"/>
  <c r="U196"/>
  <c r="Q196"/>
  <c r="R196"/>
  <c r="S196" s="1"/>
  <c r="N196"/>
  <c r="O196"/>
  <c r="K196"/>
  <c r="L196"/>
  <c r="M196" s="1"/>
  <c r="H196"/>
  <c r="I196"/>
  <c r="J196" s="1"/>
  <c r="E196"/>
  <c r="F196"/>
  <c r="BK195"/>
  <c r="BL195" s="1"/>
  <c r="BB195"/>
  <c r="BC195" s="1"/>
  <c r="AY195"/>
  <c r="AZ195" s="1"/>
  <c r="AV195"/>
  <c r="AW195" s="1"/>
  <c r="AS195"/>
  <c r="AT195" s="1"/>
  <c r="AP195"/>
  <c r="AQ195" s="1"/>
  <c r="Z195"/>
  <c r="AA195"/>
  <c r="X195"/>
  <c r="Y195" s="1"/>
  <c r="T195"/>
  <c r="U195"/>
  <c r="Q195"/>
  <c r="S195" s="1"/>
  <c r="R195"/>
  <c r="N195"/>
  <c r="O195"/>
  <c r="K195"/>
  <c r="L195"/>
  <c r="H195"/>
  <c r="I195"/>
  <c r="E195"/>
  <c r="G195"/>
  <c r="F195"/>
  <c r="BQ194"/>
  <c r="BR194" s="1"/>
  <c r="BN194"/>
  <c r="BO194" s="1"/>
  <c r="BB194"/>
  <c r="BC194" s="1"/>
  <c r="AY194"/>
  <c r="AZ194" s="1"/>
  <c r="AV194"/>
  <c r="AW194" s="1"/>
  <c r="AS194"/>
  <c r="AT194" s="1"/>
  <c r="AP194"/>
  <c r="AQ194" s="1"/>
  <c r="AF194"/>
  <c r="AG194"/>
  <c r="AH194" s="1"/>
  <c r="AC194"/>
  <c r="AD194"/>
  <c r="T194"/>
  <c r="U194"/>
  <c r="V194" s="1"/>
  <c r="Q194"/>
  <c r="R194"/>
  <c r="N194"/>
  <c r="O194"/>
  <c r="P194" s="1"/>
  <c r="K194"/>
  <c r="L194"/>
  <c r="H194"/>
  <c r="I194"/>
  <c r="J194" s="1"/>
  <c r="E194"/>
  <c r="F194"/>
  <c r="BK193"/>
  <c r="BL193" s="1"/>
  <c r="BH193"/>
  <c r="BI193" s="1"/>
  <c r="BE193"/>
  <c r="BF193" s="1"/>
  <c r="BB193"/>
  <c r="BC193" s="1"/>
  <c r="AY193"/>
  <c r="AZ193" s="1"/>
  <c r="AV193"/>
  <c r="AW193" s="1"/>
  <c r="AS193"/>
  <c r="AT193" s="1"/>
  <c r="AP193"/>
  <c r="AQ193" s="1"/>
  <c r="Z193"/>
  <c r="AA193"/>
  <c r="AB193" s="1"/>
  <c r="W193"/>
  <c r="X193"/>
  <c r="T193"/>
  <c r="U193"/>
  <c r="V193" s="1"/>
  <c r="Q193"/>
  <c r="R193"/>
  <c r="N193"/>
  <c r="O193"/>
  <c r="K193"/>
  <c r="L193"/>
  <c r="I193"/>
  <c r="J193" s="1"/>
  <c r="E193"/>
  <c r="F193"/>
  <c r="BK192"/>
  <c r="BL192"/>
  <c r="BH192"/>
  <c r="BI192"/>
  <c r="AY192"/>
  <c r="AZ192"/>
  <c r="AV192"/>
  <c r="AW192"/>
  <c r="AS192"/>
  <c r="AT192"/>
  <c r="AO192"/>
  <c r="AP192"/>
  <c r="AQ192" s="1"/>
  <c r="AG192"/>
  <c r="AH192"/>
  <c r="AD192"/>
  <c r="AE192"/>
  <c r="AA192"/>
  <c r="AB192"/>
  <c r="W192"/>
  <c r="Y192"/>
  <c r="X192"/>
  <c r="T192"/>
  <c r="V192" s="1"/>
  <c r="U192"/>
  <c r="Q192"/>
  <c r="S192" s="1"/>
  <c r="R192"/>
  <c r="O192"/>
  <c r="P192" s="1"/>
  <c r="K192"/>
  <c r="L192"/>
  <c r="H192"/>
  <c r="I192"/>
  <c r="J192" s="1"/>
  <c r="E192"/>
  <c r="F192"/>
  <c r="BQ191"/>
  <c r="BR191" s="1"/>
  <c r="BN191"/>
  <c r="BO191" s="1"/>
  <c r="AY191"/>
  <c r="AZ191" s="1"/>
  <c r="AV191"/>
  <c r="AW191" s="1"/>
  <c r="AR191"/>
  <c r="AT191" s="1"/>
  <c r="AS191"/>
  <c r="AO191"/>
  <c r="AP191"/>
  <c r="AF191"/>
  <c r="AH191" s="1"/>
  <c r="AG191"/>
  <c r="AC191"/>
  <c r="AD191"/>
  <c r="T191"/>
  <c r="U191"/>
  <c r="Q191"/>
  <c r="R191"/>
  <c r="N191"/>
  <c r="O191"/>
  <c r="P191"/>
  <c r="K191"/>
  <c r="L191"/>
  <c r="M191" s="1"/>
  <c r="H191"/>
  <c r="I191"/>
  <c r="J191" s="1"/>
  <c r="E191"/>
  <c r="F191"/>
  <c r="BQ190"/>
  <c r="BR190" s="1"/>
  <c r="BN190"/>
  <c r="BO190" s="1"/>
  <c r="BE190"/>
  <c r="BF190" s="1"/>
  <c r="BB190"/>
  <c r="BC190" s="1"/>
  <c r="AY190"/>
  <c r="AZ190" s="1"/>
  <c r="AV190"/>
  <c r="AW190" s="1"/>
  <c r="AS190"/>
  <c r="AT190" s="1"/>
  <c r="AP190"/>
  <c r="AQ190" s="1"/>
  <c r="AF190"/>
  <c r="AG190"/>
  <c r="AH190" s="1"/>
  <c r="AC190"/>
  <c r="AD190"/>
  <c r="Z190"/>
  <c r="AA190"/>
  <c r="AB190" s="1"/>
  <c r="W190"/>
  <c r="X190"/>
  <c r="T190"/>
  <c r="U190"/>
  <c r="V190" s="1"/>
  <c r="Q190"/>
  <c r="R190"/>
  <c r="N190"/>
  <c r="O190"/>
  <c r="P190" s="1"/>
  <c r="K190"/>
  <c r="L190"/>
  <c r="H190"/>
  <c r="I190"/>
  <c r="J190" s="1"/>
  <c r="E190"/>
  <c r="F190"/>
  <c r="BJ189"/>
  <c r="BK189"/>
  <c r="BL189" s="1"/>
  <c r="BH189"/>
  <c r="BI189" s="1"/>
  <c r="BD189"/>
  <c r="BE189"/>
  <c r="BA189"/>
  <c r="BC189" s="1"/>
  <c r="BB189"/>
  <c r="AX189"/>
  <c r="AY189"/>
  <c r="AU189"/>
  <c r="AV189"/>
  <c r="AR189"/>
  <c r="AS189"/>
  <c r="AO189"/>
  <c r="AQ189"/>
  <c r="AP189"/>
  <c r="AG189"/>
  <c r="AH189" s="1"/>
  <c r="Z189"/>
  <c r="AA189"/>
  <c r="W189"/>
  <c r="X189"/>
  <c r="Y189" s="1"/>
  <c r="T189"/>
  <c r="U189"/>
  <c r="V189" s="1"/>
  <c r="Q189"/>
  <c r="R189"/>
  <c r="N189"/>
  <c r="O189"/>
  <c r="P189" s="1"/>
  <c r="K189"/>
  <c r="L189"/>
  <c r="H189"/>
  <c r="I189"/>
  <c r="E189"/>
  <c r="G189" s="1"/>
  <c r="F189"/>
  <c r="BQ188"/>
  <c r="BR188" s="1"/>
  <c r="BN188"/>
  <c r="BO188" s="1"/>
  <c r="BH188"/>
  <c r="BI188" s="1"/>
  <c r="BD188"/>
  <c r="BE188"/>
  <c r="BA188"/>
  <c r="BB188"/>
  <c r="AX188"/>
  <c r="AY188"/>
  <c r="AU188"/>
  <c r="AW188"/>
  <c r="AV188"/>
  <c r="AR188"/>
  <c r="AT188" s="1"/>
  <c r="AS188"/>
  <c r="AO188"/>
  <c r="AQ188" s="1"/>
  <c r="AP188"/>
  <c r="AF188"/>
  <c r="AG188"/>
  <c r="AC188"/>
  <c r="AE188" s="1"/>
  <c r="AD188"/>
  <c r="AA188"/>
  <c r="AB188" s="1"/>
  <c r="X188"/>
  <c r="Y188" s="1"/>
  <c r="T188"/>
  <c r="U188"/>
  <c r="Q188"/>
  <c r="R188"/>
  <c r="N188"/>
  <c r="O188"/>
  <c r="K188"/>
  <c r="M188"/>
  <c r="L188"/>
  <c r="H188"/>
  <c r="J188" s="1"/>
  <c r="I188"/>
  <c r="E188"/>
  <c r="G188" s="1"/>
  <c r="F188"/>
  <c r="BN91"/>
  <c r="BO91" s="1"/>
  <c r="BH91"/>
  <c r="BI91" s="1"/>
  <c r="BB91"/>
  <c r="BC91" s="1"/>
  <c r="AV91"/>
  <c r="AW91" s="1"/>
  <c r="AP91"/>
  <c r="AQ91" s="1"/>
  <c r="X91"/>
  <c r="Y91" s="1"/>
  <c r="R91"/>
  <c r="S91" s="1"/>
  <c r="L91"/>
  <c r="M91" s="1"/>
  <c r="F91"/>
  <c r="G91" s="1"/>
  <c r="BJ696"/>
  <c r="BL696" s="1"/>
  <c r="BG696"/>
  <c r="BD696"/>
  <c r="BF696" s="1"/>
  <c r="BA696"/>
  <c r="BB696" s="1"/>
  <c r="BC696" s="1"/>
  <c r="AX696"/>
  <c r="AZ696" s="1"/>
  <c r="AU696"/>
  <c r="AV696" s="1"/>
  <c r="AW696" s="1"/>
  <c r="AR696"/>
  <c r="AT696"/>
  <c r="AO696"/>
  <c r="Z696"/>
  <c r="AB696" s="1"/>
  <c r="W696"/>
  <c r="T696"/>
  <c r="V696" s="1"/>
  <c r="Q696"/>
  <c r="N696"/>
  <c r="P696" s="1"/>
  <c r="K696"/>
  <c r="L696" s="1"/>
  <c r="M696" s="1"/>
  <c r="H696"/>
  <c r="J696" s="1"/>
  <c r="E696"/>
  <c r="F696" s="1"/>
  <c r="G696" s="1"/>
  <c r="BX8"/>
  <c r="BU8"/>
  <c r="BR8"/>
  <c r="BO8"/>
  <c r="BL8"/>
  <c r="BI8"/>
  <c r="BF8"/>
  <c r="BC8"/>
  <c r="AZ8"/>
  <c r="AW8"/>
  <c r="AT8"/>
  <c r="AQ8"/>
  <c r="AN8"/>
  <c r="AK8"/>
  <c r="AH8"/>
  <c r="AE8"/>
  <c r="AB8"/>
  <c r="Y8"/>
  <c r="V8"/>
  <c r="S8"/>
  <c r="P8"/>
  <c r="M8"/>
  <c r="J8"/>
  <c r="G8"/>
  <c r="O474" i="18"/>
  <c r="M474"/>
  <c r="K474"/>
  <c r="I474"/>
  <c r="G474"/>
  <c r="E474"/>
  <c r="C474"/>
  <c r="O469"/>
  <c r="M469"/>
  <c r="K469"/>
  <c r="I469"/>
  <c r="G469"/>
  <c r="E469"/>
  <c r="C469"/>
  <c r="O464"/>
  <c r="M464"/>
  <c r="K464"/>
  <c r="I464"/>
  <c r="G464"/>
  <c r="E464"/>
  <c r="C464"/>
  <c r="M134"/>
  <c r="M139"/>
  <c r="M144"/>
  <c r="M164"/>
  <c r="M169"/>
  <c r="M174"/>
  <c r="M194"/>
  <c r="M199"/>
  <c r="M204"/>
  <c r="M224"/>
  <c r="M229"/>
  <c r="M234"/>
  <c r="M254"/>
  <c r="M259"/>
  <c r="M264"/>
  <c r="M284"/>
  <c r="M289"/>
  <c r="M294"/>
  <c r="M314"/>
  <c r="O314"/>
  <c r="M319"/>
  <c r="O319"/>
  <c r="M324"/>
  <c r="O324"/>
  <c r="M344"/>
  <c r="O344"/>
  <c r="M349"/>
  <c r="O349"/>
  <c r="M354"/>
  <c r="O354"/>
  <c r="M374"/>
  <c r="O374"/>
  <c r="M379"/>
  <c r="O379"/>
  <c r="M384"/>
  <c r="O384"/>
  <c r="M404"/>
  <c r="O404"/>
  <c r="M409"/>
  <c r="O409"/>
  <c r="M414"/>
  <c r="O414"/>
  <c r="M434"/>
  <c r="O434"/>
  <c r="M439"/>
  <c r="O439"/>
  <c r="M444"/>
  <c r="O444"/>
  <c r="M494"/>
  <c r="O494"/>
  <c r="M499"/>
  <c r="O499"/>
  <c r="M504"/>
  <c r="O504"/>
  <c r="M524"/>
  <c r="O524"/>
  <c r="M529"/>
  <c r="O529"/>
  <c r="M534"/>
  <c r="O534"/>
  <c r="M554"/>
  <c r="O554"/>
  <c r="M559"/>
  <c r="O559"/>
  <c r="M564"/>
  <c r="O564"/>
  <c r="M584"/>
  <c r="O584"/>
  <c r="M589"/>
  <c r="O589"/>
  <c r="M594"/>
  <c r="O594"/>
  <c r="K594"/>
  <c r="K589"/>
  <c r="K584"/>
  <c r="I594"/>
  <c r="I589"/>
  <c r="I584"/>
  <c r="G594"/>
  <c r="G589"/>
  <c r="G584"/>
  <c r="E594"/>
  <c r="E589"/>
  <c r="E584"/>
  <c r="C584"/>
  <c r="C589"/>
  <c r="C594"/>
  <c r="K564"/>
  <c r="K559"/>
  <c r="K554"/>
  <c r="I564"/>
  <c r="I559"/>
  <c r="I554"/>
  <c r="G564"/>
  <c r="G559"/>
  <c r="G554"/>
  <c r="E564"/>
  <c r="E559"/>
  <c r="E554"/>
  <c r="C554"/>
  <c r="C559"/>
  <c r="C564"/>
  <c r="K534"/>
  <c r="K529"/>
  <c r="K524"/>
  <c r="I534"/>
  <c r="I529"/>
  <c r="I524"/>
  <c r="G534"/>
  <c r="G529"/>
  <c r="G524"/>
  <c r="E534"/>
  <c r="E529"/>
  <c r="E524"/>
  <c r="C524"/>
  <c r="C529"/>
  <c r="C534"/>
  <c r="K504"/>
  <c r="K499"/>
  <c r="K494"/>
  <c r="I504"/>
  <c r="I499"/>
  <c r="I494"/>
  <c r="G504"/>
  <c r="G499"/>
  <c r="G494"/>
  <c r="E504"/>
  <c r="E499"/>
  <c r="E494"/>
  <c r="C494"/>
  <c r="C499"/>
  <c r="C504"/>
  <c r="K444"/>
  <c r="K439"/>
  <c r="K434"/>
  <c r="I444"/>
  <c r="I439"/>
  <c r="I434"/>
  <c r="G444"/>
  <c r="G439"/>
  <c r="G434"/>
  <c r="E444"/>
  <c r="E439"/>
  <c r="E434"/>
  <c r="C434"/>
  <c r="C439"/>
  <c r="C444"/>
  <c r="K414"/>
  <c r="K409"/>
  <c r="K404"/>
  <c r="I414"/>
  <c r="I409"/>
  <c r="I404"/>
  <c r="G414"/>
  <c r="G409"/>
  <c r="G404"/>
  <c r="E414"/>
  <c r="E409"/>
  <c r="E404"/>
  <c r="C404"/>
  <c r="C409"/>
  <c r="C414"/>
  <c r="K384"/>
  <c r="K379"/>
  <c r="K374"/>
  <c r="I384"/>
  <c r="I379"/>
  <c r="I374"/>
  <c r="G384"/>
  <c r="G379"/>
  <c r="G374"/>
  <c r="E384"/>
  <c r="E379"/>
  <c r="E374"/>
  <c r="C374"/>
  <c r="C379"/>
  <c r="C384"/>
  <c r="K354"/>
  <c r="K349"/>
  <c r="K344"/>
  <c r="I354"/>
  <c r="I349"/>
  <c r="I344"/>
  <c r="G354"/>
  <c r="G349"/>
  <c r="G344"/>
  <c r="E354"/>
  <c r="E349"/>
  <c r="E344"/>
  <c r="C344"/>
  <c r="C349"/>
  <c r="C354"/>
  <c r="K324"/>
  <c r="K319"/>
  <c r="K314"/>
  <c r="I324"/>
  <c r="I319"/>
  <c r="I314"/>
  <c r="G324"/>
  <c r="G319"/>
  <c r="G314"/>
  <c r="E324"/>
  <c r="E319"/>
  <c r="E314"/>
  <c r="C314"/>
  <c r="C319"/>
  <c r="C324"/>
  <c r="K294"/>
  <c r="K289"/>
  <c r="K284"/>
  <c r="I294"/>
  <c r="I289"/>
  <c r="I284"/>
  <c r="G294"/>
  <c r="G289"/>
  <c r="G284"/>
  <c r="E294"/>
  <c r="E289"/>
  <c r="E284"/>
  <c r="C284"/>
  <c r="C289"/>
  <c r="C294"/>
  <c r="K264"/>
  <c r="K259"/>
  <c r="K254"/>
  <c r="I264"/>
  <c r="I259"/>
  <c r="I254"/>
  <c r="G264"/>
  <c r="G259"/>
  <c r="G254"/>
  <c r="E264"/>
  <c r="E259"/>
  <c r="E254"/>
  <c r="C254"/>
  <c r="C259"/>
  <c r="C264"/>
  <c r="K234"/>
  <c r="K229"/>
  <c r="K224"/>
  <c r="I234"/>
  <c r="I229"/>
  <c r="I224"/>
  <c r="G234"/>
  <c r="G229"/>
  <c r="G224"/>
  <c r="E234"/>
  <c r="E229"/>
  <c r="E224"/>
  <c r="C224"/>
  <c r="C229"/>
  <c r="C234"/>
  <c r="K204"/>
  <c r="K199"/>
  <c r="K194"/>
  <c r="I204"/>
  <c r="I199"/>
  <c r="I194"/>
  <c r="G204"/>
  <c r="G199"/>
  <c r="G194"/>
  <c r="E194"/>
  <c r="E199"/>
  <c r="E204"/>
  <c r="C194"/>
  <c r="C199"/>
  <c r="C204"/>
  <c r="K174"/>
  <c r="K169"/>
  <c r="K164"/>
  <c r="I174"/>
  <c r="I169"/>
  <c r="I164"/>
  <c r="G174"/>
  <c r="G169"/>
  <c r="G164"/>
  <c r="E174"/>
  <c r="E169"/>
  <c r="E164"/>
  <c r="C164"/>
  <c r="C169"/>
  <c r="C174"/>
  <c r="K144"/>
  <c r="K139"/>
  <c r="K134"/>
  <c r="I144"/>
  <c r="I139"/>
  <c r="I134"/>
  <c r="G144"/>
  <c r="G139"/>
  <c r="G134"/>
  <c r="E144"/>
  <c r="E139"/>
  <c r="E134"/>
  <c r="C134"/>
  <c r="C139"/>
  <c r="C144"/>
  <c r="R696" i="4"/>
  <c r="S696" s="1"/>
  <c r="X696"/>
  <c r="Y696" s="1"/>
  <c r="AP696"/>
  <c r="AQ696" s="1"/>
  <c r="BH696"/>
  <c r="BI696" s="1"/>
  <c r="J189"/>
  <c r="AB189"/>
  <c r="M190"/>
  <c r="S190"/>
  <c r="Y190"/>
  <c r="AE190"/>
  <c r="G191"/>
  <c r="AE191"/>
  <c r="AQ191"/>
  <c r="M192"/>
  <c r="Y193"/>
  <c r="M194"/>
  <c r="S194"/>
  <c r="AE194"/>
  <c r="AB195"/>
  <c r="P196"/>
  <c r="V196"/>
  <c r="AB196"/>
  <c r="J197"/>
  <c r="Y200"/>
  <c r="G205"/>
  <c r="V202"/>
  <c r="BU584" l="1"/>
  <c r="BU583"/>
  <c r="BU580"/>
  <c r="BU569"/>
  <c r="BU564"/>
  <c r="AK588"/>
  <c r="AK584"/>
  <c r="AK579"/>
  <c r="AK580"/>
  <c r="AK575"/>
  <c r="AK569"/>
  <c r="AK562"/>
  <c r="AK560"/>
  <c r="AK561"/>
  <c r="AK558"/>
  <c r="S188"/>
  <c r="V188"/>
  <c r="BC188"/>
  <c r="BF188"/>
  <c r="M189"/>
  <c r="AW189"/>
  <c r="AZ189"/>
  <c r="V191"/>
  <c r="G192"/>
  <c r="P193"/>
  <c r="S193"/>
  <c r="M195"/>
  <c r="P195"/>
  <c r="V197"/>
  <c r="S200"/>
  <c r="G207"/>
  <c r="M207"/>
  <c r="G204"/>
  <c r="J204"/>
  <c r="P202"/>
  <c r="P188"/>
  <c r="AH188"/>
  <c r="AZ188"/>
  <c r="S189"/>
  <c r="AT189"/>
  <c r="BF189"/>
  <c r="G190"/>
  <c r="S191"/>
  <c r="G193"/>
  <c r="M193"/>
  <c r="G194"/>
  <c r="J195"/>
  <c r="V195"/>
  <c r="G196"/>
  <c r="S197"/>
  <c r="J199"/>
  <c r="P200"/>
  <c r="G201"/>
  <c r="P203"/>
  <c r="G206"/>
  <c r="J528" i="18"/>
  <c r="H567"/>
  <c r="B585"/>
  <c r="N566"/>
  <c r="F446"/>
  <c r="L447"/>
  <c r="D590"/>
  <c r="B162"/>
  <c r="B548"/>
  <c r="B525"/>
  <c r="N537"/>
  <c r="D476"/>
  <c r="D478"/>
  <c r="L475"/>
  <c r="N468"/>
  <c r="H533"/>
  <c r="J518"/>
  <c r="F532"/>
  <c r="B477"/>
  <c r="D458"/>
  <c r="H477"/>
  <c r="J471"/>
  <c r="N527"/>
  <c r="N465"/>
  <c r="L526"/>
  <c r="D231"/>
  <c r="L116"/>
  <c r="L178"/>
  <c r="B163"/>
  <c r="D556"/>
  <c r="N563"/>
  <c r="J555"/>
  <c r="D435"/>
  <c r="B461"/>
  <c r="B476"/>
  <c r="N552"/>
  <c r="J561"/>
  <c r="F552"/>
  <c r="N431"/>
  <c r="F433"/>
  <c r="N471"/>
  <c r="B165"/>
  <c r="L468"/>
  <c r="B170"/>
  <c r="J428"/>
  <c r="J473"/>
  <c r="H473"/>
  <c r="L537"/>
  <c r="N438"/>
  <c r="L585"/>
  <c r="H501"/>
  <c r="B561"/>
  <c r="L598"/>
  <c r="D598"/>
  <c r="D25" i="19"/>
  <c r="F25"/>
  <c r="F582" i="18"/>
  <c r="H596"/>
  <c r="N595"/>
  <c r="H237"/>
  <c r="F431"/>
  <c r="L432"/>
  <c r="F555"/>
  <c r="D582"/>
  <c r="J592"/>
  <c r="L233"/>
  <c r="B428"/>
  <c r="L567"/>
  <c r="N590"/>
  <c r="H598"/>
  <c r="F590"/>
  <c r="F548"/>
  <c r="N308"/>
  <c r="B172"/>
  <c r="N8"/>
  <c r="B562"/>
  <c r="N583"/>
  <c r="B535"/>
  <c r="D230"/>
  <c r="L145"/>
  <c r="L132"/>
  <c r="D597"/>
  <c r="F556"/>
  <c r="F578"/>
  <c r="N522"/>
  <c r="H226"/>
  <c r="L175"/>
  <c r="L162"/>
  <c r="B586"/>
  <c r="L550"/>
  <c r="L563"/>
  <c r="N460"/>
  <c r="L473"/>
  <c r="L552"/>
  <c r="D557"/>
  <c r="N531"/>
  <c r="L578"/>
  <c r="F587"/>
  <c r="D578"/>
  <c r="B448"/>
  <c r="L441"/>
  <c r="F551"/>
  <c r="S8"/>
  <c r="F460"/>
  <c r="F462"/>
  <c r="F238"/>
  <c r="B341"/>
  <c r="J290"/>
  <c r="J462"/>
  <c r="J532"/>
  <c r="L518"/>
  <c r="D385"/>
  <c r="L525"/>
  <c r="H555"/>
  <c r="H557"/>
  <c r="H233"/>
  <c r="J442"/>
  <c r="H280"/>
  <c r="N358"/>
  <c r="F263"/>
  <c r="H506"/>
  <c r="D348"/>
  <c r="J597"/>
  <c r="B597"/>
  <c r="L238"/>
  <c r="H432"/>
  <c r="N433"/>
  <c r="L351"/>
  <c r="F165"/>
  <c r="B220"/>
  <c r="H8"/>
  <c r="D562"/>
  <c r="J463"/>
  <c r="D218"/>
  <c r="L220"/>
  <c r="F358"/>
  <c r="D326"/>
  <c r="H405"/>
  <c r="N371"/>
  <c r="H248"/>
  <c r="F281"/>
  <c r="F385"/>
  <c r="D410"/>
  <c r="N386"/>
  <c r="N467"/>
  <c r="H478"/>
  <c r="B160"/>
  <c r="L491"/>
  <c r="H585"/>
  <c r="D551"/>
  <c r="L430"/>
  <c r="D432"/>
  <c r="B555"/>
  <c r="S38"/>
  <c r="H518"/>
  <c r="J522"/>
  <c r="D238"/>
  <c r="H375"/>
  <c r="D343"/>
  <c r="N548"/>
  <c r="J458"/>
  <c r="H402"/>
  <c r="H548"/>
  <c r="B557"/>
  <c r="L101"/>
  <c r="D8"/>
  <c r="J478"/>
  <c r="J411"/>
  <c r="F380"/>
  <c r="N398"/>
  <c r="J440"/>
  <c r="D320"/>
  <c r="B502"/>
  <c r="D520"/>
  <c r="B466"/>
  <c r="H225"/>
  <c r="D472"/>
  <c r="J358"/>
  <c r="H326"/>
  <c r="L597"/>
  <c r="F233"/>
  <c r="F528"/>
  <c r="B8" i="19"/>
  <c r="H550" i="18"/>
  <c r="N553"/>
  <c r="B20" i="19"/>
  <c r="B412" i="18"/>
  <c r="H343"/>
  <c r="N505"/>
  <c r="L193"/>
  <c r="F283"/>
  <c r="F388"/>
  <c r="J170"/>
  <c r="J508"/>
  <c r="L261"/>
  <c r="J591"/>
  <c r="B553"/>
  <c r="B567"/>
  <c r="L448"/>
  <c r="B402"/>
  <c r="D568"/>
  <c r="B471"/>
  <c r="D465"/>
  <c r="L226"/>
  <c r="B590"/>
  <c r="B171"/>
  <c r="D518"/>
  <c r="D223"/>
  <c r="L225"/>
  <c r="L586"/>
  <c r="L462"/>
  <c r="L471"/>
  <c r="L463"/>
  <c r="H583"/>
  <c r="D555"/>
  <c r="H582"/>
  <c r="H385"/>
  <c r="D581"/>
  <c r="D467"/>
  <c r="L445"/>
  <c r="D447"/>
  <c r="N568"/>
  <c r="D471"/>
  <c r="D473"/>
  <c r="J585"/>
  <c r="B533"/>
  <c r="F20" i="19"/>
  <c r="D440" i="18"/>
  <c r="J441"/>
  <c r="F563"/>
  <c r="N598"/>
  <c r="F458"/>
  <c r="D428"/>
  <c r="F475"/>
  <c r="H535"/>
  <c r="L140"/>
  <c r="L118"/>
  <c r="L532"/>
  <c r="F550"/>
  <c r="F567"/>
  <c r="L580"/>
  <c r="B68"/>
  <c r="B538"/>
  <c r="B556"/>
  <c r="J560"/>
  <c r="D527"/>
  <c r="J526"/>
  <c r="L207"/>
  <c r="B522"/>
  <c r="B500"/>
  <c r="N523"/>
  <c r="J553"/>
  <c r="J530"/>
  <c r="H552"/>
  <c r="H468"/>
  <c r="F477"/>
  <c r="H521"/>
  <c r="N525"/>
  <c r="F526"/>
  <c r="D565"/>
  <c r="L581"/>
  <c r="J563"/>
  <c r="B443"/>
  <c r="H445"/>
  <c r="B578"/>
  <c r="B523"/>
  <c r="N561"/>
  <c r="H578"/>
  <c r="F561"/>
  <c r="L440"/>
  <c r="D442"/>
  <c r="L557"/>
  <c r="L520"/>
  <c r="J558"/>
  <c r="D567"/>
  <c r="N557"/>
  <c r="L232"/>
  <c r="L103"/>
  <c r="N415"/>
  <c r="F522"/>
  <c r="L466"/>
  <c r="D521"/>
  <c r="H25" i="19"/>
  <c r="J436" i="18"/>
  <c r="H526"/>
  <c r="N477"/>
  <c r="J467"/>
  <c r="N472"/>
  <c r="F23" i="19"/>
  <c r="H23"/>
  <c r="B24"/>
  <c r="G25"/>
  <c r="J550" i="18"/>
  <c r="F558"/>
  <c r="B550"/>
  <c r="B431"/>
  <c r="F538"/>
  <c r="N555"/>
  <c r="H437"/>
  <c r="J537"/>
  <c r="N316"/>
  <c r="B580"/>
  <c r="N521"/>
  <c r="F593"/>
  <c r="D592"/>
  <c r="J433"/>
  <c r="B436"/>
  <c r="J557"/>
  <c r="L587"/>
  <c r="J586"/>
  <c r="B23" i="19"/>
  <c r="D23"/>
  <c r="H565" i="18"/>
  <c r="D593"/>
  <c r="B596"/>
  <c r="H566"/>
  <c r="H236"/>
  <c r="H430"/>
  <c r="B552"/>
  <c r="J567"/>
  <c r="H590"/>
  <c r="N535"/>
  <c r="B236"/>
  <c r="N550"/>
  <c r="L548"/>
  <c r="J587"/>
  <c r="D596"/>
  <c r="B587"/>
  <c r="H227"/>
  <c r="D585"/>
  <c r="J588"/>
  <c r="H537"/>
  <c r="F585"/>
  <c r="N592"/>
  <c r="L583"/>
  <c r="L223"/>
  <c r="B565"/>
  <c r="H568"/>
  <c r="D535"/>
  <c r="B582"/>
  <c r="J590"/>
  <c r="H581"/>
  <c r="D221"/>
  <c r="L222"/>
  <c r="L205"/>
  <c r="L192"/>
  <c r="N565"/>
  <c r="D536"/>
  <c r="D558"/>
  <c r="F38"/>
  <c r="H218"/>
  <c r="N368"/>
  <c r="L522"/>
  <c r="B468"/>
  <c r="J443"/>
  <c r="B446"/>
  <c r="L290"/>
  <c r="F202"/>
  <c r="L502"/>
  <c r="H476"/>
  <c r="B537"/>
  <c r="F440"/>
  <c r="B178"/>
  <c r="H467"/>
  <c r="J461"/>
  <c r="L231"/>
  <c r="N530"/>
  <c r="D375"/>
  <c r="B338"/>
  <c r="F500"/>
  <c r="N321"/>
  <c r="J266"/>
  <c r="B352"/>
  <c r="B591"/>
  <c r="N588"/>
  <c r="C24" i="19"/>
  <c r="E24"/>
  <c r="B445" i="18"/>
  <c r="F323"/>
  <c r="B291"/>
  <c r="J598"/>
  <c r="L201"/>
  <c r="B38"/>
  <c r="J472"/>
  <c r="J465"/>
  <c r="L171"/>
  <c r="D262"/>
  <c r="L415"/>
  <c r="H203"/>
  <c r="B505"/>
  <c r="F312"/>
  <c r="L401"/>
  <c r="L507"/>
  <c r="L477"/>
  <c r="J401"/>
  <c r="L551"/>
  <c r="H560"/>
  <c r="F266"/>
  <c r="D436"/>
  <c r="F598"/>
  <c r="E20" i="19"/>
  <c r="G20"/>
  <c r="L472" i="18"/>
  <c r="F531"/>
  <c r="D522"/>
  <c r="N586"/>
  <c r="J593"/>
  <c r="F223"/>
  <c r="F313"/>
  <c r="N318"/>
  <c r="N551"/>
  <c r="L412"/>
  <c r="B175"/>
  <c r="J470"/>
  <c r="N538"/>
  <c r="N428"/>
  <c r="H475"/>
  <c r="L402"/>
  <c r="H191"/>
  <c r="B430"/>
  <c r="J281"/>
  <c r="L373"/>
  <c r="J385"/>
  <c r="H68"/>
  <c r="D523"/>
  <c r="D526"/>
  <c r="D227"/>
  <c r="H431"/>
  <c r="H278"/>
  <c r="L387"/>
  <c r="H38"/>
  <c r="D398"/>
  <c r="N536"/>
  <c r="L527"/>
  <c r="L248"/>
  <c r="L197"/>
  <c r="B237"/>
  <c r="D350"/>
  <c r="L291"/>
  <c r="B282"/>
  <c r="N488"/>
  <c r="B388"/>
  <c r="B232"/>
  <c r="N323"/>
  <c r="H250"/>
  <c r="L503"/>
  <c r="D583"/>
  <c r="L591"/>
  <c r="F502"/>
  <c r="D24" i="19"/>
  <c r="F592" i="18"/>
  <c r="F521"/>
  <c r="L528"/>
  <c r="L531"/>
  <c r="H228"/>
  <c r="J562"/>
  <c r="C25" i="19"/>
  <c r="J520" i="18"/>
  <c r="J238"/>
  <c r="L596"/>
  <c r="N556"/>
  <c r="D20" i="19"/>
  <c r="H220" i="18"/>
  <c r="D222"/>
  <c r="N558"/>
  <c r="F596"/>
  <c r="J220"/>
  <c r="D591"/>
  <c r="D553"/>
  <c r="H458"/>
  <c r="F472"/>
  <c r="H593"/>
  <c r="J538"/>
  <c r="H442"/>
  <c r="N443"/>
  <c r="J566"/>
  <c r="L8"/>
  <c r="B472"/>
  <c r="B475"/>
  <c r="N587"/>
  <c r="H527"/>
  <c r="B460"/>
  <c r="F473"/>
  <c r="B536"/>
  <c r="J552"/>
  <c r="H587"/>
  <c r="N591"/>
  <c r="B478"/>
  <c r="B167"/>
  <c r="D532"/>
  <c r="L170"/>
  <c r="L147"/>
  <c r="H530"/>
  <c r="N528"/>
  <c r="L200"/>
  <c r="L177"/>
  <c r="L535"/>
  <c r="L258"/>
  <c r="J8"/>
  <c r="L385"/>
  <c r="B520"/>
  <c r="H532"/>
  <c r="L523"/>
  <c r="D528"/>
  <c r="J521"/>
  <c r="B521"/>
  <c r="F581"/>
  <c r="H592"/>
  <c r="D530"/>
  <c r="N478"/>
  <c r="L236"/>
  <c r="F68"/>
  <c r="F588"/>
  <c r="N526"/>
  <c r="B176"/>
  <c r="D561"/>
  <c r="D563"/>
  <c r="L235"/>
  <c r="L582"/>
  <c r="H465"/>
  <c r="H471"/>
  <c r="L500"/>
  <c r="H586"/>
  <c r="L562"/>
  <c r="H553"/>
  <c r="B433"/>
  <c r="H435"/>
  <c r="J527"/>
  <c r="D506"/>
  <c r="J380"/>
  <c r="L371"/>
  <c r="D220"/>
  <c r="L288"/>
  <c r="H580"/>
  <c r="H538"/>
  <c r="H561"/>
  <c r="L461"/>
  <c r="J475"/>
  <c r="D538"/>
  <c r="J551"/>
  <c r="L278"/>
  <c r="D290"/>
  <c r="L206"/>
  <c r="E25" i="19"/>
  <c r="J353" i="18"/>
  <c r="D38"/>
  <c r="N533"/>
  <c r="H551"/>
  <c r="N581"/>
  <c r="F586"/>
  <c r="B458"/>
  <c r="L490"/>
  <c r="D192"/>
  <c r="L188"/>
  <c r="L111"/>
  <c r="F476"/>
  <c r="N356"/>
  <c r="D531"/>
  <c r="N475"/>
  <c r="B530"/>
  <c r="B467"/>
  <c r="B470"/>
  <c r="F478"/>
  <c r="H472"/>
  <c r="N346"/>
  <c r="F251"/>
  <c r="J221"/>
  <c r="H317"/>
  <c r="L313"/>
  <c r="F402"/>
  <c r="H428"/>
  <c r="B440"/>
  <c r="D322"/>
  <c r="L328"/>
  <c r="D68"/>
  <c r="L198"/>
  <c r="L388"/>
  <c r="H24" i="19"/>
  <c r="F441" i="18"/>
  <c r="L558"/>
  <c r="J581"/>
  <c r="H528"/>
  <c r="L227"/>
  <c r="L165"/>
  <c r="L142"/>
  <c r="N405"/>
  <c r="D492"/>
  <c r="B19" i="19"/>
  <c r="H462" i="18"/>
  <c r="D232"/>
  <c r="N327"/>
  <c r="B462"/>
  <c r="B465"/>
  <c r="B226"/>
  <c r="J323"/>
  <c r="F290"/>
  <c r="J388"/>
  <c r="L505"/>
  <c r="D207"/>
  <c r="B267"/>
  <c r="F527"/>
  <c r="D550"/>
  <c r="F470"/>
  <c r="F467"/>
  <c r="N473"/>
  <c r="F520"/>
  <c r="L325"/>
  <c r="J251"/>
  <c r="F235"/>
  <c r="N436"/>
  <c r="J430"/>
  <c r="B592"/>
  <c r="L592"/>
  <c r="N560"/>
  <c r="D235"/>
  <c r="J38"/>
  <c r="N432"/>
  <c r="B325"/>
  <c r="H251"/>
  <c r="B371"/>
  <c r="F218"/>
  <c r="F170"/>
  <c r="F167"/>
  <c r="F295"/>
  <c r="J356"/>
  <c r="N445"/>
  <c r="H520"/>
  <c r="J312"/>
  <c r="N501"/>
  <c r="N518"/>
  <c r="L566"/>
  <c r="L568"/>
  <c r="D237"/>
  <c r="B518"/>
  <c r="H558"/>
  <c r="F562"/>
  <c r="F371"/>
  <c r="N376"/>
  <c r="H376"/>
  <c r="N370"/>
  <c r="D446"/>
  <c r="F318"/>
  <c r="J445"/>
  <c r="F321"/>
  <c r="D500"/>
  <c r="F10" i="19"/>
  <c r="D341" i="18"/>
  <c r="H315"/>
  <c r="L327"/>
  <c r="J253"/>
  <c r="N497"/>
  <c r="H358"/>
  <c r="L293"/>
  <c r="L100"/>
  <c r="J286"/>
  <c r="N357"/>
  <c r="J596"/>
  <c r="B8"/>
  <c r="D437"/>
  <c r="N347"/>
  <c r="H163"/>
  <c r="F226"/>
  <c r="H166"/>
  <c r="B407"/>
  <c r="H293"/>
  <c r="B410"/>
  <c r="J196"/>
  <c r="E12" i="19"/>
  <c r="J111" i="18"/>
  <c r="J110"/>
  <c r="L176"/>
  <c r="B473"/>
  <c r="J343"/>
  <c r="D268"/>
  <c r="J346"/>
  <c r="B400"/>
  <c r="F193"/>
  <c r="F130"/>
  <c r="D116"/>
  <c r="N353"/>
  <c r="F353"/>
  <c r="H350"/>
  <c r="D466"/>
  <c r="D468"/>
  <c r="J476"/>
  <c r="L470"/>
  <c r="N326"/>
  <c r="H252"/>
  <c r="B228"/>
  <c r="J316"/>
  <c r="D355"/>
  <c r="L287"/>
  <c r="H403"/>
  <c r="B197"/>
  <c r="F128"/>
  <c r="F21" i="19"/>
  <c r="B375" i="18"/>
  <c r="N407"/>
  <c r="L431"/>
  <c r="H308"/>
  <c r="D431"/>
  <c r="H320"/>
  <c r="N345"/>
  <c r="L280"/>
  <c r="L38"/>
  <c r="J460"/>
  <c r="H461"/>
  <c r="L260"/>
  <c r="J200"/>
  <c r="N416"/>
  <c r="F205"/>
  <c r="J406"/>
  <c r="D311"/>
  <c r="J408"/>
  <c r="J260"/>
  <c r="B105"/>
  <c r="H98"/>
  <c r="J161"/>
  <c r="J262"/>
  <c r="D377"/>
  <c r="B222"/>
  <c r="F160"/>
  <c r="F221"/>
  <c r="F162"/>
  <c r="H113"/>
  <c r="B143"/>
  <c r="H8" i="19"/>
  <c r="C26"/>
  <c r="D308" i="18"/>
  <c r="F142"/>
  <c r="D110"/>
  <c r="H112"/>
  <c r="H386"/>
  <c r="B18" i="19"/>
  <c r="L208" i="18"/>
  <c r="F291"/>
  <c r="L411"/>
  <c r="B195"/>
  <c r="H10" i="19"/>
  <c r="G11"/>
  <c r="D327" i="18"/>
  <c r="H502"/>
  <c r="F435"/>
  <c r="F507"/>
  <c r="F18" i="19"/>
  <c r="F357" i="18"/>
  <c r="J400"/>
  <c r="J130"/>
  <c r="J250"/>
  <c r="J132"/>
  <c r="H118"/>
  <c r="B408"/>
  <c r="N350"/>
  <c r="D463"/>
  <c r="H338"/>
  <c r="L146"/>
  <c r="F471"/>
  <c r="H368"/>
  <c r="F257"/>
  <c r="D368"/>
  <c r="D418"/>
  <c r="D115"/>
  <c r="H497"/>
  <c r="F523"/>
  <c r="N593"/>
  <c r="N463"/>
  <c r="F583"/>
  <c r="H238"/>
  <c r="N597"/>
  <c r="B166"/>
  <c r="B168"/>
  <c r="J466"/>
  <c r="L460"/>
  <c r="D233"/>
  <c r="J595"/>
  <c r="J523"/>
  <c r="L478"/>
  <c r="B463"/>
  <c r="D402"/>
  <c r="J477"/>
  <c r="F518"/>
  <c r="G24" i="19"/>
  <c r="B25"/>
  <c r="N520" i="18"/>
  <c r="L375"/>
  <c r="B255"/>
  <c r="D441"/>
  <c r="J448"/>
  <c r="L251"/>
  <c r="N502"/>
  <c r="N580"/>
  <c r="H588"/>
  <c r="F580"/>
  <c r="L218"/>
  <c r="H221"/>
  <c r="L253"/>
  <c r="L202"/>
  <c r="N492"/>
  <c r="D488"/>
  <c r="F351"/>
  <c r="L102"/>
  <c r="D497"/>
  <c r="B161"/>
  <c r="F465"/>
  <c r="F533"/>
  <c r="L160"/>
  <c r="L137"/>
  <c r="D462"/>
  <c r="F411"/>
  <c r="B383"/>
  <c r="N417"/>
  <c r="L98"/>
  <c r="F553"/>
  <c r="F497"/>
  <c r="L560"/>
  <c r="F568"/>
  <c r="D560"/>
  <c r="J438"/>
  <c r="B441"/>
  <c r="D552"/>
  <c r="B560"/>
  <c r="F508"/>
  <c r="D416"/>
  <c r="N338"/>
  <c r="J233"/>
  <c r="B355"/>
  <c r="B233"/>
  <c r="J283"/>
  <c r="L376"/>
  <c r="J228"/>
  <c r="F536"/>
  <c r="L342"/>
  <c r="F286"/>
  <c r="F595"/>
  <c r="D461"/>
  <c r="J348"/>
  <c r="B595"/>
  <c r="N585"/>
  <c r="D226"/>
  <c r="J578"/>
  <c r="B583"/>
  <c r="L158"/>
  <c r="H290"/>
  <c r="D251"/>
  <c r="F468"/>
  <c r="H230"/>
  <c r="F222"/>
  <c r="L530"/>
  <c r="B438"/>
  <c r="H440"/>
  <c r="N317"/>
  <c r="J165"/>
  <c r="J232"/>
  <c r="J167"/>
  <c r="D407"/>
  <c r="J295"/>
  <c r="F566"/>
  <c r="N582"/>
  <c r="L565"/>
  <c r="D445"/>
  <c r="J446"/>
  <c r="J583"/>
  <c r="F591"/>
  <c r="H491"/>
  <c r="H416"/>
  <c r="L311"/>
  <c r="F438"/>
  <c r="N387"/>
  <c r="N578"/>
  <c r="H591"/>
  <c r="H232"/>
  <c r="L106"/>
  <c r="F428"/>
  <c r="N377"/>
  <c r="J507"/>
  <c r="L438"/>
  <c r="N567"/>
  <c r="F387"/>
  <c r="B296"/>
  <c r="J387"/>
  <c r="L107"/>
  <c r="B551"/>
  <c r="F381"/>
  <c r="B528"/>
  <c r="F386"/>
  <c r="B177"/>
  <c r="L465"/>
  <c r="N458"/>
  <c r="H235"/>
  <c r="D548"/>
  <c r="B238"/>
  <c r="N562"/>
  <c r="D448"/>
  <c r="E23" i="19"/>
  <c r="J190" i="18"/>
  <c r="J435"/>
  <c r="B317"/>
  <c r="L346"/>
  <c r="F398"/>
  <c r="L348"/>
  <c r="B398"/>
  <c r="D160"/>
  <c r="J103"/>
  <c r="H105"/>
  <c r="F355"/>
  <c r="H493"/>
  <c r="L283"/>
  <c r="D295"/>
  <c r="H503"/>
  <c r="B285"/>
  <c r="L403"/>
  <c r="F447"/>
  <c r="D525"/>
  <c r="H595"/>
  <c r="L435"/>
  <c r="J218"/>
  <c r="H325"/>
  <c r="D288"/>
  <c r="J383"/>
  <c r="N506"/>
  <c r="B208"/>
  <c r="N508"/>
  <c r="J188"/>
  <c r="D378"/>
  <c r="B205"/>
  <c r="B140"/>
  <c r="B503"/>
  <c r="F341"/>
  <c r="F430"/>
  <c r="F506"/>
  <c r="L428"/>
  <c r="D490"/>
  <c r="H13" i="19"/>
  <c r="E13"/>
  <c r="D356" i="18"/>
  <c r="D250"/>
  <c r="F258"/>
  <c r="L316"/>
  <c r="H562"/>
  <c r="N441"/>
  <c r="F443"/>
  <c r="H563"/>
  <c r="D580"/>
  <c r="J491"/>
  <c r="F417"/>
  <c r="N310"/>
  <c r="L285"/>
  <c r="H401"/>
  <c r="D357"/>
  <c r="B190"/>
  <c r="D137"/>
  <c r="B411"/>
  <c r="G18" i="19"/>
  <c r="L163" i="18"/>
  <c r="H292"/>
  <c r="N382"/>
  <c r="F375"/>
  <c r="B221"/>
  <c r="F220"/>
  <c r="H322"/>
  <c r="H556"/>
  <c r="F466"/>
  <c r="N446"/>
  <c r="F448"/>
  <c r="D340"/>
  <c r="B328"/>
  <c r="F403"/>
  <c r="L398"/>
  <c r="J205"/>
  <c r="L400"/>
  <c r="H208"/>
  <c r="F493"/>
  <c r="J203"/>
  <c r="J140"/>
  <c r="D173"/>
  <c r="B442"/>
  <c r="B588"/>
  <c r="H380"/>
  <c r="B286"/>
  <c r="H382"/>
  <c r="J493"/>
  <c r="D263"/>
  <c r="F163"/>
  <c r="B131"/>
  <c r="F325"/>
  <c r="H192"/>
  <c r="D108"/>
  <c r="J177"/>
  <c r="J115"/>
  <c r="E17" i="19"/>
  <c r="F368" i="18"/>
  <c r="L496"/>
  <c r="L115"/>
  <c r="J293"/>
  <c r="H11" i="19"/>
  <c r="D505" i="18"/>
  <c r="N437"/>
  <c r="N352"/>
  <c r="H266"/>
  <c r="B382"/>
  <c r="B386"/>
  <c r="H190"/>
  <c r="D382"/>
  <c r="J193"/>
  <c r="H116"/>
  <c r="H115"/>
  <c r="B9" i="19"/>
  <c r="B17"/>
  <c r="B218" i="18"/>
  <c r="H327"/>
  <c r="F232"/>
  <c r="B493"/>
  <c r="H352"/>
  <c r="J432"/>
  <c r="F496"/>
  <c r="B432"/>
  <c r="F498"/>
  <c r="D261"/>
  <c r="H131"/>
  <c r="F118"/>
  <c r="J370"/>
  <c r="L353"/>
  <c r="J223"/>
  <c r="H310"/>
  <c r="B223"/>
  <c r="B372"/>
  <c r="L255"/>
  <c r="H470"/>
  <c r="B385"/>
  <c r="B558"/>
  <c r="F535"/>
  <c r="F537"/>
  <c r="L230"/>
  <c r="B437"/>
  <c r="D280"/>
  <c r="L368"/>
  <c r="D265"/>
  <c r="H500"/>
  <c r="B351"/>
  <c r="H505"/>
  <c r="D313"/>
  <c r="B146"/>
  <c r="B12" i="19"/>
  <c r="F265" i="18"/>
  <c r="F280"/>
  <c r="B415"/>
  <c r="L495"/>
  <c r="H443"/>
  <c r="N322"/>
  <c r="N466"/>
  <c r="F356"/>
  <c r="H522"/>
  <c r="F463"/>
  <c r="L467"/>
  <c r="J327"/>
  <c r="N341"/>
  <c r="N343"/>
  <c r="D296"/>
  <c r="J173"/>
  <c r="F236"/>
  <c r="F416"/>
  <c r="J285"/>
  <c r="D400"/>
  <c r="B258"/>
  <c r="H291"/>
  <c r="D203"/>
  <c r="B137"/>
  <c r="H378"/>
  <c r="L250"/>
  <c r="J565"/>
  <c r="B563"/>
  <c r="L593"/>
  <c r="D236"/>
  <c r="D430"/>
  <c r="J431"/>
  <c r="L378"/>
  <c r="D163"/>
  <c r="F445"/>
  <c r="D166"/>
  <c r="H370"/>
  <c r="D293"/>
  <c r="H372"/>
  <c r="F196"/>
  <c r="B21" i="19"/>
  <c r="B118" i="18"/>
  <c r="F106"/>
  <c r="J237"/>
  <c r="B342"/>
  <c r="F343"/>
  <c r="D205"/>
  <c r="B313"/>
  <c r="B373"/>
  <c r="J381"/>
  <c r="J533"/>
  <c r="H525"/>
  <c r="B598"/>
  <c r="L256"/>
  <c r="J230"/>
  <c r="J313"/>
  <c r="L317"/>
  <c r="D278"/>
  <c r="L508"/>
  <c r="J350"/>
  <c r="N490"/>
  <c r="J352"/>
  <c r="B145"/>
  <c r="G12" i="19"/>
  <c r="J357" i="18"/>
  <c r="D316"/>
  <c r="J413"/>
  <c r="L380"/>
  <c r="B260"/>
  <c r="L382"/>
  <c r="B262"/>
  <c r="F135"/>
  <c r="B102"/>
  <c r="F105"/>
  <c r="J265"/>
  <c r="H398"/>
  <c r="J255"/>
  <c r="J131"/>
  <c r="J138"/>
  <c r="G9" i="19"/>
  <c r="H21"/>
  <c r="J231" i="18"/>
  <c r="D338"/>
  <c r="D345"/>
  <c r="F320"/>
  <c r="C17" i="19"/>
  <c r="H298" i="18"/>
  <c r="N408"/>
  <c r="B323"/>
  <c r="F418"/>
  <c r="D256"/>
  <c r="E9" i="19"/>
  <c r="N500" i="18"/>
  <c r="F112"/>
  <c r="B191"/>
  <c r="B98"/>
  <c r="F17" i="19"/>
  <c r="F161" i="18"/>
  <c r="H261"/>
  <c r="L252"/>
  <c r="F293"/>
  <c r="L257"/>
  <c r="F296"/>
  <c r="D133"/>
  <c r="H318"/>
  <c r="B107"/>
  <c r="D102"/>
  <c r="H323"/>
  <c r="N328"/>
  <c r="J497"/>
  <c r="L267"/>
  <c r="J415"/>
  <c r="H117"/>
  <c r="G17" i="19"/>
  <c r="B326" i="18"/>
  <c r="D135"/>
  <c r="D198"/>
  <c r="B132"/>
  <c r="J98"/>
  <c r="D387"/>
  <c r="L408"/>
  <c r="F437"/>
  <c r="B311"/>
  <c r="L436"/>
  <c r="B312"/>
  <c r="B263"/>
  <c r="H141"/>
  <c r="F108"/>
  <c r="H110"/>
  <c r="B200"/>
  <c r="D101"/>
  <c r="D136"/>
  <c r="J325"/>
  <c r="B253"/>
  <c r="C16" i="19"/>
  <c r="J108" i="18"/>
  <c r="D172"/>
  <c r="C10" i="19"/>
  <c r="B103" i="18"/>
  <c r="J495"/>
  <c r="L323"/>
  <c r="F412"/>
  <c r="L326"/>
  <c r="F415"/>
  <c r="J105"/>
  <c r="J308"/>
  <c r="B13" i="19"/>
  <c r="F16"/>
  <c r="F147" i="18"/>
  <c r="N435"/>
  <c r="D283"/>
  <c r="J378"/>
  <c r="F400"/>
  <c r="H356"/>
  <c r="H400"/>
  <c r="D328"/>
  <c r="F137"/>
  <c r="D9" i="19"/>
  <c r="F117" i="18"/>
  <c r="D130"/>
  <c r="L262"/>
  <c r="L131"/>
  <c r="B491"/>
  <c r="H347"/>
  <c r="J382"/>
  <c r="D196"/>
  <c r="D148"/>
  <c r="B117"/>
  <c r="F12" i="19"/>
  <c r="J158" i="18"/>
  <c r="H188"/>
  <c r="B108"/>
  <c r="H106"/>
  <c r="J582"/>
  <c r="D225"/>
  <c r="L172"/>
  <c r="L493"/>
  <c r="N476"/>
  <c r="B203"/>
  <c r="N503"/>
  <c r="B206"/>
  <c r="F406"/>
  <c r="F308"/>
  <c r="F408"/>
  <c r="D266"/>
  <c r="G19" i="19"/>
  <c r="D10"/>
  <c r="B158" i="18"/>
  <c r="F262"/>
  <c r="J341"/>
  <c r="H441"/>
  <c r="H158"/>
  <c r="J263"/>
  <c r="H348"/>
  <c r="J386"/>
  <c r="N413"/>
  <c r="D537"/>
  <c r="L553"/>
  <c r="B593"/>
  <c r="H597"/>
  <c r="D477"/>
  <c r="N403"/>
  <c r="F192"/>
  <c r="L138"/>
  <c r="H282"/>
  <c r="N372"/>
  <c r="H381"/>
  <c r="N375"/>
  <c r="H383"/>
  <c r="J145"/>
  <c r="F111"/>
  <c r="C21" i="19"/>
  <c r="B356" i="18"/>
  <c r="F490"/>
  <c r="N311"/>
  <c r="J256"/>
  <c r="N313"/>
  <c r="J258"/>
  <c r="F168"/>
  <c r="B141"/>
  <c r="C19" i="19"/>
  <c r="H9"/>
  <c r="F495" i="18"/>
  <c r="L141"/>
  <c r="H20" i="19"/>
  <c r="F24"/>
  <c r="L221" i="18"/>
  <c r="H223"/>
  <c r="L112"/>
  <c r="H262"/>
  <c r="N388"/>
  <c r="J202"/>
  <c r="D501"/>
  <c r="H311"/>
  <c r="D503"/>
  <c r="H296"/>
  <c r="F103"/>
  <c r="H100"/>
  <c r="H200"/>
  <c r="B280"/>
  <c r="H377"/>
  <c r="J235"/>
  <c r="J160"/>
  <c r="D317"/>
  <c r="B403"/>
  <c r="H410"/>
  <c r="L357"/>
  <c r="J525"/>
  <c r="L476"/>
  <c r="H523"/>
  <c r="F436"/>
  <c r="D460"/>
  <c r="D475"/>
  <c r="L347"/>
  <c r="D252"/>
  <c r="L446"/>
  <c r="F316"/>
  <c r="N312"/>
  <c r="D401"/>
  <c r="N315"/>
  <c r="D403"/>
  <c r="H160"/>
  <c r="H140"/>
  <c r="D13" i="19"/>
  <c r="J355" i="18"/>
  <c r="N495"/>
  <c r="L168"/>
  <c r="H295"/>
  <c r="L173"/>
  <c r="H297"/>
  <c r="D208"/>
  <c r="B142"/>
  <c r="H18" i="19"/>
  <c r="F8"/>
  <c r="N385" i="18"/>
  <c r="F26" i="19"/>
  <c r="J207" i="18"/>
  <c r="D103"/>
  <c r="D100"/>
  <c r="D201"/>
  <c r="J278"/>
  <c r="F373"/>
  <c r="F228"/>
  <c r="F382"/>
  <c r="J191"/>
  <c r="D118"/>
  <c r="L381"/>
  <c r="F328"/>
  <c r="L312"/>
  <c r="B297"/>
  <c r="J116"/>
  <c r="D12" i="19"/>
  <c r="D158" i="18"/>
  <c r="B100"/>
  <c r="D19" i="19"/>
  <c r="J292" i="18"/>
  <c r="D193"/>
  <c r="B265"/>
  <c r="N406"/>
  <c r="F195"/>
  <c r="L318"/>
  <c r="B346"/>
  <c r="H495"/>
  <c r="L320"/>
  <c r="J268"/>
  <c r="L322"/>
  <c r="J267"/>
  <c r="H313"/>
  <c r="F292"/>
  <c r="B192"/>
  <c r="H201"/>
  <c r="L492"/>
  <c r="D195"/>
  <c r="J416"/>
  <c r="D321"/>
  <c r="D438"/>
  <c r="L345"/>
  <c r="N596"/>
  <c r="J502"/>
  <c r="J568"/>
  <c r="D586"/>
  <c r="B568"/>
  <c r="H447"/>
  <c r="N448"/>
  <c r="L595"/>
  <c r="L298"/>
  <c r="B290"/>
  <c r="L282"/>
  <c r="L161"/>
  <c r="B498"/>
  <c r="H357"/>
  <c r="D248"/>
  <c r="E18" i="19"/>
  <c r="J410" i="18"/>
  <c r="B11" i="19"/>
  <c r="F432" i="18"/>
  <c r="B327"/>
  <c r="L356"/>
  <c r="J375"/>
  <c r="L358"/>
  <c r="J377"/>
  <c r="F115"/>
  <c r="D176"/>
  <c r="D258"/>
  <c r="J405"/>
  <c r="H488"/>
  <c r="B507"/>
  <c r="L536"/>
  <c r="J535"/>
  <c r="L561"/>
  <c r="D566"/>
  <c r="G23" i="19"/>
  <c r="D412" i="18"/>
  <c r="J345"/>
  <c r="L506"/>
  <c r="L143"/>
  <c r="H285"/>
  <c r="L148"/>
  <c r="H287"/>
  <c r="H388"/>
  <c r="J310"/>
  <c r="D267"/>
  <c r="B281"/>
  <c r="L377"/>
  <c r="B257"/>
  <c r="F492"/>
  <c r="J338"/>
  <c r="L417"/>
  <c r="L296"/>
  <c r="B287"/>
  <c r="L416"/>
  <c r="F565"/>
  <c r="D587"/>
  <c r="J548"/>
  <c r="H231"/>
  <c r="L135"/>
  <c r="L113"/>
  <c r="L406"/>
  <c r="F491"/>
  <c r="D433"/>
  <c r="H536"/>
  <c r="D370"/>
  <c r="J257"/>
  <c r="D372"/>
  <c r="B490"/>
  <c r="B133"/>
  <c r="D17" i="19"/>
  <c r="F13"/>
  <c r="F225" i="18"/>
  <c r="J326"/>
  <c r="L295"/>
  <c r="H411"/>
  <c r="L297"/>
  <c r="H413"/>
  <c r="C14" i="19"/>
  <c r="D117" i="18"/>
  <c r="H281"/>
  <c r="J172"/>
  <c r="J162"/>
  <c r="C8" i="19"/>
  <c r="D106" i="18"/>
  <c r="F310"/>
  <c r="F248"/>
  <c r="J261"/>
  <c r="N378"/>
  <c r="J192"/>
  <c r="D491"/>
  <c r="D147"/>
  <c r="B293"/>
  <c r="D202"/>
  <c r="B196"/>
  <c r="B413"/>
  <c r="N355"/>
  <c r="B416"/>
  <c r="B376"/>
  <c r="L286"/>
  <c r="J168"/>
  <c r="F11" i="19"/>
  <c r="F177" i="18"/>
  <c r="D140"/>
  <c r="J148"/>
  <c r="H353"/>
  <c r="J556"/>
  <c r="F376"/>
  <c r="B278"/>
  <c r="F378"/>
  <c r="D495"/>
  <c r="D281"/>
  <c r="H263"/>
  <c r="H132"/>
  <c r="H111"/>
  <c r="D353"/>
  <c r="L310"/>
  <c r="J322"/>
  <c r="D493"/>
  <c r="J297"/>
  <c r="B110"/>
  <c r="N325"/>
  <c r="F133"/>
  <c r="F278"/>
  <c r="H103"/>
  <c r="F143"/>
  <c r="J248"/>
  <c r="D298"/>
  <c r="J373"/>
  <c r="N496"/>
  <c r="B198"/>
  <c r="N498"/>
  <c r="B201"/>
  <c r="H145"/>
  <c r="D11" i="19"/>
  <c r="B148" i="18"/>
  <c r="F148"/>
  <c r="D286"/>
  <c r="H408"/>
  <c r="D8" i="19"/>
  <c r="J101" i="18"/>
  <c r="G14" i="19"/>
  <c r="H162" i="18"/>
  <c r="J178"/>
  <c r="D105"/>
  <c r="D318"/>
  <c r="F198"/>
  <c r="B292"/>
  <c r="B488"/>
  <c r="F322"/>
  <c r="J418"/>
  <c r="B298"/>
  <c r="H135"/>
  <c r="J128"/>
  <c r="D323"/>
  <c r="D206"/>
  <c r="D502"/>
  <c r="J468"/>
  <c r="D371"/>
  <c r="L413"/>
  <c r="D373"/>
  <c r="F201"/>
  <c r="L410"/>
  <c r="B135"/>
  <c r="G16" i="19"/>
  <c r="H143" i="18"/>
  <c r="D111"/>
  <c r="H102"/>
  <c r="J317"/>
  <c r="D507"/>
  <c r="L338"/>
  <c r="H257"/>
  <c r="L340"/>
  <c r="H260"/>
  <c r="D170"/>
  <c r="H101"/>
  <c r="B14" i="19"/>
  <c r="H26"/>
  <c r="F110" i="18"/>
  <c r="G21" i="19"/>
  <c r="J133" i="18"/>
  <c r="F113"/>
  <c r="D165"/>
  <c r="H170"/>
  <c r="B266"/>
  <c r="F287"/>
  <c r="S83"/>
  <c r="S77"/>
  <c r="H86"/>
  <c r="F71"/>
  <c r="S88"/>
  <c r="D70"/>
  <c r="S73"/>
  <c r="H73"/>
  <c r="B88"/>
  <c r="H83"/>
  <c r="B73"/>
  <c r="F82"/>
  <c r="D81"/>
  <c r="F77"/>
  <c r="J106"/>
  <c r="F326"/>
  <c r="D411"/>
  <c r="H256"/>
  <c r="L433"/>
  <c r="D470"/>
  <c r="D228"/>
  <c r="B370"/>
  <c r="D498"/>
  <c r="F268"/>
  <c r="F267"/>
  <c r="H253"/>
  <c r="F188"/>
  <c r="B188"/>
  <c r="D197"/>
  <c r="L497"/>
  <c r="D200"/>
  <c r="J117"/>
  <c r="E14" i="19"/>
  <c r="B16"/>
  <c r="B147" i="18"/>
  <c r="F346"/>
  <c r="N373"/>
  <c r="H490"/>
  <c r="J580"/>
  <c r="B581"/>
  <c r="L237"/>
  <c r="C20" i="19"/>
  <c r="H438" i="18"/>
  <c r="D325"/>
  <c r="J252"/>
  <c r="F383"/>
  <c r="J225"/>
  <c r="H168"/>
  <c r="B225"/>
  <c r="H171"/>
  <c r="B343"/>
  <c r="H167"/>
  <c r="J136"/>
  <c r="H406"/>
  <c r="L292"/>
  <c r="L191"/>
  <c r="B508"/>
  <c r="H407"/>
  <c r="J437"/>
  <c r="B227"/>
  <c r="B526"/>
  <c r="S68"/>
  <c r="F530"/>
  <c r="L533"/>
  <c r="F8"/>
  <c r="J371"/>
  <c r="F345"/>
  <c r="J505"/>
  <c r="L266"/>
  <c r="D285"/>
  <c r="L268"/>
  <c r="D287"/>
  <c r="J368"/>
  <c r="B310"/>
  <c r="H202"/>
  <c r="F261"/>
  <c r="L405"/>
  <c r="H193"/>
  <c r="B496"/>
  <c r="H321"/>
  <c r="B497"/>
  <c r="F297"/>
  <c r="B348"/>
  <c r="H267"/>
  <c r="J137"/>
  <c r="H197"/>
  <c r="J206"/>
  <c r="J163"/>
  <c r="J347"/>
  <c r="F166"/>
  <c r="F136"/>
  <c r="F407"/>
  <c r="L321"/>
  <c r="L265"/>
  <c r="E26" i="19"/>
  <c r="F146" i="18"/>
  <c r="B283"/>
  <c r="D415"/>
  <c r="F197"/>
  <c r="N411"/>
  <c r="F200"/>
  <c r="H195"/>
  <c r="H142"/>
  <c r="H351"/>
  <c r="F372"/>
  <c r="F352"/>
  <c r="H205"/>
  <c r="H138"/>
  <c r="H492"/>
  <c r="B377"/>
  <c r="L498"/>
  <c r="J340"/>
  <c r="L501"/>
  <c r="J342"/>
  <c r="H12" i="19"/>
  <c r="J143" i="18"/>
  <c r="F101"/>
  <c r="C18" i="19"/>
  <c r="D315" i="18"/>
  <c r="H255"/>
  <c r="J412"/>
  <c r="D347"/>
  <c r="F206"/>
  <c r="F131"/>
  <c r="H312"/>
  <c r="F176"/>
  <c r="C12" i="19"/>
  <c r="C11"/>
  <c r="F410" i="18"/>
  <c r="F107"/>
  <c r="L110"/>
  <c r="J291"/>
  <c r="L383"/>
  <c r="H371"/>
  <c r="L386"/>
  <c r="H373"/>
  <c r="B116"/>
  <c r="F503"/>
  <c r="B261"/>
  <c r="D146"/>
  <c r="D18" i="19"/>
  <c r="J118" i="18"/>
  <c r="H130"/>
  <c r="F178"/>
  <c r="E16" i="19"/>
  <c r="B111" i="18"/>
  <c r="C13" i="19"/>
  <c r="D132" i="18"/>
  <c r="D14" i="19"/>
  <c r="H146" i="18"/>
  <c r="B231"/>
  <c r="J328"/>
  <c r="F230"/>
  <c r="J311"/>
  <c r="B207"/>
  <c r="J113"/>
  <c r="H14" i="19"/>
  <c r="F171" i="18"/>
  <c r="H147"/>
  <c r="H342"/>
  <c r="H177"/>
  <c r="J227"/>
  <c r="H161"/>
  <c r="D141"/>
  <c r="F138"/>
  <c r="H258"/>
  <c r="J201"/>
  <c r="H418"/>
  <c r="J166"/>
  <c r="J102"/>
  <c r="J407"/>
  <c r="D342"/>
  <c r="H345"/>
  <c r="L136"/>
  <c r="B492"/>
  <c r="G10" i="19"/>
  <c r="B26"/>
  <c r="J320" i="18"/>
  <c r="B250"/>
  <c r="B128"/>
  <c r="H165"/>
  <c r="F282"/>
  <c r="J372"/>
  <c r="J531"/>
  <c r="H222"/>
  <c r="L195"/>
  <c r="L203"/>
  <c r="F288"/>
  <c r="J488"/>
  <c r="H288"/>
  <c r="B405"/>
  <c r="N418"/>
  <c r="F207"/>
  <c r="L488"/>
  <c r="D191"/>
  <c r="J398"/>
  <c r="F203"/>
  <c r="F140"/>
  <c r="F501"/>
  <c r="N430"/>
  <c r="F525"/>
  <c r="D380"/>
  <c r="H268"/>
  <c r="N507"/>
  <c r="F231"/>
  <c r="F461"/>
  <c r="F401"/>
  <c r="H463"/>
  <c r="J536"/>
  <c r="L130"/>
  <c r="L108"/>
  <c r="H460"/>
  <c r="H412"/>
  <c r="D376"/>
  <c r="L418"/>
  <c r="B435"/>
  <c r="B320"/>
  <c r="H433"/>
  <c r="B322"/>
  <c r="F405"/>
  <c r="H346"/>
  <c r="J287"/>
  <c r="J298"/>
  <c r="N348"/>
  <c r="F253"/>
  <c r="H496"/>
  <c r="D358"/>
  <c r="H498"/>
  <c r="J315"/>
  <c r="G13" i="19"/>
  <c r="H341" i="18"/>
  <c r="J171"/>
  <c r="B308"/>
  <c r="B357"/>
  <c r="B173"/>
  <c r="N461"/>
  <c r="N470"/>
  <c r="N462"/>
  <c r="C23" i="19"/>
  <c r="H340" i="18"/>
  <c r="F327"/>
  <c r="J403"/>
  <c r="L370"/>
  <c r="B251"/>
  <c r="L372"/>
  <c r="B252"/>
  <c r="B268"/>
  <c r="B256"/>
  <c r="F173"/>
  <c r="H173"/>
  <c r="J222"/>
  <c r="H176"/>
  <c r="B417"/>
  <c r="F285"/>
  <c r="N342"/>
  <c r="N401"/>
  <c r="D533"/>
  <c r="D496"/>
  <c r="F557"/>
  <c r="B566"/>
  <c r="L556"/>
  <c r="L437"/>
  <c r="B532"/>
  <c r="L538"/>
  <c r="D508"/>
  <c r="B418"/>
  <c r="L343"/>
  <c r="F227"/>
  <c r="J318"/>
  <c r="J226"/>
  <c r="J321"/>
  <c r="F172"/>
  <c r="D112"/>
  <c r="D386"/>
  <c r="F348"/>
  <c r="L281"/>
  <c r="D292"/>
  <c r="N410"/>
  <c r="B378"/>
  <c r="N412"/>
  <c r="B381"/>
  <c r="H137"/>
  <c r="D408"/>
  <c r="F208"/>
  <c r="D388"/>
  <c r="F377"/>
  <c r="B506"/>
  <c r="B406"/>
  <c r="B248"/>
  <c r="D175"/>
  <c r="F175"/>
  <c r="J447"/>
  <c r="D178"/>
  <c r="J376"/>
  <c r="B130"/>
  <c r="F132"/>
  <c r="H387"/>
  <c r="H448"/>
  <c r="F340"/>
  <c r="J500"/>
  <c r="D351"/>
  <c r="H148"/>
  <c r="N440"/>
  <c r="D113"/>
  <c r="C9" i="19"/>
  <c r="J107" i="18"/>
  <c r="F9" i="19"/>
  <c r="B358" i="18"/>
  <c r="B318"/>
  <c r="H415"/>
  <c r="L442"/>
  <c r="B315"/>
  <c r="L341"/>
  <c r="H265"/>
  <c r="H508"/>
  <c r="F350"/>
  <c r="H507"/>
  <c r="B353"/>
  <c r="J146"/>
  <c r="D21" i="19"/>
  <c r="J282" i="18"/>
  <c r="J280"/>
  <c r="F413"/>
  <c r="L407"/>
  <c r="H196"/>
  <c r="J351"/>
  <c r="J498"/>
  <c r="F505"/>
  <c r="L315"/>
  <c r="F560"/>
  <c r="N532"/>
  <c r="L555"/>
  <c r="L458"/>
  <c r="H466"/>
  <c r="B527"/>
  <c r="H531"/>
  <c r="J492"/>
  <c r="J417"/>
  <c r="D352"/>
  <c r="H355"/>
  <c r="L166"/>
  <c r="B501"/>
  <c r="F191"/>
  <c r="D131"/>
  <c r="B101"/>
  <c r="F370"/>
  <c r="N380"/>
  <c r="N442"/>
  <c r="D310"/>
  <c r="F442"/>
  <c r="D312"/>
  <c r="F250"/>
  <c r="J142"/>
  <c r="H108"/>
  <c r="D142"/>
  <c r="L196"/>
  <c r="J402"/>
  <c r="N340"/>
  <c r="L521"/>
  <c r="B531"/>
  <c r="L190"/>
  <c r="L167"/>
  <c r="N491"/>
  <c r="B193"/>
  <c r="L263"/>
  <c r="D282"/>
  <c r="N400"/>
  <c r="D381"/>
  <c r="N402"/>
  <c r="D383"/>
  <c r="F145"/>
  <c r="B112"/>
  <c r="D98"/>
  <c r="H316"/>
  <c r="B495"/>
  <c r="N351"/>
  <c r="F256"/>
  <c r="D405"/>
  <c r="H206"/>
  <c r="J490"/>
  <c r="L133"/>
  <c r="L588"/>
  <c r="F597"/>
  <c r="D588"/>
  <c r="L228"/>
  <c r="L590"/>
  <c r="D595"/>
  <c r="L105"/>
  <c r="J288"/>
  <c r="F252"/>
  <c r="B387"/>
  <c r="L443"/>
  <c r="D168"/>
  <c r="D443"/>
  <c r="D171"/>
  <c r="H286"/>
  <c r="D167"/>
  <c r="B136"/>
  <c r="D406"/>
  <c r="N320"/>
  <c r="F237"/>
  <c r="B345"/>
  <c r="J236"/>
  <c r="B347"/>
  <c r="F342"/>
  <c r="J176"/>
  <c r="J112"/>
  <c r="E19" i="19"/>
  <c r="B235" i="18"/>
  <c r="D145"/>
  <c r="F102"/>
  <c r="D143"/>
  <c r="H16" i="19"/>
  <c r="F19"/>
  <c r="F317" i="18"/>
  <c r="F488"/>
  <c r="L352"/>
  <c r="D257"/>
  <c r="F190"/>
  <c r="D188"/>
  <c r="N493"/>
  <c r="H417"/>
  <c r="N447"/>
  <c r="F311"/>
  <c r="H133"/>
  <c r="G8" i="19"/>
  <c r="D297" i="18"/>
  <c r="J141"/>
  <c r="D107"/>
  <c r="H17" i="19"/>
  <c r="B368" i="18"/>
  <c r="B350"/>
  <c r="H436"/>
  <c r="B447"/>
  <c r="D177"/>
  <c r="H446"/>
  <c r="D161"/>
  <c r="H328"/>
  <c r="H207"/>
  <c r="J135"/>
  <c r="F158"/>
  <c r="H19" i="19"/>
  <c r="J496" i="18"/>
  <c r="B295"/>
  <c r="L355"/>
  <c r="D260"/>
  <c r="F347"/>
  <c r="J147"/>
  <c r="D413"/>
  <c r="E21" i="19"/>
  <c r="J503" i="18"/>
  <c r="D253"/>
  <c r="H175"/>
  <c r="J175"/>
  <c r="B230"/>
  <c r="H178"/>
  <c r="D417"/>
  <c r="H283"/>
  <c r="B401"/>
  <c r="J208"/>
  <c r="D291"/>
  <c r="B202"/>
  <c r="J100"/>
  <c r="E11" i="19"/>
  <c r="F255" i="18"/>
  <c r="B321"/>
  <c r="J198"/>
  <c r="F100"/>
  <c r="H136"/>
  <c r="H128"/>
  <c r="E8" i="19"/>
  <c r="D16"/>
  <c r="F141" i="18"/>
  <c r="L308"/>
  <c r="N381"/>
  <c r="J195"/>
  <c r="N383"/>
  <c r="J197"/>
  <c r="B10" i="19"/>
  <c r="F14"/>
  <c r="B316" i="18"/>
  <c r="F260"/>
  <c r="D138"/>
  <c r="L117"/>
  <c r="B380"/>
  <c r="L128"/>
  <c r="J296"/>
  <c r="B115"/>
  <c r="H107"/>
  <c r="H198"/>
  <c r="G26" i="19"/>
  <c r="D162" i="18"/>
  <c r="D346"/>
  <c r="B288"/>
  <c r="F298"/>
  <c r="L350"/>
  <c r="D255"/>
  <c r="J501"/>
  <c r="B340"/>
  <c r="J506"/>
  <c r="F315"/>
  <c r="D26" i="19"/>
  <c r="F338" i="18"/>
  <c r="H172"/>
  <c r="E10" i="19"/>
  <c r="B113" i="18"/>
  <c r="D128"/>
  <c r="B138"/>
  <c r="F98"/>
  <c r="D190"/>
  <c r="F116"/>
  <c r="B106"/>
  <c r="D73"/>
  <c r="F87"/>
  <c r="F78"/>
  <c r="B86"/>
  <c r="H81"/>
  <c r="H78"/>
  <c r="B85"/>
  <c r="S85"/>
  <c r="H88"/>
  <c r="F75"/>
  <c r="B72"/>
  <c r="S86"/>
  <c r="H70"/>
  <c r="S82"/>
  <c r="B70"/>
  <c r="D85"/>
  <c r="S72"/>
  <c r="S81"/>
  <c r="B82"/>
  <c r="S70"/>
  <c r="B77"/>
  <c r="F83"/>
  <c r="H71"/>
  <c r="B80"/>
  <c r="D88"/>
  <c r="S80"/>
  <c r="H72"/>
  <c r="B71"/>
  <c r="D82"/>
  <c r="H77"/>
  <c r="D76"/>
  <c r="D78"/>
  <c r="S75"/>
  <c r="B81"/>
  <c r="B75"/>
  <c r="S52"/>
  <c r="S51"/>
  <c r="D45"/>
  <c r="J51"/>
  <c r="L51"/>
  <c r="S56"/>
  <c r="H40"/>
  <c r="D42"/>
  <c r="D53"/>
  <c r="D52"/>
  <c r="J40"/>
  <c r="L45"/>
  <c r="S48"/>
  <c r="S45"/>
  <c r="B56"/>
  <c r="H52"/>
  <c r="B48"/>
  <c r="L53"/>
  <c r="L42"/>
  <c r="J42"/>
  <c r="B53"/>
  <c r="J45"/>
  <c r="B47"/>
  <c r="H48"/>
  <c r="D41"/>
  <c r="D56"/>
  <c r="H42"/>
  <c r="S42"/>
  <c r="J53"/>
  <c r="F48"/>
  <c r="L47"/>
  <c r="F51"/>
  <c r="B51"/>
  <c r="B45"/>
  <c r="S58"/>
  <c r="L56"/>
  <c r="L57"/>
  <c r="J43"/>
  <c r="S40"/>
  <c r="F50"/>
  <c r="B52"/>
  <c r="S43"/>
  <c r="F42"/>
  <c r="B58"/>
  <c r="H45"/>
  <c r="L46"/>
  <c r="D47"/>
  <c r="F45"/>
  <c r="F55"/>
  <c r="L58"/>
  <c r="S47"/>
  <c r="J58"/>
  <c r="D40"/>
  <c r="D46"/>
  <c r="H41"/>
  <c r="B43"/>
  <c r="L27"/>
  <c r="D20"/>
  <c r="D27"/>
  <c r="S27"/>
  <c r="D17"/>
  <c r="F23"/>
  <c r="S15"/>
  <c r="B25"/>
  <c r="J20"/>
  <c r="L11"/>
  <c r="S23"/>
  <c r="B13"/>
  <c r="N17"/>
  <c r="L10"/>
  <c r="S13"/>
  <c r="J16"/>
  <c r="B16"/>
  <c r="S16"/>
  <c r="H18"/>
  <c r="F12"/>
  <c r="H12"/>
  <c r="D23"/>
  <c r="N15"/>
  <c r="N20"/>
  <c r="J26"/>
  <c r="F27"/>
  <c r="L22"/>
  <c r="B17"/>
  <c r="B11"/>
  <c r="L25"/>
  <c r="F15"/>
  <c r="J27"/>
  <c r="D26"/>
  <c r="S10"/>
  <c r="H17"/>
  <c r="H15"/>
  <c r="S20"/>
  <c r="J21"/>
  <c r="S25"/>
  <c r="L23"/>
  <c r="F20"/>
  <c r="N23"/>
  <c r="J13"/>
  <c r="B15"/>
  <c r="H21"/>
  <c r="L21"/>
  <c r="D12"/>
  <c r="B12"/>
  <c r="N21"/>
  <c r="F10"/>
  <c r="L13"/>
  <c r="J10"/>
  <c r="H26"/>
  <c r="N16"/>
  <c r="N18"/>
  <c r="N28"/>
  <c r="J25"/>
  <c r="D13"/>
  <c r="J23"/>
  <c r="F13"/>
  <c r="H27"/>
  <c r="F26"/>
  <c r="H25"/>
  <c r="F73"/>
  <c r="D77"/>
  <c r="F81"/>
  <c r="S76"/>
  <c r="D71"/>
  <c r="F70"/>
  <c r="F88"/>
  <c r="B76"/>
  <c r="S78"/>
  <c r="H87"/>
  <c r="F76"/>
  <c r="S71"/>
  <c r="D86"/>
  <c r="F86"/>
  <c r="H75"/>
  <c r="B83"/>
  <c r="H80"/>
  <c r="H76"/>
  <c r="H85"/>
  <c r="H82"/>
  <c r="F85"/>
  <c r="D83"/>
  <c r="D75"/>
  <c r="S87"/>
  <c r="B87"/>
  <c r="F80"/>
  <c r="D80"/>
  <c r="D87"/>
  <c r="D72"/>
  <c r="B78"/>
  <c r="F72"/>
  <c r="F40"/>
  <c r="H43"/>
  <c r="J52"/>
  <c r="J48"/>
  <c r="H50"/>
  <c r="B41"/>
  <c r="F41"/>
  <c r="D50"/>
  <c r="F57"/>
  <c r="J57"/>
  <c r="H57"/>
  <c r="F56"/>
  <c r="J47"/>
  <c r="L50"/>
  <c r="F47"/>
  <c r="H47"/>
  <c r="B55"/>
  <c r="L48"/>
  <c r="F46"/>
  <c r="S53"/>
  <c r="L52"/>
  <c r="L41"/>
  <c r="H51"/>
  <c r="B40"/>
  <c r="H55"/>
  <c r="D43"/>
  <c r="L40"/>
  <c r="F52"/>
  <c r="S41"/>
  <c r="J56"/>
  <c r="F53"/>
  <c r="D55"/>
  <c r="B57"/>
  <c r="B42"/>
  <c r="H53"/>
  <c r="J41"/>
  <c r="D58"/>
  <c r="F43"/>
  <c r="J46"/>
  <c r="L55"/>
  <c r="H56"/>
  <c r="B46"/>
  <c r="S46"/>
  <c r="H46"/>
  <c r="J55"/>
  <c r="S55"/>
  <c r="S50"/>
  <c r="D57"/>
  <c r="S57"/>
  <c r="L43"/>
  <c r="D51"/>
  <c r="H58"/>
  <c r="D48"/>
  <c r="J50"/>
  <c r="F58"/>
  <c r="B50"/>
  <c r="B27"/>
  <c r="L26"/>
  <c r="H28"/>
  <c r="H23"/>
  <c r="L16"/>
  <c r="D22"/>
  <c r="H11"/>
  <c r="B26"/>
  <c r="F25"/>
  <c r="D11"/>
  <c r="S18"/>
  <c r="L12"/>
  <c r="N27"/>
  <c r="S26"/>
  <c r="S17"/>
  <c r="L15"/>
  <c r="S21"/>
  <c r="L20"/>
  <c r="J22"/>
  <c r="F22"/>
  <c r="N25"/>
  <c r="S28"/>
  <c r="D28"/>
  <c r="B21"/>
  <c r="B23"/>
  <c r="D15"/>
  <c r="H22"/>
  <c r="D18"/>
  <c r="N12"/>
  <c r="H13"/>
  <c r="N22"/>
  <c r="B18"/>
  <c r="F28"/>
  <c r="L17"/>
  <c r="H20"/>
  <c r="D21"/>
  <c r="N10"/>
  <c r="N11"/>
  <c r="S22"/>
  <c r="L28"/>
  <c r="J11"/>
  <c r="J15"/>
  <c r="S12"/>
  <c r="N26"/>
  <c r="B20"/>
  <c r="F17"/>
  <c r="D25"/>
  <c r="S11"/>
  <c r="N13"/>
  <c r="J18"/>
  <c r="L18"/>
  <c r="H16"/>
  <c r="D16"/>
  <c r="F18"/>
  <c r="B22"/>
  <c r="B10"/>
  <c r="D10"/>
  <c r="F11"/>
  <c r="B28"/>
  <c r="H10"/>
  <c r="F16"/>
  <c r="J28"/>
  <c r="F21"/>
  <c r="J12"/>
  <c r="J17"/>
  <c r="AJ105" i="21"/>
  <c r="AJ16"/>
  <c r="AH126"/>
  <c r="AF117"/>
  <c r="AJ88"/>
  <c r="AI60"/>
  <c r="AH51"/>
  <c r="AF42"/>
  <c r="AJ107"/>
  <c r="AJ18"/>
  <c r="AI9"/>
  <c r="AF119"/>
  <c r="AJ92"/>
  <c r="AI62"/>
  <c r="AH53"/>
  <c r="AJ101"/>
  <c r="AJ12"/>
  <c r="AH122"/>
  <c r="AF113"/>
  <c r="AJ80"/>
  <c r="AI56"/>
  <c r="AH47"/>
  <c r="AF38"/>
  <c r="AJ103"/>
  <c r="AJ14"/>
  <c r="AH124"/>
  <c r="AF115"/>
  <c r="AJ84"/>
  <c r="AI58"/>
  <c r="AH49"/>
  <c r="AF40"/>
  <c r="V72"/>
  <c r="AJ97"/>
  <c r="AI127"/>
  <c r="AH118"/>
  <c r="AF109"/>
  <c r="AJ72"/>
  <c r="AI52"/>
  <c r="AH43"/>
  <c r="AF34"/>
  <c r="AJ99"/>
  <c r="AJ10"/>
  <c r="AH120"/>
  <c r="AF111"/>
  <c r="AJ76"/>
  <c r="AI54"/>
  <c r="AH45"/>
  <c r="AJ93"/>
  <c r="AI123"/>
  <c r="AH114"/>
  <c r="AF105"/>
  <c r="AJ64"/>
  <c r="AI48"/>
  <c r="AH39"/>
  <c r="AF30"/>
  <c r="AJ95"/>
  <c r="AI125"/>
  <c r="AH116"/>
  <c r="AF107"/>
  <c r="AJ68"/>
  <c r="AI50"/>
  <c r="AH41"/>
  <c r="AJ121"/>
  <c r="AJ32"/>
  <c r="AI23"/>
  <c r="AH14"/>
  <c r="AJ120"/>
  <c r="AI76"/>
  <c r="AH67"/>
  <c r="AF58"/>
  <c r="AJ123"/>
  <c r="AJ34"/>
  <c r="AI25"/>
  <c r="AH16"/>
  <c r="AJ124"/>
  <c r="AI78"/>
  <c r="AH69"/>
  <c r="AJ117"/>
  <c r="AJ28"/>
  <c r="AI19"/>
  <c r="AH10"/>
  <c r="AJ112"/>
  <c r="AI72"/>
  <c r="AH63"/>
  <c r="AF54"/>
  <c r="AJ119"/>
  <c r="AJ30"/>
  <c r="AI21"/>
  <c r="AH12"/>
  <c r="AJ116"/>
  <c r="AI74"/>
  <c r="AH65"/>
  <c r="AF56"/>
  <c r="AF20"/>
  <c r="AJ113"/>
  <c r="AJ24"/>
  <c r="AI15"/>
  <c r="AF125"/>
  <c r="AJ104"/>
  <c r="AI68"/>
  <c r="AH59"/>
  <c r="AF50"/>
  <c r="AJ115"/>
  <c r="AJ26"/>
  <c r="AI17"/>
  <c r="AF127"/>
  <c r="AJ108"/>
  <c r="AI70"/>
  <c r="AH61"/>
  <c r="AJ109"/>
  <c r="AJ20"/>
  <c r="AI11"/>
  <c r="AF121"/>
  <c r="AJ96"/>
  <c r="AI64"/>
  <c r="AH55"/>
  <c r="AF46"/>
  <c r="AJ111"/>
  <c r="AJ22"/>
  <c r="AI13"/>
  <c r="AF123"/>
  <c r="AJ100"/>
  <c r="AI66"/>
  <c r="AH57"/>
  <c r="AF48"/>
  <c r="AC78"/>
  <c r="AA126"/>
  <c r="AB113"/>
  <c r="U10"/>
  <c r="AJ48"/>
  <c r="AI39"/>
  <c r="AH30"/>
  <c r="AF21"/>
  <c r="AI92"/>
  <c r="AH83"/>
  <c r="AF74"/>
  <c r="U12"/>
  <c r="AJ50"/>
  <c r="AI41"/>
  <c r="AH32"/>
  <c r="AF23"/>
  <c r="AI94"/>
  <c r="AH85"/>
  <c r="U13"/>
  <c r="AJ44"/>
  <c r="AI35"/>
  <c r="AH26"/>
  <c r="AF17"/>
  <c r="AI88"/>
  <c r="AH79"/>
  <c r="AF70"/>
  <c r="V15"/>
  <c r="AJ46"/>
  <c r="AI37"/>
  <c r="AH28"/>
  <c r="AF19"/>
  <c r="AI90"/>
  <c r="AH81"/>
  <c r="AF72"/>
  <c r="AF52"/>
  <c r="U11"/>
  <c r="AJ40"/>
  <c r="AI31"/>
  <c r="AH22"/>
  <c r="AF13"/>
  <c r="AI84"/>
  <c r="AH75"/>
  <c r="AF66"/>
  <c r="U9"/>
  <c r="AJ42"/>
  <c r="AI33"/>
  <c r="AH24"/>
  <c r="AF15"/>
  <c r="AI86"/>
  <c r="AH77"/>
  <c r="AJ125"/>
  <c r="AJ36"/>
  <c r="AI27"/>
  <c r="AH18"/>
  <c r="AF9"/>
  <c r="AI80"/>
  <c r="AH71"/>
  <c r="AF62"/>
  <c r="AJ127"/>
  <c r="AJ38"/>
  <c r="AI29"/>
  <c r="AH20"/>
  <c r="AF11"/>
  <c r="AI82"/>
  <c r="AH73"/>
  <c r="V13"/>
  <c r="AJ78"/>
  <c r="AI55"/>
  <c r="AH46"/>
  <c r="AF37"/>
  <c r="AI108"/>
  <c r="AH99"/>
  <c r="AF90"/>
  <c r="V14"/>
  <c r="AJ82"/>
  <c r="AI57"/>
  <c r="AH48"/>
  <c r="AF39"/>
  <c r="AI110"/>
  <c r="AH101"/>
  <c r="V11"/>
  <c r="AJ70"/>
  <c r="AI51"/>
  <c r="AH42"/>
  <c r="AF33"/>
  <c r="AI104"/>
  <c r="AH95"/>
  <c r="AF86"/>
  <c r="V12"/>
  <c r="AJ74"/>
  <c r="AI53"/>
  <c r="AH44"/>
  <c r="AF35"/>
  <c r="AI106"/>
  <c r="AH97"/>
  <c r="AF88"/>
  <c r="AF84"/>
  <c r="V9"/>
  <c r="AJ62"/>
  <c r="AI47"/>
  <c r="AH38"/>
  <c r="AF29"/>
  <c r="AI100"/>
  <c r="AH91"/>
  <c r="AF82"/>
  <c r="V10"/>
  <c r="AJ66"/>
  <c r="AI49"/>
  <c r="AH40"/>
  <c r="AF31"/>
  <c r="AI102"/>
  <c r="AH93"/>
  <c r="AJ77"/>
  <c r="AH98"/>
  <c r="AJ41"/>
  <c r="AH23"/>
  <c r="AJ79"/>
  <c r="AH100"/>
  <c r="AJ43"/>
  <c r="AH25"/>
  <c r="AA124"/>
  <c r="AG111"/>
  <c r="AE102"/>
  <c r="AD91"/>
  <c r="Z82"/>
  <c r="U115"/>
  <c r="AE123"/>
  <c r="U113"/>
  <c r="AJ110"/>
  <c r="AI71"/>
  <c r="AH62"/>
  <c r="AF53"/>
  <c r="AI124"/>
  <c r="AH115"/>
  <c r="AF106"/>
  <c r="AD127"/>
  <c r="AJ114"/>
  <c r="AI73"/>
  <c r="AH64"/>
  <c r="AF55"/>
  <c r="AI126"/>
  <c r="AH117"/>
  <c r="AF108"/>
  <c r="AJ102"/>
  <c r="AI67"/>
  <c r="AH58"/>
  <c r="AF49"/>
  <c r="AI120"/>
  <c r="AH111"/>
  <c r="AF102"/>
  <c r="AB127"/>
  <c r="AJ106"/>
  <c r="AI69"/>
  <c r="AH60"/>
  <c r="AF51"/>
  <c r="AI122"/>
  <c r="AH113"/>
  <c r="AF104"/>
  <c r="V127"/>
  <c r="Z120"/>
  <c r="AJ94"/>
  <c r="AI63"/>
  <c r="AH54"/>
  <c r="AF45"/>
  <c r="AI116"/>
  <c r="AH107"/>
  <c r="AF98"/>
  <c r="Z127"/>
  <c r="AJ98"/>
  <c r="AI65"/>
  <c r="AH56"/>
  <c r="AF47"/>
  <c r="AI118"/>
  <c r="AH109"/>
  <c r="AF100"/>
  <c r="AJ86"/>
  <c r="AI59"/>
  <c r="AH50"/>
  <c r="AF41"/>
  <c r="AI112"/>
  <c r="AH103"/>
  <c r="AF94"/>
  <c r="X127"/>
  <c r="AJ90"/>
  <c r="AI61"/>
  <c r="AH52"/>
  <c r="AF43"/>
  <c r="AI114"/>
  <c r="AH105"/>
  <c r="AF96"/>
  <c r="AJ57"/>
  <c r="AI87"/>
  <c r="AH78"/>
  <c r="AF69"/>
  <c r="AJ21"/>
  <c r="AI12"/>
  <c r="AF122"/>
  <c r="AG72"/>
  <c r="AJ59"/>
  <c r="AI89"/>
  <c r="AH80"/>
  <c r="AF71"/>
  <c r="AJ23"/>
  <c r="AI14"/>
  <c r="AF124"/>
  <c r="AJ53"/>
  <c r="AI83"/>
  <c r="AH74"/>
  <c r="AF65"/>
  <c r="AJ17"/>
  <c r="AH127"/>
  <c r="AF118"/>
  <c r="AB72"/>
  <c r="AJ55"/>
  <c r="AI85"/>
  <c r="AH76"/>
  <c r="AF67"/>
  <c r="AJ19"/>
  <c r="AI10"/>
  <c r="AF120"/>
  <c r="AD72"/>
  <c r="AD121"/>
  <c r="AJ126"/>
  <c r="AI79"/>
  <c r="AH70"/>
  <c r="AF61"/>
  <c r="AJ13"/>
  <c r="AH123"/>
  <c r="AF114"/>
  <c r="X72"/>
  <c r="AJ51"/>
  <c r="AI81"/>
  <c r="AH72"/>
  <c r="AF63"/>
  <c r="AJ15"/>
  <c r="AH125"/>
  <c r="AF116"/>
  <c r="AJ118"/>
  <c r="AI75"/>
  <c r="AH66"/>
  <c r="AF57"/>
  <c r="AJ9"/>
  <c r="AH119"/>
  <c r="AF110"/>
  <c r="AK127"/>
  <c r="AJ122"/>
  <c r="AI77"/>
  <c r="AH68"/>
  <c r="AF59"/>
  <c r="AJ11"/>
  <c r="AH121"/>
  <c r="AF112"/>
  <c r="AC127"/>
  <c r="AD120"/>
  <c r="AG118"/>
  <c r="AG109"/>
  <c r="AJ73"/>
  <c r="AI103"/>
  <c r="AH94"/>
  <c r="AF85"/>
  <c r="AJ37"/>
  <c r="AI28"/>
  <c r="AH19"/>
  <c r="AF10"/>
  <c r="AJ75"/>
  <c r="AI105"/>
  <c r="AH96"/>
  <c r="AF87"/>
  <c r="AJ39"/>
  <c r="AI30"/>
  <c r="AH21"/>
  <c r="AJ69"/>
  <c r="AI99"/>
  <c r="AH90"/>
  <c r="AF81"/>
  <c r="AJ33"/>
  <c r="AI24"/>
  <c r="AH15"/>
  <c r="AE78"/>
  <c r="AJ71"/>
  <c r="AI101"/>
  <c r="AH92"/>
  <c r="AF83"/>
  <c r="AJ35"/>
  <c r="AI26"/>
  <c r="AH17"/>
  <c r="AK78"/>
  <c r="AD123"/>
  <c r="AJ65"/>
  <c r="AI95"/>
  <c r="AH86"/>
  <c r="AF77"/>
  <c r="AJ29"/>
  <c r="AI20"/>
  <c r="AH11"/>
  <c r="AA78"/>
  <c r="AJ67"/>
  <c r="AI97"/>
  <c r="AH88"/>
  <c r="AF79"/>
  <c r="AJ31"/>
  <c r="AI22"/>
  <c r="AH13"/>
  <c r="AJ61"/>
  <c r="AI91"/>
  <c r="AH82"/>
  <c r="AF73"/>
  <c r="AJ25"/>
  <c r="AI16"/>
  <c r="AF126"/>
  <c r="W78"/>
  <c r="AJ63"/>
  <c r="AI93"/>
  <c r="AH84"/>
  <c r="AF75"/>
  <c r="AJ27"/>
  <c r="AI18"/>
  <c r="AH9"/>
  <c r="AJ89"/>
  <c r="AI119"/>
  <c r="AH110"/>
  <c r="AF101"/>
  <c r="AJ56"/>
  <c r="AI44"/>
  <c r="AH35"/>
  <c r="AF26"/>
  <c r="AJ91"/>
  <c r="AI121"/>
  <c r="AH112"/>
  <c r="AF103"/>
  <c r="AJ60"/>
  <c r="AI46"/>
  <c r="AH37"/>
  <c r="AJ85"/>
  <c r="AI115"/>
  <c r="AH106"/>
  <c r="AF97"/>
  <c r="AJ49"/>
  <c r="AI40"/>
  <c r="AH31"/>
  <c r="AF22"/>
  <c r="AJ87"/>
  <c r="AI117"/>
  <c r="AH108"/>
  <c r="AF99"/>
  <c r="AJ52"/>
  <c r="AI42"/>
  <c r="AH33"/>
  <c r="AF24"/>
  <c r="AD125"/>
  <c r="AJ81"/>
  <c r="AI111"/>
  <c r="AH102"/>
  <c r="AF93"/>
  <c r="AJ45"/>
  <c r="AI36"/>
  <c r="AH27"/>
  <c r="AF18"/>
  <c r="AJ83"/>
  <c r="AI113"/>
  <c r="AH104"/>
  <c r="AF95"/>
  <c r="AJ47"/>
  <c r="AI38"/>
  <c r="AH29"/>
  <c r="AI107"/>
  <c r="AF89"/>
  <c r="AI32"/>
  <c r="AF14"/>
  <c r="AI109"/>
  <c r="AF91"/>
  <c r="AI34"/>
  <c r="AF16"/>
  <c r="AG126"/>
  <c r="X106"/>
  <c r="Z99"/>
  <c r="AG86"/>
  <c r="X78"/>
  <c r="Z94"/>
  <c r="U118"/>
  <c r="U109"/>
  <c r="U102"/>
  <c r="W91"/>
  <c r="AA81"/>
  <c r="U98"/>
  <c r="AB125"/>
  <c r="U91"/>
  <c r="Z71"/>
  <c r="Y74"/>
  <c r="AF92"/>
  <c r="AK119"/>
  <c r="V110"/>
  <c r="U103"/>
  <c r="AK91"/>
  <c r="AG82"/>
  <c r="Y115"/>
  <c r="Z124"/>
  <c r="W113"/>
  <c r="AE105"/>
  <c r="U99"/>
  <c r="AC85"/>
  <c r="AD126"/>
  <c r="X93"/>
  <c r="AB71"/>
  <c r="AC75"/>
  <c r="W62"/>
  <c r="AE52"/>
  <c r="AE49"/>
  <c r="AA44"/>
  <c r="W36"/>
  <c r="Y25"/>
  <c r="U16"/>
  <c r="V87"/>
  <c r="AA98"/>
  <c r="AC76"/>
  <c r="AA60"/>
  <c r="Y42"/>
  <c r="X118"/>
  <c r="X109"/>
  <c r="X102"/>
  <c r="Z91"/>
  <c r="V82"/>
  <c r="AD109"/>
  <c r="AB122"/>
  <c r="Y112"/>
  <c r="V105"/>
  <c r="U96"/>
  <c r="W85"/>
  <c r="U124"/>
  <c r="X90"/>
  <c r="V71"/>
  <c r="AC73"/>
  <c r="AF76"/>
  <c r="Z118"/>
  <c r="Z109"/>
  <c r="AC102"/>
  <c r="AB91"/>
  <c r="X82"/>
  <c r="AA122"/>
  <c r="AG110"/>
  <c r="AD103"/>
  <c r="Z92"/>
  <c r="Z83"/>
  <c r="X117"/>
  <c r="AE125"/>
  <c r="AC113"/>
  <c r="Y106"/>
  <c r="AA99"/>
  <c r="W87"/>
  <c r="AB78"/>
  <c r="AB94"/>
  <c r="AD73"/>
  <c r="AC77"/>
  <c r="AC63"/>
  <c r="AB120"/>
  <c r="V111"/>
  <c r="AK103"/>
  <c r="AB92"/>
  <c r="AG83"/>
  <c r="U119"/>
  <c r="Z126"/>
  <c r="AE113"/>
  <c r="AA106"/>
  <c r="AC99"/>
  <c r="Y87"/>
  <c r="U79"/>
  <c r="X95"/>
  <c r="AK73"/>
  <c r="AC79"/>
  <c r="AE63"/>
  <c r="AA53"/>
  <c r="AC50"/>
  <c r="AJ54"/>
  <c r="AH34"/>
  <c r="AI96"/>
  <c r="AF78"/>
  <c r="AJ58"/>
  <c r="AH36"/>
  <c r="AI98"/>
  <c r="AF80"/>
  <c r="AF32"/>
  <c r="AG107"/>
  <c r="U101"/>
  <c r="Z89"/>
  <c r="Z80"/>
  <c r="Z98"/>
  <c r="AA120"/>
  <c r="U111"/>
  <c r="AE103"/>
  <c r="AA92"/>
  <c r="AA83"/>
  <c r="Z117"/>
  <c r="X86"/>
  <c r="Z69"/>
  <c r="Y69"/>
  <c r="AF28"/>
  <c r="X116"/>
  <c r="V108"/>
  <c r="W101"/>
  <c r="AB89"/>
  <c r="AG80"/>
  <c r="AD98"/>
  <c r="AC120"/>
  <c r="W111"/>
  <c r="U104"/>
  <c r="AC92"/>
  <c r="U84"/>
  <c r="W119"/>
  <c r="AB86"/>
  <c r="AG69"/>
  <c r="U70"/>
  <c r="AE59"/>
  <c r="AA50"/>
  <c r="AA48"/>
  <c r="W43"/>
  <c r="X33"/>
  <c r="U23"/>
  <c r="AG14"/>
  <c r="U126"/>
  <c r="Y95"/>
  <c r="Y73"/>
  <c r="Z56"/>
  <c r="U40"/>
  <c r="AG114"/>
  <c r="X107"/>
  <c r="AC100"/>
  <c r="AG88"/>
  <c r="V80"/>
  <c r="Z97"/>
  <c r="W120"/>
  <c r="Y110"/>
  <c r="X103"/>
  <c r="W92"/>
  <c r="W83"/>
  <c r="AE116"/>
  <c r="AE83"/>
  <c r="V69"/>
  <c r="Y68"/>
  <c r="AF12"/>
  <c r="AK115"/>
  <c r="Z107"/>
  <c r="AE100"/>
  <c r="X89"/>
  <c r="AF64"/>
  <c r="AK117"/>
  <c r="AG108"/>
  <c r="AK101"/>
  <c r="AG90"/>
  <c r="Z81"/>
  <c r="AA105"/>
  <c r="AE121"/>
  <c r="U112"/>
  <c r="AD104"/>
  <c r="U94"/>
  <c r="AA84"/>
  <c r="AB121"/>
  <c r="AC88"/>
  <c r="Z70"/>
  <c r="Y71"/>
  <c r="AF60"/>
  <c r="V118"/>
  <c r="V109"/>
  <c r="V102"/>
  <c r="X91"/>
  <c r="AG81"/>
  <c r="AD107"/>
  <c r="Z122"/>
  <c r="W112"/>
  <c r="AK104"/>
  <c r="U95"/>
  <c r="U85"/>
  <c r="AD122"/>
  <c r="AK88"/>
  <c r="AG70"/>
  <c r="AC71"/>
  <c r="AA61"/>
  <c r="W51"/>
  <c r="W49"/>
  <c r="AE43"/>
  <c r="AG34"/>
  <c r="AC23"/>
  <c r="AD9"/>
  <c r="AD78"/>
  <c r="AE96"/>
  <c r="U75"/>
  <c r="AE58"/>
  <c r="AC40"/>
  <c r="Z116"/>
  <c r="X108"/>
  <c r="Y101"/>
  <c r="AD89"/>
  <c r="V81"/>
  <c r="AA101"/>
  <c r="AE120"/>
  <c r="Y111"/>
  <c r="W104"/>
  <c r="AE92"/>
  <c r="W84"/>
  <c r="AA119"/>
  <c r="U87"/>
  <c r="AE36"/>
  <c r="AC17"/>
  <c r="AG104"/>
  <c r="W61"/>
  <c r="V120"/>
  <c r="W103"/>
  <c r="V83"/>
  <c r="AB124"/>
  <c r="U106"/>
  <c r="AE85"/>
  <c r="AB93"/>
  <c r="V70"/>
  <c r="Y70"/>
  <c r="AF44"/>
  <c r="AG116"/>
  <c r="Z108"/>
  <c r="AD101"/>
  <c r="AK89"/>
  <c r="X81"/>
  <c r="AA103"/>
  <c r="U121"/>
  <c r="AA111"/>
  <c r="Y104"/>
  <c r="U93"/>
  <c r="Y84"/>
  <c r="W121"/>
  <c r="Y88"/>
  <c r="X70"/>
  <c r="U71"/>
  <c r="W60"/>
  <c r="U57"/>
  <c r="AD93"/>
  <c r="AA108"/>
  <c r="U90"/>
  <c r="AA104"/>
  <c r="X67"/>
  <c r="W57"/>
  <c r="AE41"/>
  <c r="AC22"/>
  <c r="AB123"/>
  <c r="AC105"/>
  <c r="AA85"/>
  <c r="AG106"/>
  <c r="AD77"/>
  <c r="Z67"/>
  <c r="U66"/>
  <c r="W126"/>
  <c r="AD113"/>
  <c r="Z106"/>
  <c r="AB99"/>
  <c r="X87"/>
  <c r="AG78"/>
  <c r="AD94"/>
  <c r="W118"/>
  <c r="W109"/>
  <c r="W102"/>
  <c r="Y91"/>
  <c r="U82"/>
  <c r="AD108"/>
  <c r="AK77"/>
  <c r="AG67"/>
  <c r="W66"/>
  <c r="AA57"/>
  <c r="AC57"/>
  <c r="W47"/>
  <c r="AE39"/>
  <c r="U30"/>
  <c r="AC21"/>
  <c r="V122"/>
  <c r="AG117"/>
  <c r="AA90"/>
  <c r="AD67"/>
  <c r="V54"/>
  <c r="AD35"/>
  <c r="X113"/>
  <c r="AK105"/>
  <c r="V99"/>
  <c r="AD85"/>
  <c r="U72"/>
  <c r="Z93"/>
  <c r="AA116"/>
  <c r="Y108"/>
  <c r="AC101"/>
  <c r="AE89"/>
  <c r="W81"/>
  <c r="AA102"/>
  <c r="Z76"/>
  <c r="V67"/>
  <c r="Y65"/>
  <c r="AG124"/>
  <c r="Z113"/>
  <c r="V106"/>
  <c r="X99"/>
  <c r="AK85"/>
  <c r="Y78"/>
  <c r="X114"/>
  <c r="AK106"/>
  <c r="V100"/>
  <c r="AD87"/>
  <c r="Z79"/>
  <c r="Z96"/>
  <c r="AE119"/>
  <c r="U110"/>
  <c r="AK102"/>
  <c r="AE91"/>
  <c r="AA82"/>
  <c r="W115"/>
  <c r="AE81"/>
  <c r="Z68"/>
  <c r="Y67"/>
  <c r="U78"/>
  <c r="Z114"/>
  <c r="V107"/>
  <c r="X100"/>
  <c r="AK87"/>
  <c r="AG79"/>
  <c r="AD96"/>
  <c r="U120"/>
  <c r="W110"/>
  <c r="V103"/>
  <c r="U92"/>
  <c r="U83"/>
  <c r="AA115"/>
  <c r="AE82"/>
  <c r="AG68"/>
  <c r="U68"/>
  <c r="W58"/>
  <c r="U60"/>
  <c r="U14"/>
  <c r="AI43"/>
  <c r="AF25"/>
  <c r="AH87"/>
  <c r="U15"/>
  <c r="AI45"/>
  <c r="AF27"/>
  <c r="AH89"/>
  <c r="AF68"/>
  <c r="V116"/>
  <c r="AC104"/>
  <c r="AG93"/>
  <c r="Z84"/>
  <c r="Z121"/>
  <c r="W127"/>
  <c r="Y114"/>
  <c r="U107"/>
  <c r="W100"/>
  <c r="AE87"/>
  <c r="AA79"/>
  <c r="AB96"/>
  <c r="Z74"/>
  <c r="AG85"/>
  <c r="Y64"/>
  <c r="W122"/>
  <c r="V112"/>
  <c r="AE104"/>
  <c r="AG94"/>
  <c r="AG84"/>
  <c r="AG121"/>
  <c r="AA127"/>
  <c r="AA114"/>
  <c r="W107"/>
  <c r="Y100"/>
  <c r="U88"/>
  <c r="U80"/>
  <c r="X97"/>
  <c r="AG74"/>
  <c r="AD86"/>
  <c r="AA64"/>
  <c r="W55"/>
  <c r="U53"/>
  <c r="AE45"/>
  <c r="AA37"/>
  <c r="AC27"/>
  <c r="Y18"/>
  <c r="AK108"/>
  <c r="AC110"/>
  <c r="AD83"/>
  <c r="AE62"/>
  <c r="AD51"/>
  <c r="AA28"/>
  <c r="X111"/>
  <c r="V104"/>
  <c r="AD92"/>
  <c r="V84"/>
  <c r="Y119"/>
  <c r="AB126"/>
  <c r="U114"/>
  <c r="AC106"/>
  <c r="AE99"/>
  <c r="AA87"/>
  <c r="W79"/>
  <c r="AB95"/>
  <c r="V74"/>
  <c r="AC81"/>
  <c r="U64"/>
  <c r="AK120"/>
  <c r="Z111"/>
  <c r="X104"/>
  <c r="AK92"/>
  <c r="X84"/>
  <c r="AF36"/>
  <c r="AG112"/>
  <c r="Y105"/>
  <c r="AG97"/>
  <c r="Z85"/>
  <c r="Z125"/>
  <c r="AD90"/>
  <c r="W116"/>
  <c r="U108"/>
  <c r="V101"/>
  <c r="AA89"/>
  <c r="AA80"/>
  <c r="AB98"/>
  <c r="V76"/>
  <c r="Z66"/>
  <c r="U65"/>
  <c r="W124"/>
  <c r="V113"/>
  <c r="AD105"/>
  <c r="AG98"/>
  <c r="AB85"/>
  <c r="AG125"/>
  <c r="AG92"/>
  <c r="Y116"/>
  <c r="W108"/>
  <c r="X101"/>
  <c r="AC89"/>
  <c r="U81"/>
  <c r="AA100"/>
  <c r="X76"/>
  <c r="AG66"/>
  <c r="W65"/>
  <c r="AE56"/>
  <c r="Y55"/>
  <c r="AA46"/>
  <c r="W39"/>
  <c r="Y29"/>
  <c r="U20"/>
  <c r="AC116"/>
  <c r="AK114"/>
  <c r="AG87"/>
  <c r="AG64"/>
  <c r="Z52"/>
  <c r="AD31"/>
  <c r="X112"/>
  <c r="U105"/>
  <c r="AG95"/>
  <c r="V85"/>
  <c r="AA123"/>
  <c r="AE127"/>
  <c r="AE115"/>
  <c r="Y107"/>
  <c r="AD100"/>
  <c r="W89"/>
  <c r="W80"/>
  <c r="AB97"/>
  <c r="W45"/>
  <c r="U27"/>
  <c r="AK98"/>
  <c r="Y77"/>
  <c r="AG44"/>
  <c r="X110"/>
  <c r="V92"/>
  <c r="AG115"/>
  <c r="Y113"/>
  <c r="W99"/>
  <c r="Y72"/>
  <c r="AD75"/>
  <c r="AA88"/>
  <c r="AC64"/>
  <c r="AG122"/>
  <c r="Z112"/>
  <c r="W105"/>
  <c r="AG96"/>
  <c r="X85"/>
  <c r="AE124"/>
  <c r="Z72"/>
  <c r="U116"/>
  <c r="AA107"/>
  <c r="AK100"/>
  <c r="Y89"/>
  <c r="Y80"/>
  <c r="X98"/>
  <c r="AK75"/>
  <c r="AG89"/>
  <c r="AE64"/>
  <c r="AA55"/>
  <c r="AC72"/>
  <c r="AE117"/>
  <c r="AE101"/>
  <c r="Y81"/>
  <c r="AG76"/>
  <c r="AA65"/>
  <c r="W48"/>
  <c r="AA32"/>
  <c r="AK126"/>
  <c r="AA94"/>
  <c r="V56"/>
  <c r="AE24"/>
  <c r="W71"/>
  <c r="X60"/>
  <c r="AK50"/>
  <c r="AB45"/>
  <c r="X37"/>
  <c r="Z27"/>
  <c r="V18"/>
  <c r="AB104"/>
  <c r="AE108"/>
  <c r="AD80"/>
  <c r="AB62"/>
  <c r="AG49"/>
  <c r="X28"/>
  <c r="AD16"/>
  <c r="AB18"/>
  <c r="AK34"/>
  <c r="AE13"/>
  <c r="AK41"/>
  <c r="AB16"/>
  <c r="Y34"/>
  <c r="U50"/>
  <c r="AC44"/>
  <c r="Y36"/>
  <c r="AA25"/>
  <c r="W16"/>
  <c r="V91"/>
  <c r="AE98"/>
  <c r="AE76"/>
  <c r="AC60"/>
  <c r="AA42"/>
  <c r="Y26"/>
  <c r="AE73"/>
  <c r="AD61"/>
  <c r="Z51"/>
  <c r="V46"/>
  <c r="AD37"/>
  <c r="AG28"/>
  <c r="AG18"/>
  <c r="AK111"/>
  <c r="AE111"/>
  <c r="Y86"/>
  <c r="V63"/>
  <c r="U52"/>
  <c r="AD28"/>
  <c r="X17"/>
  <c r="AB14"/>
  <c r="AK42"/>
  <c r="AC12"/>
  <c r="Z62"/>
  <c r="W14"/>
  <c r="AK39"/>
  <c r="AE48"/>
  <c r="U34"/>
  <c r="AG10"/>
  <c r="W96"/>
  <c r="AA58"/>
  <c r="W26"/>
  <c r="AE71"/>
  <c r="AB61"/>
  <c r="X51"/>
  <c r="AK45"/>
  <c r="AB37"/>
  <c r="AD27"/>
  <c r="Z18"/>
  <c r="AK109"/>
  <c r="AE110"/>
  <c r="AD84"/>
  <c r="AK62"/>
  <c r="AE51"/>
  <c r="AB28"/>
  <c r="V17"/>
  <c r="AD14"/>
  <c r="AK38"/>
  <c r="W13"/>
  <c r="Z58"/>
  <c r="AA14"/>
  <c r="AC35"/>
  <c r="Y50"/>
  <c r="U45"/>
  <c r="AC36"/>
  <c r="AE25"/>
  <c r="AA16"/>
  <c r="AK96"/>
  <c r="AG102"/>
  <c r="W77"/>
  <c r="U61"/>
  <c r="AE42"/>
  <c r="AC26"/>
  <c r="AA74"/>
  <c r="V62"/>
  <c r="AD52"/>
  <c r="Z46"/>
  <c r="V39"/>
  <c r="X29"/>
  <c r="AK19"/>
  <c r="AD115"/>
  <c r="AE114"/>
  <c r="AK86"/>
  <c r="AG63"/>
  <c r="Y52"/>
  <c r="AE30"/>
  <c r="AG17"/>
  <c r="X14"/>
  <c r="Z59"/>
  <c r="AE11"/>
  <c r="AB68"/>
  <c r="Y13"/>
  <c r="AB55"/>
  <c r="AC11"/>
  <c r="AK28"/>
  <c r="U127"/>
  <c r="AE106"/>
  <c r="AC87"/>
  <c r="X96"/>
  <c r="AC83"/>
  <c r="AE54"/>
  <c r="AA39"/>
  <c r="Y20"/>
  <c r="U117"/>
  <c r="AC66"/>
  <c r="AD33"/>
  <c r="AC84"/>
  <c r="X64"/>
  <c r="AK54"/>
  <c r="AB47"/>
  <c r="X41"/>
  <c r="U31"/>
  <c r="V22"/>
  <c r="V124"/>
  <c r="Z119"/>
  <c r="W93"/>
  <c r="AC69"/>
  <c r="AA54"/>
  <c r="V38"/>
  <c r="AD20"/>
  <c r="AD12"/>
  <c r="V88"/>
  <c r="X15"/>
  <c r="AK33"/>
  <c r="AA10"/>
  <c r="AK25"/>
  <c r="AC56"/>
  <c r="AC46"/>
  <c r="Y39"/>
  <c r="AA29"/>
  <c r="W20"/>
  <c r="AD117"/>
  <c r="X115"/>
  <c r="Z88"/>
  <c r="AD65"/>
  <c r="AG52"/>
  <c r="AD32"/>
  <c r="AE88"/>
  <c r="AD64"/>
  <c r="Z55"/>
  <c r="V48"/>
  <c r="AD41"/>
  <c r="X32"/>
  <c r="AB22"/>
  <c r="Y126"/>
  <c r="Z123"/>
  <c r="Y94"/>
  <c r="AG71"/>
  <c r="U56"/>
  <c r="AB38"/>
  <c r="X21"/>
  <c r="X12"/>
  <c r="Z103"/>
  <c r="AA17"/>
  <c r="AB56"/>
  <c r="Z15"/>
  <c r="W33"/>
  <c r="Y58"/>
  <c r="W41"/>
  <c r="U22"/>
  <c r="X119"/>
  <c r="AE68"/>
  <c r="U38"/>
  <c r="W88"/>
  <c r="AB64"/>
  <c r="X55"/>
  <c r="AK47"/>
  <c r="AB41"/>
  <c r="AG31"/>
  <c r="Z22"/>
  <c r="AC125"/>
  <c r="AE122"/>
  <c r="AE93"/>
  <c r="AD70"/>
  <c r="AE55"/>
  <c r="Z38"/>
  <c r="V21"/>
  <c r="Z12"/>
  <c r="Z100"/>
  <c r="W17"/>
  <c r="AK40"/>
  <c r="AD15"/>
  <c r="AK31"/>
  <c r="Y57"/>
  <c r="U47"/>
  <c r="AC39"/>
  <c r="AE29"/>
  <c r="AA20"/>
  <c r="X121"/>
  <c r="Y117"/>
  <c r="W90"/>
  <c r="AE66"/>
  <c r="AK53"/>
  <c r="AD34"/>
  <c r="W19"/>
  <c r="V65"/>
  <c r="AD56"/>
  <c r="Z48"/>
  <c r="AE47"/>
  <c r="AB31"/>
  <c r="X125"/>
  <c r="AC93"/>
  <c r="AD55"/>
  <c r="AK113"/>
  <c r="AD99"/>
  <c r="V79"/>
  <c r="Y118"/>
  <c r="Y102"/>
  <c r="W82"/>
  <c r="AE79"/>
  <c r="V68"/>
  <c r="Y66"/>
  <c r="Y127"/>
  <c r="V114"/>
  <c r="AD106"/>
  <c r="AK99"/>
  <c r="AB87"/>
  <c r="X79"/>
  <c r="AD95"/>
  <c r="AA118"/>
  <c r="AA109"/>
  <c r="AD102"/>
  <c r="AC91"/>
  <c r="Y82"/>
  <c r="AD112"/>
  <c r="AE80"/>
  <c r="X68"/>
  <c r="U67"/>
  <c r="AE57"/>
  <c r="AA49"/>
  <c r="U123"/>
  <c r="X105"/>
  <c r="Y85"/>
  <c r="AB90"/>
  <c r="U74"/>
  <c r="AC61"/>
  <c r="W37"/>
  <c r="U18"/>
  <c r="AC108"/>
  <c r="AA62"/>
  <c r="W28"/>
  <c r="AA76"/>
  <c r="AB63"/>
  <c r="X53"/>
  <c r="AK46"/>
  <c r="AB39"/>
  <c r="AD29"/>
  <c r="Z20"/>
  <c r="AD119"/>
  <c r="W117"/>
  <c r="U89"/>
  <c r="AD66"/>
  <c r="AE53"/>
  <c r="AE33"/>
  <c r="V19"/>
  <c r="AB13"/>
  <c r="AK68"/>
  <c r="AC10"/>
  <c r="V98"/>
  <c r="W12"/>
  <c r="AB67"/>
  <c r="Y53"/>
  <c r="U46"/>
  <c r="AC37"/>
  <c r="AE27"/>
  <c r="AA18"/>
  <c r="AK110"/>
  <c r="AC111"/>
  <c r="W86"/>
  <c r="U63"/>
  <c r="AK51"/>
  <c r="AC28"/>
  <c r="AC82"/>
  <c r="V64"/>
  <c r="AD54"/>
  <c r="Z47"/>
  <c r="V41"/>
  <c r="AB30"/>
  <c r="AK21"/>
  <c r="X123"/>
  <c r="V119"/>
  <c r="AK90"/>
  <c r="AD68"/>
  <c r="Y54"/>
  <c r="AG37"/>
  <c r="AG19"/>
  <c r="AK12"/>
  <c r="AB82"/>
  <c r="AB15"/>
  <c r="Z32"/>
  <c r="AE10"/>
  <c r="V94"/>
  <c r="AC54"/>
  <c r="AE37"/>
  <c r="AC19"/>
  <c r="AC112"/>
  <c r="W63"/>
  <c r="AE28"/>
  <c r="AC80"/>
  <c r="AK63"/>
  <c r="AG53"/>
  <c r="X47"/>
  <c r="AG40"/>
  <c r="X30"/>
  <c r="AD21"/>
  <c r="Y122"/>
  <c r="AE118"/>
  <c r="AC90"/>
  <c r="AE67"/>
  <c r="W54"/>
  <c r="AE35"/>
  <c r="Z19"/>
  <c r="X13"/>
  <c r="AB76"/>
  <c r="AG9"/>
  <c r="W31"/>
  <c r="Y11"/>
  <c r="AB81"/>
  <c r="U55"/>
  <c r="Y46"/>
  <c r="U39"/>
  <c r="W29"/>
  <c r="AE19"/>
  <c r="AB115"/>
  <c r="AG113"/>
  <c r="AE86"/>
  <c r="Y63"/>
  <c r="X52"/>
  <c r="AD30"/>
  <c r="Z86"/>
  <c r="Z64"/>
  <c r="V55"/>
  <c r="AD47"/>
  <c r="Z41"/>
  <c r="AA31"/>
  <c r="X22"/>
  <c r="AK124"/>
  <c r="AA121"/>
  <c r="AA93"/>
  <c r="AE69"/>
  <c r="AC55"/>
  <c r="X38"/>
  <c r="AK20"/>
  <c r="AB12"/>
  <c r="V95"/>
  <c r="AE16"/>
  <c r="W35"/>
  <c r="W10"/>
  <c r="Z30"/>
  <c r="V32"/>
  <c r="V35"/>
  <c r="AD97"/>
  <c r="AA110"/>
  <c r="Y92"/>
  <c r="V117"/>
  <c r="X69"/>
  <c r="AA59"/>
  <c r="W44"/>
  <c r="U25"/>
  <c r="AK81"/>
  <c r="Y75"/>
  <c r="U42"/>
  <c r="AC20"/>
  <c r="AG65"/>
  <c r="X57"/>
  <c r="AK48"/>
  <c r="AB43"/>
  <c r="X34"/>
  <c r="Z23"/>
  <c r="AK15"/>
  <c r="AE72"/>
  <c r="Y96"/>
  <c r="AD74"/>
  <c r="AB58"/>
  <c r="Z40"/>
  <c r="X24"/>
  <c r="X11"/>
  <c r="AD114"/>
  <c r="AB83"/>
  <c r="Z102"/>
  <c r="U19"/>
  <c r="AK67"/>
  <c r="Y60"/>
  <c r="U48"/>
  <c r="AC41"/>
  <c r="U32"/>
  <c r="AA22"/>
  <c r="V126"/>
  <c r="W123"/>
  <c r="W94"/>
  <c r="AE70"/>
  <c r="AK55"/>
  <c r="AA38"/>
  <c r="W21"/>
  <c r="AA66"/>
  <c r="AD57"/>
  <c r="Z49"/>
  <c r="V44"/>
  <c r="AA35"/>
  <c r="AG24"/>
  <c r="AA15"/>
  <c r="AK80"/>
  <c r="AA97"/>
  <c r="X75"/>
  <c r="V59"/>
  <c r="AG41"/>
  <c r="AD24"/>
  <c r="AB10"/>
  <c r="AD118"/>
  <c r="Z101"/>
  <c r="AC30"/>
  <c r="W53"/>
  <c r="AC25"/>
  <c r="U77"/>
  <c r="U21"/>
  <c r="AB57"/>
  <c r="AK43"/>
  <c r="AD23"/>
  <c r="AB77"/>
  <c r="V75"/>
  <c r="AD40"/>
  <c r="AD10"/>
  <c r="V96"/>
  <c r="V30"/>
  <c r="U62"/>
  <c r="U43"/>
  <c r="AE22"/>
  <c r="AD124"/>
  <c r="W73"/>
  <c r="AE38"/>
  <c r="AA67"/>
  <c r="AD49"/>
  <c r="AD39"/>
  <c r="AK29"/>
  <c r="AC121"/>
  <c r="AG75"/>
  <c r="AE34"/>
  <c r="AK121"/>
  <c r="W11"/>
  <c r="AA12"/>
  <c r="W50"/>
  <c r="Y16"/>
  <c r="AE60"/>
  <c r="AE75"/>
  <c r="AK52"/>
  <c r="X39"/>
  <c r="V20"/>
  <c r="V115"/>
  <c r="AC65"/>
  <c r="AE31"/>
  <c r="AK13"/>
  <c r="AA11"/>
  <c r="AE12"/>
  <c r="AC52"/>
  <c r="Y37"/>
  <c r="W18"/>
  <c r="AC109"/>
  <c r="AC62"/>
  <c r="Y28"/>
  <c r="AD63"/>
  <c r="V47"/>
  <c r="Z37"/>
  <c r="AB27"/>
  <c r="X18"/>
  <c r="AK107"/>
  <c r="AE109"/>
  <c r="AD82"/>
  <c r="AD62"/>
  <c r="AC51"/>
  <c r="Z28"/>
  <c r="AK16"/>
  <c r="AK14"/>
  <c r="Z35"/>
  <c r="AA13"/>
  <c r="U17"/>
  <c r="X25"/>
  <c r="AK84"/>
  <c r="Y90"/>
  <c r="AG59"/>
  <c r="V26"/>
  <c r="Z13"/>
  <c r="W30"/>
  <c r="AB53"/>
  <c r="U73"/>
  <c r="AC38"/>
  <c r="Z90"/>
  <c r="AK64"/>
  <c r="AG55"/>
  <c r="X48"/>
  <c r="AG42"/>
  <c r="AB32"/>
  <c r="AD22"/>
  <c r="AB17"/>
  <c r="AG123"/>
  <c r="AC94"/>
  <c r="V73"/>
  <c r="W56"/>
  <c r="AD38"/>
  <c r="Z21"/>
  <c r="AK11"/>
  <c r="Z105"/>
  <c r="AE18"/>
  <c r="AK65"/>
  <c r="AC16"/>
  <c r="Z34"/>
  <c r="U58"/>
  <c r="Y47"/>
  <c r="U41"/>
  <c r="AA30"/>
  <c r="AE21"/>
  <c r="AK122"/>
  <c r="AK118"/>
  <c r="AE90"/>
  <c r="AC68"/>
  <c r="X54"/>
  <c r="AG36"/>
  <c r="AA19"/>
  <c r="Z65"/>
  <c r="V57"/>
  <c r="AD48"/>
  <c r="Z43"/>
  <c r="AG33"/>
  <c r="X23"/>
  <c r="AG11"/>
  <c r="W72"/>
  <c r="AE95"/>
  <c r="AG73"/>
  <c r="AG57"/>
  <c r="X40"/>
  <c r="V24"/>
  <c r="Z11"/>
  <c r="AB112"/>
  <c r="AB79"/>
  <c r="V93"/>
  <c r="AC18"/>
  <c r="Z61"/>
  <c r="AE50"/>
  <c r="AA43"/>
  <c r="Y23"/>
  <c r="AA72"/>
  <c r="AC74"/>
  <c r="Y40"/>
  <c r="Y19"/>
  <c r="X65"/>
  <c r="AK56"/>
  <c r="AB48"/>
  <c r="X43"/>
  <c r="AA33"/>
  <c r="V23"/>
  <c r="AG13"/>
  <c r="AE126"/>
  <c r="AA95"/>
  <c r="Z73"/>
  <c r="AA56"/>
  <c r="V40"/>
  <c r="AG23"/>
  <c r="AB11"/>
  <c r="AB110"/>
  <c r="AB73"/>
  <c r="AB80"/>
  <c r="Y17"/>
  <c r="AB52"/>
  <c r="AC59"/>
  <c r="AC47"/>
  <c r="Y41"/>
  <c r="X31"/>
  <c r="W22"/>
  <c r="Y124"/>
  <c r="AG120"/>
  <c r="Y93"/>
  <c r="AD69"/>
  <c r="AG54"/>
  <c r="W38"/>
  <c r="AE20"/>
  <c r="V66"/>
  <c r="Z57"/>
  <c r="V49"/>
  <c r="AD43"/>
  <c r="AB34"/>
  <c r="AB23"/>
  <c r="AE15"/>
  <c r="Z78"/>
  <c r="AC96"/>
  <c r="AK74"/>
  <c r="AD58"/>
  <c r="AB40"/>
  <c r="Z24"/>
  <c r="AK10"/>
  <c r="AB116"/>
  <c r="V90"/>
  <c r="AB107"/>
  <c r="AK26"/>
  <c r="AB74"/>
  <c r="AK23"/>
  <c r="AB70"/>
  <c r="AG119"/>
  <c r="W114"/>
  <c r="U100"/>
  <c r="Y79"/>
  <c r="X74"/>
  <c r="W64"/>
  <c r="AE46"/>
  <c r="AC29"/>
  <c r="AB119"/>
  <c r="AD88"/>
  <c r="AD53"/>
  <c r="W24"/>
  <c r="W69"/>
  <c r="AB59"/>
  <c r="X50"/>
  <c r="AK44"/>
  <c r="AB36"/>
  <c r="AD25"/>
  <c r="Z16"/>
  <c r="AK95"/>
  <c r="AG101"/>
  <c r="V77"/>
  <c r="AK60"/>
  <c r="AD42"/>
  <c r="AB26"/>
  <c r="AC9"/>
  <c r="X124"/>
  <c r="W32"/>
  <c r="X126"/>
  <c r="V34"/>
  <c r="AC119"/>
  <c r="AC31"/>
  <c r="Y49"/>
  <c r="U44"/>
  <c r="X35"/>
  <c r="AE23"/>
  <c r="AB9"/>
  <c r="AK79"/>
  <c r="Y97"/>
  <c r="W75"/>
  <c r="U59"/>
  <c r="AE40"/>
  <c r="AC24"/>
  <c r="AA70"/>
  <c r="V60"/>
  <c r="AD50"/>
  <c r="Z45"/>
  <c r="V37"/>
  <c r="X27"/>
  <c r="AK17"/>
  <c r="AB102"/>
  <c r="AE107"/>
  <c r="AG77"/>
  <c r="AG61"/>
  <c r="AG47"/>
  <c r="V28"/>
  <c r="W9"/>
  <c r="AC126"/>
  <c r="W34"/>
  <c r="Y14"/>
  <c r="AK37"/>
  <c r="Y125"/>
  <c r="AC33"/>
  <c r="AA47"/>
  <c r="AG30"/>
  <c r="AC123"/>
  <c r="AG91"/>
  <c r="Z54"/>
  <c r="AA24"/>
  <c r="W70"/>
  <c r="AK59"/>
  <c r="AB50"/>
  <c r="X45"/>
  <c r="AK36"/>
  <c r="V27"/>
  <c r="AD17"/>
  <c r="AB100"/>
  <c r="AG105"/>
  <c r="Z77"/>
  <c r="X61"/>
  <c r="AG45"/>
  <c r="AG27"/>
  <c r="Y9"/>
  <c r="AK125"/>
  <c r="Z33"/>
  <c r="AC14"/>
  <c r="Y35"/>
  <c r="AK123"/>
  <c r="V33"/>
  <c r="AC49"/>
  <c r="Y44"/>
  <c r="U36"/>
  <c r="W25"/>
  <c r="X9"/>
  <c r="AK83"/>
  <c r="W98"/>
  <c r="AA75"/>
  <c r="Y59"/>
  <c r="W42"/>
  <c r="U26"/>
  <c r="AA71"/>
  <c r="AG60"/>
  <c r="V51"/>
  <c r="AD45"/>
  <c r="AA41"/>
  <c r="Y22"/>
  <c r="U122"/>
  <c r="AC70"/>
  <c r="Y38"/>
  <c r="AB106"/>
  <c r="Z87"/>
  <c r="Z95"/>
  <c r="Y109"/>
  <c r="AA91"/>
  <c r="AD110"/>
  <c r="AD71"/>
  <c r="U76"/>
  <c r="Y62"/>
  <c r="X120"/>
  <c r="Z110"/>
  <c r="Y103"/>
  <c r="X92"/>
  <c r="X83"/>
  <c r="AK116"/>
  <c r="U125"/>
  <c r="AA113"/>
  <c r="W106"/>
  <c r="Y99"/>
  <c r="U86"/>
  <c r="AK72"/>
  <c r="X94"/>
  <c r="AK71"/>
  <c r="Y76"/>
  <c r="AA63"/>
  <c r="AA51"/>
  <c r="AD111"/>
  <c r="AA112"/>
  <c r="U97"/>
  <c r="W125"/>
  <c r="X71"/>
  <c r="AE61"/>
  <c r="AA45"/>
  <c r="Y27"/>
  <c r="AB103"/>
  <c r="AD79"/>
  <c r="AG48"/>
  <c r="Y21"/>
  <c r="W67"/>
  <c r="AK57"/>
  <c r="AB49"/>
  <c r="X44"/>
  <c r="AG35"/>
  <c r="V25"/>
  <c r="Y15"/>
  <c r="AK82"/>
  <c r="AE97"/>
  <c r="Z75"/>
  <c r="X59"/>
  <c r="V42"/>
  <c r="AG25"/>
  <c r="Z10"/>
  <c r="V121"/>
  <c r="AK27"/>
  <c r="AB118"/>
  <c r="Y31"/>
  <c r="Z104"/>
  <c r="AK24"/>
  <c r="AC48"/>
  <c r="Y43"/>
  <c r="AB33"/>
  <c r="W23"/>
  <c r="AG12"/>
  <c r="AG127"/>
  <c r="AC95"/>
  <c r="AA73"/>
  <c r="AG56"/>
  <c r="W40"/>
  <c r="U24"/>
  <c r="AA68"/>
  <c r="AG58"/>
  <c r="V50"/>
  <c r="AD44"/>
  <c r="Z36"/>
  <c r="AB25"/>
  <c r="X16"/>
  <c r="AK93"/>
  <c r="AG99"/>
  <c r="AK76"/>
  <c r="AD60"/>
  <c r="AB42"/>
  <c r="Z26"/>
  <c r="AE9"/>
  <c r="Y123"/>
  <c r="Z31"/>
  <c r="AC124"/>
  <c r="Y33"/>
  <c r="AD116"/>
  <c r="V31"/>
  <c r="W46"/>
  <c r="U29"/>
  <c r="AK112"/>
  <c r="AA86"/>
  <c r="V52"/>
  <c r="AG22"/>
  <c r="W68"/>
  <c r="X58"/>
  <c r="AK49"/>
  <c r="AB44"/>
  <c r="X36"/>
  <c r="Z25"/>
  <c r="V16"/>
  <c r="V89"/>
  <c r="AC98"/>
  <c r="AD76"/>
  <c r="AB60"/>
  <c r="Z42"/>
  <c r="X26"/>
  <c r="AK9"/>
  <c r="AC122"/>
  <c r="AK30"/>
  <c r="V123"/>
  <c r="AC32"/>
  <c r="AB114"/>
  <c r="Y30"/>
  <c r="U49"/>
  <c r="AC43"/>
  <c r="AA34"/>
  <c r="AA23"/>
  <c r="AG15"/>
  <c r="V78"/>
  <c r="AA96"/>
  <c r="AE74"/>
  <c r="AC58"/>
  <c r="AA40"/>
  <c r="Y24"/>
  <c r="AA69"/>
  <c r="AD59"/>
  <c r="Z50"/>
  <c r="V45"/>
  <c r="AD36"/>
  <c r="AG26"/>
  <c r="AG16"/>
  <c r="AK97"/>
  <c r="AG103"/>
  <c r="X77"/>
  <c r="V61"/>
  <c r="AG43"/>
  <c r="AD26"/>
  <c r="AA9"/>
  <c r="V125"/>
  <c r="AK32"/>
  <c r="AB20"/>
  <c r="AC34"/>
  <c r="X122"/>
  <c r="Y32"/>
  <c r="AB109"/>
  <c r="X80"/>
  <c r="Y120"/>
  <c r="AC103"/>
  <c r="Y83"/>
  <c r="AE84"/>
  <c r="U69"/>
  <c r="Y51"/>
  <c r="AB35"/>
  <c r="Z9"/>
  <c r="AC97"/>
  <c r="W59"/>
  <c r="AA26"/>
  <c r="W74"/>
  <c r="AK61"/>
  <c r="AG51"/>
  <c r="X46"/>
  <c r="AG38"/>
  <c r="V29"/>
  <c r="AD19"/>
  <c r="AC114"/>
  <c r="AE112"/>
  <c r="AC86"/>
  <c r="X63"/>
  <c r="W52"/>
  <c r="AG29"/>
  <c r="Z17"/>
  <c r="Z14"/>
  <c r="AB54"/>
  <c r="Y12"/>
  <c r="AB66"/>
  <c r="AC13"/>
  <c r="AB51"/>
  <c r="U51"/>
  <c r="Y45"/>
  <c r="U37"/>
  <c r="W27"/>
  <c r="AE17"/>
  <c r="AB101"/>
  <c r="AC107"/>
  <c r="AA77"/>
  <c r="Y61"/>
  <c r="AG46"/>
  <c r="U28"/>
  <c r="W76"/>
  <c r="AG62"/>
  <c r="V53"/>
  <c r="AD46"/>
  <c r="Z39"/>
  <c r="AB29"/>
  <c r="X20"/>
  <c r="AC118"/>
  <c r="Z115"/>
  <c r="AB88"/>
  <c r="AE65"/>
  <c r="AC53"/>
  <c r="AE32"/>
  <c r="AK18"/>
  <c r="AD13"/>
  <c r="AK66"/>
  <c r="AC115"/>
  <c r="V97"/>
  <c r="AE44"/>
  <c r="AK94"/>
  <c r="AC42"/>
  <c r="X66"/>
  <c r="X49"/>
  <c r="U35"/>
  <c r="AC15"/>
  <c r="W97"/>
  <c r="AK58"/>
  <c r="AB24"/>
  <c r="AC117"/>
  <c r="AB111"/>
  <c r="AB84"/>
  <c r="Y48"/>
  <c r="AG32"/>
  <c r="AB19"/>
  <c r="AE94"/>
  <c r="X56"/>
  <c r="AA21"/>
  <c r="V58"/>
  <c r="Z44"/>
  <c r="V36"/>
  <c r="AG20"/>
  <c r="AA117"/>
  <c r="U54"/>
  <c r="X19"/>
  <c r="Y10"/>
  <c r="V86"/>
  <c r="AB65"/>
  <c r="AA36"/>
  <c r="AG100"/>
  <c r="AE26"/>
  <c r="X62"/>
  <c r="AB46"/>
  <c r="Z29"/>
  <c r="AB117"/>
  <c r="X88"/>
  <c r="AA52"/>
  <c r="AD18"/>
  <c r="Z63"/>
  <c r="AB75"/>
  <c r="Z60"/>
  <c r="AC45"/>
  <c r="AA27"/>
  <c r="AB105"/>
  <c r="AD81"/>
  <c r="AG50"/>
  <c r="AE77"/>
  <c r="Z53"/>
  <c r="V43"/>
  <c r="U33"/>
  <c r="AK22"/>
  <c r="AB21"/>
  <c r="AA125"/>
  <c r="W95"/>
  <c r="X73"/>
  <c r="Y56"/>
  <c r="AG39"/>
  <c r="AG21"/>
  <c r="AD11"/>
  <c r="AB108"/>
  <c r="AB69"/>
  <c r="AK69"/>
  <c r="AK35"/>
  <c r="W15"/>
  <c r="Y98"/>
  <c r="AC67"/>
  <c r="X42"/>
  <c r="X10"/>
  <c r="AK70"/>
  <c r="Y121"/>
  <c r="AE14"/>
  <c r="G287" i="18" l="1"/>
  <c r="C106"/>
  <c r="C266"/>
  <c r="G116"/>
  <c r="I170"/>
  <c r="E190"/>
  <c r="E165"/>
  <c r="G113"/>
  <c r="C138"/>
  <c r="K133"/>
  <c r="C113"/>
  <c r="G110"/>
  <c r="I172"/>
  <c r="I101"/>
  <c r="E170"/>
  <c r="G315"/>
  <c r="I260"/>
  <c r="K506"/>
  <c r="M340"/>
  <c r="C340"/>
  <c r="I257"/>
  <c r="K501"/>
  <c r="E255"/>
  <c r="E507"/>
  <c r="M350"/>
  <c r="K317"/>
  <c r="G298"/>
  <c r="I102"/>
  <c r="C288"/>
  <c r="E111"/>
  <c r="E346"/>
  <c r="I143"/>
  <c r="E162"/>
  <c r="C135"/>
  <c r="I198"/>
  <c r="M410"/>
  <c r="I107"/>
  <c r="G201"/>
  <c r="C115"/>
  <c r="E373"/>
  <c r="K296"/>
  <c r="M413"/>
  <c r="E371"/>
  <c r="C380"/>
  <c r="K468"/>
  <c r="M117"/>
  <c r="E502"/>
  <c r="E138"/>
  <c r="E206"/>
  <c r="G260"/>
  <c r="E323"/>
  <c r="C316"/>
  <c r="I135"/>
  <c r="C298"/>
  <c r="K197"/>
  <c r="K418"/>
  <c r="O383"/>
  <c r="G322"/>
  <c r="K195"/>
  <c r="O381"/>
  <c r="C292"/>
  <c r="G198"/>
  <c r="G141"/>
  <c r="E318"/>
  <c r="E105"/>
  <c r="K178"/>
  <c r="I162"/>
  <c r="I136"/>
  <c r="G100"/>
  <c r="K101"/>
  <c r="K198"/>
  <c r="C321"/>
  <c r="I408"/>
  <c r="G255"/>
  <c r="E286"/>
  <c r="G148"/>
  <c r="K100"/>
  <c r="C148"/>
  <c r="C202"/>
  <c r="E291"/>
  <c r="I145"/>
  <c r="K208"/>
  <c r="C201"/>
  <c r="C401"/>
  <c r="O498"/>
  <c r="I283"/>
  <c r="C198"/>
  <c r="E417"/>
  <c r="O496"/>
  <c r="I178"/>
  <c r="K373"/>
  <c r="C230"/>
  <c r="E298"/>
  <c r="K175"/>
  <c r="I175"/>
  <c r="G143"/>
  <c r="E253"/>
  <c r="I103"/>
  <c r="K503"/>
  <c r="G133"/>
  <c r="E413"/>
  <c r="O325"/>
  <c r="K147"/>
  <c r="C110"/>
  <c r="G347"/>
  <c r="K297"/>
  <c r="E260"/>
  <c r="E493"/>
  <c r="M355"/>
  <c r="K322"/>
  <c r="C295"/>
  <c r="M310"/>
  <c r="K496"/>
  <c r="E353"/>
  <c r="I111"/>
  <c r="I132"/>
  <c r="K135"/>
  <c r="I263"/>
  <c r="I207"/>
  <c r="E281"/>
  <c r="I328"/>
  <c r="E495"/>
  <c r="E161"/>
  <c r="G378"/>
  <c r="I446"/>
  <c r="E177"/>
  <c r="G376"/>
  <c r="C447"/>
  <c r="K556"/>
  <c r="I436"/>
  <c r="I353"/>
  <c r="C350"/>
  <c r="K148"/>
  <c r="E140"/>
  <c r="G177"/>
  <c r="E107"/>
  <c r="K141"/>
  <c r="K168"/>
  <c r="E297"/>
  <c r="M286"/>
  <c r="C376"/>
  <c r="I133"/>
  <c r="C416"/>
  <c r="G311"/>
  <c r="O355"/>
  <c r="O447"/>
  <c r="C413"/>
  <c r="I417"/>
  <c r="C196"/>
  <c r="O493"/>
  <c r="E202"/>
  <c r="C293"/>
  <c r="G190"/>
  <c r="E147"/>
  <c r="E257"/>
  <c r="E491"/>
  <c r="M352"/>
  <c r="K192"/>
  <c r="O378"/>
  <c r="G317"/>
  <c r="K261"/>
  <c r="G310"/>
  <c r="E143"/>
  <c r="E106"/>
  <c r="G102"/>
  <c r="E145"/>
  <c r="K162"/>
  <c r="C235"/>
  <c r="K172"/>
  <c r="I281"/>
  <c r="K112"/>
  <c r="E117"/>
  <c r="K176"/>
  <c r="G342"/>
  <c r="I413"/>
  <c r="C347"/>
  <c r="M297"/>
  <c r="K236"/>
  <c r="I411"/>
  <c r="C345"/>
  <c r="M295"/>
  <c r="G237"/>
  <c r="K326"/>
  <c r="O320"/>
  <c r="G225"/>
  <c r="E406"/>
  <c r="C136"/>
  <c r="E167"/>
  <c r="C133"/>
  <c r="I286"/>
  <c r="C490"/>
  <c r="E171"/>
  <c r="E372"/>
  <c r="E443"/>
  <c r="K257"/>
  <c r="E168"/>
  <c r="E370"/>
  <c r="M443"/>
  <c r="I536"/>
  <c r="C387"/>
  <c r="E433"/>
  <c r="G252"/>
  <c r="G491"/>
  <c r="K288"/>
  <c r="M406"/>
  <c r="M105"/>
  <c r="M113"/>
  <c r="E595"/>
  <c r="M135"/>
  <c r="M590"/>
  <c r="I231"/>
  <c r="I25"/>
  <c r="M228"/>
  <c r="E588"/>
  <c r="E587"/>
  <c r="G597"/>
  <c r="G565"/>
  <c r="M588"/>
  <c r="Q87"/>
  <c r="I87"/>
  <c r="M416"/>
  <c r="M133"/>
  <c r="C287"/>
  <c r="K490"/>
  <c r="M296"/>
  <c r="I206"/>
  <c r="M417"/>
  <c r="E405"/>
  <c r="G256"/>
  <c r="G492"/>
  <c r="O351"/>
  <c r="C257"/>
  <c r="C495"/>
  <c r="M377"/>
  <c r="I316"/>
  <c r="C281"/>
  <c r="E267"/>
  <c r="C112"/>
  <c r="K310"/>
  <c r="G145"/>
  <c r="I388"/>
  <c r="E383"/>
  <c r="I287"/>
  <c r="O402"/>
  <c r="M148"/>
  <c r="E381"/>
  <c r="I285"/>
  <c r="O400"/>
  <c r="M143"/>
  <c r="E282"/>
  <c r="M506"/>
  <c r="M263"/>
  <c r="K345"/>
  <c r="C193"/>
  <c r="E412"/>
  <c r="O491"/>
  <c r="C75"/>
  <c r="K12"/>
  <c r="K17"/>
  <c r="M167"/>
  <c r="E566"/>
  <c r="M190"/>
  <c r="M561"/>
  <c r="C531"/>
  <c r="K535"/>
  <c r="M521"/>
  <c r="M536"/>
  <c r="O340"/>
  <c r="C507"/>
  <c r="K402"/>
  <c r="M196"/>
  <c r="K405"/>
  <c r="E142"/>
  <c r="E258"/>
  <c r="I108"/>
  <c r="E176"/>
  <c r="K142"/>
  <c r="G115"/>
  <c r="G250"/>
  <c r="K377"/>
  <c r="E312"/>
  <c r="M358"/>
  <c r="G442"/>
  <c r="K375"/>
  <c r="E310"/>
  <c r="M356"/>
  <c r="O442"/>
  <c r="C327"/>
  <c r="O380"/>
  <c r="G432"/>
  <c r="G370"/>
  <c r="C101"/>
  <c r="K410"/>
  <c r="E131"/>
  <c r="G191"/>
  <c r="C501"/>
  <c r="I357"/>
  <c r="M166"/>
  <c r="E56"/>
  <c r="C498"/>
  <c r="I355"/>
  <c r="M161"/>
  <c r="E43"/>
  <c r="E352"/>
  <c r="M282"/>
  <c r="E18"/>
  <c r="K417"/>
  <c r="C290"/>
  <c r="K492"/>
  <c r="M298"/>
  <c r="G72"/>
  <c r="I531"/>
  <c r="M595"/>
  <c r="C527"/>
  <c r="O448"/>
  <c r="I466"/>
  <c r="I447"/>
  <c r="C568"/>
  <c r="M555"/>
  <c r="E586"/>
  <c r="O532"/>
  <c r="K568"/>
  <c r="G560"/>
  <c r="K502"/>
  <c r="M315"/>
  <c r="O596"/>
  <c r="G505"/>
  <c r="M345"/>
  <c r="K498"/>
  <c r="E438"/>
  <c r="K351"/>
  <c r="E321"/>
  <c r="I196"/>
  <c r="K416"/>
  <c r="M407"/>
  <c r="E195"/>
  <c r="G413"/>
  <c r="M492"/>
  <c r="K280"/>
  <c r="I201"/>
  <c r="K282"/>
  <c r="C192"/>
  <c r="G292"/>
  <c r="K146"/>
  <c r="I313"/>
  <c r="C353"/>
  <c r="K267"/>
  <c r="I507"/>
  <c r="M322"/>
  <c r="G350"/>
  <c r="K268"/>
  <c r="I508"/>
  <c r="M320"/>
  <c r="I265"/>
  <c r="I495"/>
  <c r="M341"/>
  <c r="C346"/>
  <c r="C315"/>
  <c r="M318"/>
  <c r="M442"/>
  <c r="G195"/>
  <c r="I415"/>
  <c r="O406"/>
  <c r="C318"/>
  <c r="C265"/>
  <c r="C358"/>
  <c r="E193"/>
  <c r="K292"/>
  <c r="K107"/>
  <c r="C100"/>
  <c r="E113"/>
  <c r="O440"/>
  <c r="I148"/>
  <c r="K116"/>
  <c r="E351"/>
  <c r="C297"/>
  <c r="K500"/>
  <c r="M312"/>
  <c r="G340"/>
  <c r="G328"/>
  <c r="I448"/>
  <c r="M381"/>
  <c r="I387"/>
  <c r="E118"/>
  <c r="G132"/>
  <c r="K191"/>
  <c r="C130"/>
  <c r="G382"/>
  <c r="K376"/>
  <c r="G228"/>
  <c r="E178"/>
  <c r="G373"/>
  <c r="K447"/>
  <c r="G175"/>
  <c r="E201"/>
  <c r="E175"/>
  <c r="E100"/>
  <c r="E103"/>
  <c r="C406"/>
  <c r="K207"/>
  <c r="C506"/>
  <c r="G377"/>
  <c r="O385"/>
  <c r="E388"/>
  <c r="G208"/>
  <c r="E408"/>
  <c r="C142"/>
  <c r="I137"/>
  <c r="E208"/>
  <c r="C381"/>
  <c r="I297"/>
  <c r="O412"/>
  <c r="M173"/>
  <c r="C378"/>
  <c r="I295"/>
  <c r="O410"/>
  <c r="M168"/>
  <c r="E292"/>
  <c r="O495"/>
  <c r="M281"/>
  <c r="K355"/>
  <c r="G348"/>
  <c r="E386"/>
  <c r="I140"/>
  <c r="E112"/>
  <c r="I160"/>
  <c r="G172"/>
  <c r="E403"/>
  <c r="K321"/>
  <c r="O315"/>
  <c r="K226"/>
  <c r="E401"/>
  <c r="K318"/>
  <c r="O312"/>
  <c r="G227"/>
  <c r="G316"/>
  <c r="M343"/>
  <c r="M446"/>
  <c r="C418"/>
  <c r="E252"/>
  <c r="E508"/>
  <c r="M347"/>
  <c r="M538"/>
  <c r="E475"/>
  <c r="C532"/>
  <c r="E460"/>
  <c r="M437"/>
  <c r="C81"/>
  <c r="G436"/>
  <c r="C78"/>
  <c r="M556"/>
  <c r="I523"/>
  <c r="C566"/>
  <c r="M476"/>
  <c r="G557"/>
  <c r="K525"/>
  <c r="E496"/>
  <c r="M357"/>
  <c r="E533"/>
  <c r="I410"/>
  <c r="O401"/>
  <c r="C403"/>
  <c r="O342"/>
  <c r="E317"/>
  <c r="G285"/>
  <c r="K160"/>
  <c r="C417"/>
  <c r="K235"/>
  <c r="I176"/>
  <c r="I377"/>
  <c r="K222"/>
  <c r="C280"/>
  <c r="I173"/>
  <c r="I200"/>
  <c r="G173"/>
  <c r="I100"/>
  <c r="C256"/>
  <c r="G103"/>
  <c r="C268"/>
  <c r="I296"/>
  <c r="C252"/>
  <c r="E503"/>
  <c r="M372"/>
  <c r="I311"/>
  <c r="C251"/>
  <c r="E501"/>
  <c r="M370"/>
  <c r="K202"/>
  <c r="K403"/>
  <c r="O388"/>
  <c r="G327"/>
  <c r="I262"/>
  <c r="I340"/>
  <c r="M112"/>
  <c r="I223"/>
  <c r="O462"/>
  <c r="M221"/>
  <c r="O470"/>
  <c r="O461"/>
  <c r="M22"/>
  <c r="I70"/>
  <c r="Q70"/>
  <c r="C173"/>
  <c r="M141"/>
  <c r="C357"/>
  <c r="I22"/>
  <c r="G21"/>
  <c r="G495"/>
  <c r="K171"/>
  <c r="I341"/>
  <c r="C141"/>
  <c r="G168"/>
  <c r="K315"/>
  <c r="K258"/>
  <c r="I498"/>
  <c r="O313"/>
  <c r="E358"/>
  <c r="K256"/>
  <c r="I496"/>
  <c r="O311"/>
  <c r="G253"/>
  <c r="G490"/>
  <c r="O348"/>
  <c r="C356"/>
  <c r="K298"/>
  <c r="K287"/>
  <c r="G111"/>
  <c r="I346"/>
  <c r="K145"/>
  <c r="G405"/>
  <c r="I383"/>
  <c r="C322"/>
  <c r="O375"/>
  <c r="I433"/>
  <c r="I381"/>
  <c r="C320"/>
  <c r="O372"/>
  <c r="C435"/>
  <c r="I282"/>
  <c r="M418"/>
  <c r="M138"/>
  <c r="E376"/>
  <c r="G192"/>
  <c r="I412"/>
  <c r="O403"/>
  <c r="I460"/>
  <c r="C43"/>
  <c r="E477"/>
  <c r="C50"/>
  <c r="M108"/>
  <c r="I597"/>
  <c r="M130"/>
  <c r="C593"/>
  <c r="K536"/>
  <c r="I41"/>
  <c r="M553"/>
  <c r="I463"/>
  <c r="E537"/>
  <c r="G58"/>
  <c r="G401"/>
  <c r="O413"/>
  <c r="G461"/>
  <c r="K386"/>
  <c r="G231"/>
  <c r="I348"/>
  <c r="O507"/>
  <c r="K263"/>
  <c r="I268"/>
  <c r="E380"/>
  <c r="I441"/>
  <c r="G525"/>
  <c r="K341"/>
  <c r="O430"/>
  <c r="G262"/>
  <c r="G501"/>
  <c r="G140"/>
  <c r="G203"/>
  <c r="E266"/>
  <c r="E191"/>
  <c r="G408"/>
  <c r="G207"/>
  <c r="G406"/>
  <c r="O418"/>
  <c r="C206"/>
  <c r="C405"/>
  <c r="O503"/>
  <c r="I288"/>
  <c r="C203"/>
  <c r="O476"/>
  <c r="G288"/>
  <c r="M493"/>
  <c r="M203"/>
  <c r="M172"/>
  <c r="M195"/>
  <c r="E225"/>
  <c r="I222"/>
  <c r="K582"/>
  <c r="K531"/>
  <c r="I106"/>
  <c r="K372"/>
  <c r="C108"/>
  <c r="G282"/>
  <c r="I165"/>
  <c r="C250"/>
  <c r="C117"/>
  <c r="K320"/>
  <c r="E148"/>
  <c r="E196"/>
  <c r="K382"/>
  <c r="C492"/>
  <c r="I347"/>
  <c r="M136"/>
  <c r="E46"/>
  <c r="C491"/>
  <c r="I345"/>
  <c r="M131"/>
  <c r="K50"/>
  <c r="E342"/>
  <c r="M262"/>
  <c r="G26"/>
  <c r="K407"/>
  <c r="E130"/>
  <c r="K102"/>
  <c r="G117"/>
  <c r="K166"/>
  <c r="I418"/>
  <c r="G137"/>
  <c r="K201"/>
  <c r="E328"/>
  <c r="I258"/>
  <c r="I400"/>
  <c r="G138"/>
  <c r="I356"/>
  <c r="E141"/>
  <c r="G400"/>
  <c r="I161"/>
  <c r="K378"/>
  <c r="K227"/>
  <c r="E283"/>
  <c r="I177"/>
  <c r="O435"/>
  <c r="I342"/>
  <c r="E40"/>
  <c r="G147"/>
  <c r="I147"/>
  <c r="G171"/>
  <c r="K113"/>
  <c r="K105"/>
  <c r="C207"/>
  <c r="G415"/>
  <c r="K311"/>
  <c r="M326"/>
  <c r="G230"/>
  <c r="G412"/>
  <c r="K328"/>
  <c r="M323"/>
  <c r="C231"/>
  <c r="K495"/>
  <c r="I146"/>
  <c r="C103"/>
  <c r="E132"/>
  <c r="E172"/>
  <c r="K108"/>
  <c r="C111"/>
  <c r="C253"/>
  <c r="G178"/>
  <c r="K325"/>
  <c r="I130"/>
  <c r="E136"/>
  <c r="K118"/>
  <c r="E101"/>
  <c r="C200"/>
  <c r="E146"/>
  <c r="I110"/>
  <c r="C261"/>
  <c r="G108"/>
  <c r="G503"/>
  <c r="I141"/>
  <c r="C116"/>
  <c r="C263"/>
  <c r="I373"/>
  <c r="C312"/>
  <c r="M386"/>
  <c r="M436"/>
  <c r="I371"/>
  <c r="C311"/>
  <c r="M383"/>
  <c r="G437"/>
  <c r="K291"/>
  <c r="M408"/>
  <c r="M110"/>
  <c r="E387"/>
  <c r="G107"/>
  <c r="G410"/>
  <c r="C132"/>
  <c r="E198"/>
  <c r="E135"/>
  <c r="G176"/>
  <c r="C326"/>
  <c r="I312"/>
  <c r="G131"/>
  <c r="I117"/>
  <c r="G206"/>
  <c r="K415"/>
  <c r="E347"/>
  <c r="M267"/>
  <c r="K28"/>
  <c r="K412"/>
  <c r="K497"/>
  <c r="I255"/>
  <c r="O328"/>
  <c r="E315"/>
  <c r="I323"/>
  <c r="E102"/>
  <c r="G101"/>
  <c r="C107"/>
  <c r="K143"/>
  <c r="I318"/>
  <c r="E133"/>
  <c r="K342"/>
  <c r="G296"/>
  <c r="M501"/>
  <c r="M257"/>
  <c r="K340"/>
  <c r="G293"/>
  <c r="M498"/>
  <c r="M252"/>
  <c r="C377"/>
  <c r="I261"/>
  <c r="I492"/>
  <c r="G161"/>
  <c r="I138"/>
  <c r="I205"/>
  <c r="G352"/>
  <c r="C191"/>
  <c r="G372"/>
  <c r="G112"/>
  <c r="I351"/>
  <c r="O500"/>
  <c r="I142"/>
  <c r="I195"/>
  <c r="E256"/>
  <c r="G200"/>
  <c r="G418"/>
  <c r="O411"/>
  <c r="C323"/>
  <c r="G197"/>
  <c r="O408"/>
  <c r="E415"/>
  <c r="I298"/>
  <c r="C283"/>
  <c r="G146"/>
  <c r="G320"/>
  <c r="E345"/>
  <c r="M265"/>
  <c r="I27"/>
  <c r="M321"/>
  <c r="K231"/>
  <c r="G407"/>
  <c r="G136"/>
  <c r="G166"/>
  <c r="K138"/>
  <c r="K347"/>
  <c r="K131"/>
  <c r="K163"/>
  <c r="K255"/>
  <c r="K206"/>
  <c r="I197"/>
  <c r="K265"/>
  <c r="K137"/>
  <c r="G105"/>
  <c r="I267"/>
  <c r="C102"/>
  <c r="C348"/>
  <c r="G135"/>
  <c r="G297"/>
  <c r="C262"/>
  <c r="C497"/>
  <c r="M382"/>
  <c r="I321"/>
  <c r="C260"/>
  <c r="C496"/>
  <c r="M380"/>
  <c r="I193"/>
  <c r="K413"/>
  <c r="M405"/>
  <c r="E316"/>
  <c r="G261"/>
  <c r="K357"/>
  <c r="I202"/>
  <c r="C310"/>
  <c r="C145"/>
  <c r="K352"/>
  <c r="E287"/>
  <c r="O490"/>
  <c r="M268"/>
  <c r="K350"/>
  <c r="E285"/>
  <c r="M508"/>
  <c r="M266"/>
  <c r="K505"/>
  <c r="M317"/>
  <c r="G345"/>
  <c r="K313"/>
  <c r="K371"/>
  <c r="K230"/>
  <c r="G27"/>
  <c r="E41"/>
  <c r="E15"/>
  <c r="M256"/>
  <c r="M533"/>
  <c r="C598"/>
  <c r="G530"/>
  <c r="I525"/>
  <c r="K533"/>
  <c r="I55"/>
  <c r="C526"/>
  <c r="K381"/>
  <c r="C227"/>
  <c r="E48"/>
  <c r="C373"/>
  <c r="K437"/>
  <c r="C313"/>
  <c r="I407"/>
  <c r="E205"/>
  <c r="G16"/>
  <c r="C508"/>
  <c r="G343"/>
  <c r="M191"/>
  <c r="G13"/>
  <c r="C342"/>
  <c r="M292"/>
  <c r="K237"/>
  <c r="I406"/>
  <c r="G106"/>
  <c r="K136"/>
  <c r="C118"/>
  <c r="I167"/>
  <c r="C343"/>
  <c r="G196"/>
  <c r="I171"/>
  <c r="I372"/>
  <c r="C225"/>
  <c r="E293"/>
  <c r="I168"/>
  <c r="I370"/>
  <c r="K225"/>
  <c r="E166"/>
  <c r="G383"/>
  <c r="G445"/>
  <c r="K252"/>
  <c r="E163"/>
  <c r="E325"/>
  <c r="M378"/>
  <c r="I438"/>
  <c r="K431"/>
  <c r="E430"/>
  <c r="K58"/>
  <c r="M237"/>
  <c r="I10"/>
  <c r="E236"/>
  <c r="C581"/>
  <c r="M593"/>
  <c r="K580"/>
  <c r="C563"/>
  <c r="I490"/>
  <c r="K565"/>
  <c r="O373"/>
  <c r="M250"/>
  <c r="G346"/>
  <c r="I378"/>
  <c r="C147"/>
  <c r="C137"/>
  <c r="E203"/>
  <c r="I291"/>
  <c r="K117"/>
  <c r="C258"/>
  <c r="E200"/>
  <c r="E400"/>
  <c r="M497"/>
  <c r="K285"/>
  <c r="E197"/>
  <c r="G416"/>
  <c r="M495"/>
  <c r="C415"/>
  <c r="G236"/>
  <c r="G280"/>
  <c r="G265"/>
  <c r="K173"/>
  <c r="I253"/>
  <c r="C146"/>
  <c r="E296"/>
  <c r="E313"/>
  <c r="G267"/>
  <c r="I505"/>
  <c r="O343"/>
  <c r="C351"/>
  <c r="G268"/>
  <c r="I500"/>
  <c r="O341"/>
  <c r="E265"/>
  <c r="E498"/>
  <c r="K327"/>
  <c r="E280"/>
  <c r="C370"/>
  <c r="C437"/>
  <c r="M467"/>
  <c r="M230"/>
  <c r="K26"/>
  <c r="E228"/>
  <c r="G537"/>
  <c r="G463"/>
  <c r="G535"/>
  <c r="E470"/>
  <c r="C558"/>
  <c r="I58"/>
  <c r="I522"/>
  <c r="C23"/>
  <c r="I48"/>
  <c r="C385"/>
  <c r="M433"/>
  <c r="I470"/>
  <c r="G356"/>
  <c r="M255"/>
  <c r="I256"/>
  <c r="C372"/>
  <c r="O466"/>
  <c r="C223"/>
  <c r="E411"/>
  <c r="I310"/>
  <c r="O322"/>
  <c r="K223"/>
  <c r="G326"/>
  <c r="M353"/>
  <c r="I443"/>
  <c r="K370"/>
  <c r="K106"/>
  <c r="G118"/>
  <c r="I497"/>
  <c r="I131"/>
  <c r="E115"/>
  <c r="E261"/>
  <c r="E418"/>
  <c r="G498"/>
  <c r="C432"/>
  <c r="G257"/>
  <c r="G496"/>
  <c r="K432"/>
  <c r="G471"/>
  <c r="I352"/>
  <c r="M146"/>
  <c r="E51"/>
  <c r="C493"/>
  <c r="G232"/>
  <c r="E463"/>
  <c r="I327"/>
  <c r="O350"/>
  <c r="C408"/>
  <c r="I118"/>
  <c r="K132"/>
  <c r="I115"/>
  <c r="K250"/>
  <c r="I116"/>
  <c r="K130"/>
  <c r="K193"/>
  <c r="K400"/>
  <c r="E382"/>
  <c r="G357"/>
  <c r="I190"/>
  <c r="C386"/>
  <c r="G507"/>
  <c r="C382"/>
  <c r="G435"/>
  <c r="I266"/>
  <c r="I502"/>
  <c r="O352"/>
  <c r="E327"/>
  <c r="O437"/>
  <c r="E505"/>
  <c r="C195"/>
  <c r="K293"/>
  <c r="M411"/>
  <c r="M115"/>
  <c r="G291"/>
  <c r="M496"/>
  <c r="M208"/>
  <c r="I386"/>
  <c r="K115"/>
  <c r="I112"/>
  <c r="K177"/>
  <c r="E110"/>
  <c r="E108"/>
  <c r="G142"/>
  <c r="I192"/>
  <c r="G325"/>
  <c r="C131"/>
  <c r="G163"/>
  <c r="C143"/>
  <c r="E263"/>
  <c r="I113"/>
  <c r="K493"/>
  <c r="G162"/>
  <c r="I382"/>
  <c r="G221"/>
  <c r="C286"/>
  <c r="G160"/>
  <c r="I380"/>
  <c r="C222"/>
  <c r="C588"/>
  <c r="E377"/>
  <c r="C442"/>
  <c r="K262"/>
  <c r="E173"/>
  <c r="K161"/>
  <c r="K140"/>
  <c r="K203"/>
  <c r="C105"/>
  <c r="G493"/>
  <c r="K260"/>
  <c r="I208"/>
  <c r="K408"/>
  <c r="M400"/>
  <c r="E311"/>
  <c r="K205"/>
  <c r="K406"/>
  <c r="G205"/>
  <c r="G403"/>
  <c r="O416"/>
  <c r="C328"/>
  <c r="K200"/>
  <c r="E340"/>
  <c r="M260"/>
  <c r="K23"/>
  <c r="G448"/>
  <c r="I461"/>
  <c r="O446"/>
  <c r="K460"/>
  <c r="C40"/>
  <c r="G466"/>
  <c r="C47"/>
  <c r="O20"/>
  <c r="Q20"/>
  <c r="Q38"/>
  <c r="C21"/>
  <c r="C28"/>
  <c r="O15"/>
  <c r="Q15"/>
  <c r="I556"/>
  <c r="M280"/>
  <c r="E13"/>
  <c r="I322"/>
  <c r="O345"/>
  <c r="G220"/>
  <c r="I320"/>
  <c r="C221"/>
  <c r="E431"/>
  <c r="G375"/>
  <c r="O382"/>
  <c r="M431"/>
  <c r="I292"/>
  <c r="O407"/>
  <c r="M163"/>
  <c r="C375"/>
  <c r="C411"/>
  <c r="E137"/>
  <c r="C197"/>
  <c r="C190"/>
  <c r="I403"/>
  <c r="E357"/>
  <c r="M287"/>
  <c r="E28"/>
  <c r="I401"/>
  <c r="E355"/>
  <c r="M285"/>
  <c r="E23"/>
  <c r="K316"/>
  <c r="O310"/>
  <c r="C228"/>
  <c r="G417"/>
  <c r="I252"/>
  <c r="K491"/>
  <c r="O326"/>
  <c r="E580"/>
  <c r="M470"/>
  <c r="I563"/>
  <c r="K476"/>
  <c r="G443"/>
  <c r="E468"/>
  <c r="O441"/>
  <c r="E466"/>
  <c r="I562"/>
  <c r="I51"/>
  <c r="I350"/>
  <c r="I12"/>
  <c r="M316"/>
  <c r="G353"/>
  <c r="G258"/>
  <c r="O353"/>
  <c r="E250"/>
  <c r="E116"/>
  <c r="E356"/>
  <c r="G130"/>
  <c r="G193"/>
  <c r="C400"/>
  <c r="E490"/>
  <c r="K346"/>
  <c r="E268"/>
  <c r="G506"/>
  <c r="K343"/>
  <c r="G430"/>
  <c r="C473"/>
  <c r="G341"/>
  <c r="M176"/>
  <c r="G11"/>
  <c r="C503"/>
  <c r="K110"/>
  <c r="C140"/>
  <c r="K111"/>
  <c r="C205"/>
  <c r="E378"/>
  <c r="K196"/>
  <c r="C410"/>
  <c r="O508"/>
  <c r="I293"/>
  <c r="C208"/>
  <c r="C407"/>
  <c r="O506"/>
  <c r="I166"/>
  <c r="K383"/>
  <c r="G226"/>
  <c r="E288"/>
  <c r="I163"/>
  <c r="I325"/>
  <c r="O347"/>
  <c r="E437"/>
  <c r="C76"/>
  <c r="M435"/>
  <c r="C72"/>
  <c r="K25"/>
  <c r="E10"/>
  <c r="I595"/>
  <c r="E72"/>
  <c r="Q25"/>
  <c r="O25"/>
  <c r="Q28"/>
  <c r="O28"/>
  <c r="K596"/>
  <c r="E78"/>
  <c r="E525"/>
  <c r="O357"/>
  <c r="G447"/>
  <c r="K286"/>
  <c r="M403"/>
  <c r="M100"/>
  <c r="C285"/>
  <c r="M293"/>
  <c r="I503"/>
  <c r="I358"/>
  <c r="E295"/>
  <c r="O497"/>
  <c r="M283"/>
  <c r="K253"/>
  <c r="I493"/>
  <c r="M327"/>
  <c r="G355"/>
  <c r="I315"/>
  <c r="I105"/>
  <c r="E341"/>
  <c r="K103"/>
  <c r="E160"/>
  <c r="E500"/>
  <c r="G321"/>
  <c r="M348"/>
  <c r="K445"/>
  <c r="G318"/>
  <c r="M346"/>
  <c r="E446"/>
  <c r="C317"/>
  <c r="O370"/>
  <c r="K435"/>
  <c r="I376"/>
  <c r="K190"/>
  <c r="O376"/>
  <c r="G371"/>
  <c r="E448"/>
  <c r="G562"/>
  <c r="O562"/>
  <c r="I558"/>
  <c r="C238"/>
  <c r="E237"/>
  <c r="G12"/>
  <c r="I235"/>
  <c r="M568"/>
  <c r="M566"/>
  <c r="M465"/>
  <c r="C10"/>
  <c r="C177"/>
  <c r="Q58"/>
  <c r="M58"/>
  <c r="O501"/>
  <c r="G386"/>
  <c r="K312"/>
  <c r="O18"/>
  <c r="Q18"/>
  <c r="C528"/>
  <c r="C22"/>
  <c r="I520"/>
  <c r="O16"/>
  <c r="Q16"/>
  <c r="G381"/>
  <c r="O445"/>
  <c r="C551"/>
  <c r="K356"/>
  <c r="M107"/>
  <c r="G295"/>
  <c r="K387"/>
  <c r="G167"/>
  <c r="C296"/>
  <c r="G170"/>
  <c r="G387"/>
  <c r="O567"/>
  <c r="C371"/>
  <c r="M438"/>
  <c r="I251"/>
  <c r="K507"/>
  <c r="C325"/>
  <c r="O377"/>
  <c r="O432"/>
  <c r="M106"/>
  <c r="E87"/>
  <c r="E235"/>
  <c r="G18"/>
  <c r="I232"/>
  <c r="O560"/>
  <c r="I591"/>
  <c r="M592"/>
  <c r="E76"/>
  <c r="C592"/>
  <c r="G88"/>
  <c r="O387"/>
  <c r="K430"/>
  <c r="G438"/>
  <c r="O436"/>
  <c r="G22"/>
  <c r="I26"/>
  <c r="M311"/>
  <c r="G235"/>
  <c r="I416"/>
  <c r="K251"/>
  <c r="I491"/>
  <c r="M325"/>
  <c r="G591"/>
  <c r="G520"/>
  <c r="K583"/>
  <c r="O473"/>
  <c r="K446"/>
  <c r="G467"/>
  <c r="E445"/>
  <c r="G470"/>
  <c r="M565"/>
  <c r="E550"/>
  <c r="O582"/>
  <c r="G527"/>
  <c r="G566"/>
  <c r="C267"/>
  <c r="K295"/>
  <c r="E207"/>
  <c r="E407"/>
  <c r="M505"/>
  <c r="K167"/>
  <c r="K388"/>
  <c r="K232"/>
  <c r="G290"/>
  <c r="K165"/>
  <c r="K323"/>
  <c r="O317"/>
  <c r="C226"/>
  <c r="I440"/>
  <c r="C465"/>
  <c r="C438"/>
  <c r="C462"/>
  <c r="I18"/>
  <c r="K45"/>
  <c r="K22"/>
  <c r="E80"/>
  <c r="G75"/>
  <c r="Q77"/>
  <c r="I77"/>
  <c r="G70"/>
  <c r="G80"/>
  <c r="M530"/>
  <c r="O327"/>
  <c r="G222"/>
  <c r="E232"/>
  <c r="I230"/>
  <c r="I462"/>
  <c r="G468"/>
  <c r="E251"/>
  <c r="E492"/>
  <c r="I290"/>
  <c r="O405"/>
  <c r="M142"/>
  <c r="C583"/>
  <c r="M165"/>
  <c r="M227"/>
  <c r="E16"/>
  <c r="E226"/>
  <c r="I528"/>
  <c r="O585"/>
  <c r="K581"/>
  <c r="C595"/>
  <c r="M558"/>
  <c r="K348"/>
  <c r="G441"/>
  <c r="E461"/>
  <c r="K10"/>
  <c r="I16"/>
  <c r="M20"/>
  <c r="M13"/>
  <c r="G77"/>
  <c r="G595"/>
  <c r="M388"/>
  <c r="G286"/>
  <c r="M198"/>
  <c r="M342"/>
  <c r="Q41"/>
  <c r="M41"/>
  <c r="Q88"/>
  <c r="I88"/>
  <c r="M18"/>
  <c r="G536"/>
  <c r="M328"/>
  <c r="K228"/>
  <c r="E322"/>
  <c r="M376"/>
  <c r="C440"/>
  <c r="K283"/>
  <c r="C233"/>
  <c r="G402"/>
  <c r="C355"/>
  <c r="M313"/>
  <c r="K233"/>
  <c r="I317"/>
  <c r="K221"/>
  <c r="E416"/>
  <c r="G251"/>
  <c r="G508"/>
  <c r="O346"/>
  <c r="C560"/>
  <c r="I472"/>
  <c r="E552"/>
  <c r="G478"/>
  <c r="C441"/>
  <c r="C470"/>
  <c r="K438"/>
  <c r="C467"/>
  <c r="E560"/>
  <c r="C530"/>
  <c r="G568"/>
  <c r="O475"/>
  <c r="M560"/>
  <c r="E531"/>
  <c r="G497"/>
  <c r="O356"/>
  <c r="G553"/>
  <c r="G476"/>
  <c r="M111"/>
  <c r="O417"/>
  <c r="C383"/>
  <c r="E192"/>
  <c r="G411"/>
  <c r="M490"/>
  <c r="E462"/>
  <c r="C53"/>
  <c r="G10"/>
  <c r="M137"/>
  <c r="G586"/>
  <c r="M160"/>
  <c r="O581"/>
  <c r="G533"/>
  <c r="Q43"/>
  <c r="M43"/>
  <c r="I551"/>
  <c r="G465"/>
  <c r="O533"/>
  <c r="C161"/>
  <c r="E497"/>
  <c r="K353"/>
  <c r="M102"/>
  <c r="G351"/>
  <c r="M206"/>
  <c r="K18"/>
  <c r="E290"/>
  <c r="O492"/>
  <c r="M202"/>
  <c r="K551"/>
  <c r="M253"/>
  <c r="E538"/>
  <c r="I221"/>
  <c r="K475"/>
  <c r="M461"/>
  <c r="G580"/>
  <c r="I561"/>
  <c r="I588"/>
  <c r="I538"/>
  <c r="O580"/>
  <c r="I580"/>
  <c r="O502"/>
  <c r="M288"/>
  <c r="M251"/>
  <c r="E82"/>
  <c r="E220"/>
  <c r="K448"/>
  <c r="M371"/>
  <c r="E441"/>
  <c r="K380"/>
  <c r="C255"/>
  <c r="E506"/>
  <c r="M375"/>
  <c r="K527"/>
  <c r="C87"/>
  <c r="O520"/>
  <c r="C71"/>
  <c r="I435"/>
  <c r="C433"/>
  <c r="I553"/>
  <c r="M562"/>
  <c r="K477"/>
  <c r="C16"/>
  <c r="I586"/>
  <c r="E402"/>
  <c r="M500"/>
  <c r="C463"/>
  <c r="I471"/>
  <c r="M478"/>
  <c r="I465"/>
  <c r="Q52"/>
  <c r="M52"/>
  <c r="G55"/>
  <c r="K523"/>
  <c r="K42"/>
  <c r="G45"/>
  <c r="M582"/>
  <c r="K595"/>
  <c r="M235"/>
  <c r="K16"/>
  <c r="E233"/>
  <c r="E563"/>
  <c r="M460"/>
  <c r="E561"/>
  <c r="K466"/>
  <c r="C176"/>
  <c r="C168"/>
  <c r="O526"/>
  <c r="C166"/>
  <c r="O21"/>
  <c r="Q21"/>
  <c r="G588"/>
  <c r="O597"/>
  <c r="I238"/>
  <c r="E57"/>
  <c r="M236"/>
  <c r="G583"/>
  <c r="O478"/>
  <c r="G581"/>
  <c r="O463"/>
  <c r="C521"/>
  <c r="O13"/>
  <c r="Q13"/>
  <c r="E530"/>
  <c r="C12"/>
  <c r="K521"/>
  <c r="O593"/>
  <c r="E81"/>
  <c r="I72"/>
  <c r="Q72"/>
  <c r="E12"/>
  <c r="E47"/>
  <c r="E25"/>
  <c r="E71"/>
  <c r="E528"/>
  <c r="I592"/>
  <c r="M523"/>
  <c r="G523"/>
  <c r="I532"/>
  <c r="Q46"/>
  <c r="M46"/>
  <c r="O523"/>
  <c r="E75"/>
  <c r="G82"/>
  <c r="C520"/>
  <c r="C500"/>
  <c r="M385"/>
  <c r="C522"/>
  <c r="M207"/>
  <c r="M258"/>
  <c r="K526"/>
  <c r="M535"/>
  <c r="I45"/>
  <c r="E527"/>
  <c r="M15"/>
  <c r="M21"/>
  <c r="M42"/>
  <c r="Q42"/>
  <c r="G17"/>
  <c r="K55"/>
  <c r="I21"/>
  <c r="M177"/>
  <c r="K560"/>
  <c r="M200"/>
  <c r="C556"/>
  <c r="O528"/>
  <c r="C20"/>
  <c r="C538"/>
  <c r="G46"/>
  <c r="I530"/>
  <c r="C15"/>
  <c r="O26"/>
  <c r="Q26"/>
  <c r="C73"/>
  <c r="C58"/>
  <c r="K13"/>
  <c r="M147"/>
  <c r="M580"/>
  <c r="M170"/>
  <c r="G567"/>
  <c r="E532"/>
  <c r="Q53"/>
  <c r="M53"/>
  <c r="G550"/>
  <c r="C167"/>
  <c r="M532"/>
  <c r="M48"/>
  <c r="Q48"/>
  <c r="C48"/>
  <c r="C478"/>
  <c r="C55"/>
  <c r="M118"/>
  <c r="O591"/>
  <c r="M140"/>
  <c r="I587"/>
  <c r="I535"/>
  <c r="I52"/>
  <c r="K552"/>
  <c r="G475"/>
  <c r="C536"/>
  <c r="I47"/>
  <c r="I46"/>
  <c r="I83"/>
  <c r="Q83"/>
  <c r="G42"/>
  <c r="C85"/>
  <c r="G473"/>
  <c r="C460"/>
  <c r="C88"/>
  <c r="E83"/>
  <c r="Q23"/>
  <c r="O23"/>
  <c r="O598"/>
  <c r="E88"/>
  <c r="I527"/>
  <c r="G563"/>
  <c r="O587"/>
  <c r="K441"/>
  <c r="C475"/>
  <c r="E440"/>
  <c r="C472"/>
  <c r="K15"/>
  <c r="G20"/>
  <c r="G81"/>
  <c r="G85"/>
  <c r="I73"/>
  <c r="Q73"/>
  <c r="M10"/>
  <c r="C533"/>
  <c r="K566"/>
  <c r="K585"/>
  <c r="O443"/>
  <c r="E473"/>
  <c r="I442"/>
  <c r="E471"/>
  <c r="C56"/>
  <c r="C80"/>
  <c r="K11"/>
  <c r="M23"/>
  <c r="G47"/>
  <c r="Q78"/>
  <c r="I78"/>
  <c r="Q17"/>
  <c r="O17"/>
  <c r="M28"/>
  <c r="K538"/>
  <c r="O568"/>
  <c r="I593"/>
  <c r="E447"/>
  <c r="G472"/>
  <c r="M445"/>
  <c r="C46"/>
  <c r="E467"/>
  <c r="C52"/>
  <c r="I82"/>
  <c r="Q82"/>
  <c r="O27"/>
  <c r="Q27"/>
  <c r="Q71"/>
  <c r="I71"/>
  <c r="E553"/>
  <c r="E581"/>
  <c r="E591"/>
  <c r="I385"/>
  <c r="K220"/>
  <c r="I582"/>
  <c r="E77"/>
  <c r="G596"/>
  <c r="K21"/>
  <c r="E555"/>
  <c r="O11"/>
  <c r="Q11"/>
  <c r="I85"/>
  <c r="Q85"/>
  <c r="Q50"/>
  <c r="M50"/>
  <c r="I56"/>
  <c r="O558"/>
  <c r="I583"/>
  <c r="E70"/>
  <c r="E222"/>
  <c r="M463"/>
  <c r="I220"/>
  <c r="M471"/>
  <c r="M462"/>
  <c r="K47"/>
  <c r="G83"/>
  <c r="Q81"/>
  <c r="I81"/>
  <c r="C13"/>
  <c r="G50"/>
  <c r="M12"/>
  <c r="I76"/>
  <c r="Q76"/>
  <c r="O556"/>
  <c r="M586"/>
  <c r="M596"/>
  <c r="M225"/>
  <c r="K238"/>
  <c r="E223"/>
  <c r="K520"/>
  <c r="C77"/>
  <c r="C171"/>
  <c r="G73"/>
  <c r="K562"/>
  <c r="C590"/>
  <c r="M11"/>
  <c r="I228"/>
  <c r="E11"/>
  <c r="M226"/>
  <c r="M531"/>
  <c r="E465"/>
  <c r="M528"/>
  <c r="C471"/>
  <c r="I80"/>
  <c r="Q80"/>
  <c r="M55"/>
  <c r="Q55"/>
  <c r="G521"/>
  <c r="Q10"/>
  <c r="O10"/>
  <c r="Q45"/>
  <c r="M45"/>
  <c r="E568"/>
  <c r="G592"/>
  <c r="G71"/>
  <c r="C402"/>
  <c r="M448"/>
  <c r="G502"/>
  <c r="C567"/>
  <c r="M591"/>
  <c r="C553"/>
  <c r="E583"/>
  <c r="K591"/>
  <c r="M503"/>
  <c r="M261"/>
  <c r="I250"/>
  <c r="K508"/>
  <c r="O323"/>
  <c r="K170"/>
  <c r="C232"/>
  <c r="G388"/>
  <c r="C388"/>
  <c r="G283"/>
  <c r="M193"/>
  <c r="C282"/>
  <c r="O505"/>
  <c r="M291"/>
  <c r="I343"/>
  <c r="E350"/>
  <c r="C412"/>
  <c r="C237"/>
  <c r="K20"/>
  <c r="I15"/>
  <c r="G25"/>
  <c r="M197"/>
  <c r="O553"/>
  <c r="I550"/>
  <c r="M527"/>
  <c r="O536"/>
  <c r="G56"/>
  <c r="G528"/>
  <c r="C25"/>
  <c r="G233"/>
  <c r="K40"/>
  <c r="C86"/>
  <c r="C83"/>
  <c r="M597"/>
  <c r="M387"/>
  <c r="I326"/>
  <c r="K358"/>
  <c r="I431"/>
  <c r="E472"/>
  <c r="E227"/>
  <c r="E21"/>
  <c r="I225"/>
  <c r="E526"/>
  <c r="C466"/>
  <c r="E523"/>
  <c r="C82"/>
  <c r="C26"/>
  <c r="E520"/>
  <c r="Q68"/>
  <c r="I57"/>
  <c r="C502"/>
  <c r="K385"/>
  <c r="E320"/>
  <c r="M373"/>
  <c r="K440"/>
  <c r="K281"/>
  <c r="C430"/>
  <c r="G380"/>
  <c r="I191"/>
  <c r="K411"/>
  <c r="M402"/>
  <c r="K478"/>
  <c r="I11"/>
  <c r="I475"/>
  <c r="K46"/>
  <c r="M101"/>
  <c r="K43"/>
  <c r="O538"/>
  <c r="G43"/>
  <c r="C557"/>
  <c r="K470"/>
  <c r="C175"/>
  <c r="I402"/>
  <c r="M412"/>
  <c r="G23"/>
  <c r="O551"/>
  <c r="M57"/>
  <c r="Q57"/>
  <c r="O318"/>
  <c r="E343"/>
  <c r="G313"/>
  <c r="I375"/>
  <c r="G223"/>
  <c r="E58"/>
  <c r="E22"/>
  <c r="E52"/>
  <c r="E238"/>
  <c r="K593"/>
  <c r="K522"/>
  <c r="O586"/>
  <c r="E522"/>
  <c r="G531"/>
  <c r="Q56"/>
  <c r="M56"/>
  <c r="C555"/>
  <c r="M472"/>
  <c r="K57"/>
  <c r="E432"/>
  <c r="M430"/>
  <c r="E551"/>
  <c r="G598"/>
  <c r="I585"/>
  <c r="I75"/>
  <c r="Q75"/>
  <c r="E436"/>
  <c r="M491"/>
  <c r="G266"/>
  <c r="C160"/>
  <c r="I560"/>
  <c r="I478"/>
  <c r="M551"/>
  <c r="O467"/>
  <c r="K401"/>
  <c r="O386"/>
  <c r="M477"/>
  <c r="E410"/>
  <c r="M507"/>
  <c r="G385"/>
  <c r="M401"/>
  <c r="G281"/>
  <c r="G312"/>
  <c r="C505"/>
  <c r="O371"/>
  <c r="I203"/>
  <c r="I405"/>
  <c r="M415"/>
  <c r="E326"/>
  <c r="E262"/>
  <c r="G358"/>
  <c r="M171"/>
  <c r="E53"/>
  <c r="M220"/>
  <c r="K465"/>
  <c r="K472"/>
  <c r="K41"/>
  <c r="K463"/>
  <c r="G57"/>
  <c r="I53"/>
  <c r="E42"/>
  <c r="I86"/>
  <c r="Q86"/>
  <c r="E562"/>
  <c r="M201"/>
  <c r="I17"/>
  <c r="C45"/>
  <c r="G78"/>
  <c r="K598"/>
  <c r="C220"/>
  <c r="C291"/>
  <c r="G165"/>
  <c r="G323"/>
  <c r="M351"/>
  <c r="C445"/>
  <c r="O433"/>
  <c r="I432"/>
  <c r="E17"/>
  <c r="E50"/>
  <c r="M238"/>
  <c r="O588"/>
  <c r="C597"/>
  <c r="G86"/>
  <c r="M16"/>
  <c r="C591"/>
  <c r="K597"/>
  <c r="C352"/>
  <c r="E348"/>
  <c r="K266"/>
  <c r="I506"/>
  <c r="O321"/>
  <c r="G263"/>
  <c r="G500"/>
  <c r="O358"/>
  <c r="I280"/>
  <c r="E375"/>
  <c r="K442"/>
  <c r="O530"/>
  <c r="I233"/>
  <c r="I20"/>
  <c r="M231"/>
  <c r="I557"/>
  <c r="K461"/>
  <c r="I555"/>
  <c r="I467"/>
  <c r="I40"/>
  <c r="C42"/>
  <c r="M525"/>
  <c r="G41"/>
  <c r="C178"/>
  <c r="E385"/>
  <c r="G440"/>
  <c r="C537"/>
  <c r="K532"/>
  <c r="I476"/>
  <c r="K462"/>
  <c r="M502"/>
  <c r="K290"/>
  <c r="G202"/>
  <c r="C341"/>
  <c r="M290"/>
  <c r="G238"/>
  <c r="C446"/>
  <c r="G462"/>
  <c r="K443"/>
  <c r="G460"/>
  <c r="C51"/>
  <c r="C468"/>
  <c r="C57"/>
  <c r="M17"/>
  <c r="M522"/>
  <c r="G551"/>
  <c r="M441"/>
  <c r="C448"/>
  <c r="C41"/>
  <c r="E558"/>
  <c r="G587"/>
  <c r="E536"/>
  <c r="O565"/>
  <c r="O531"/>
  <c r="M51"/>
  <c r="Q51"/>
  <c r="M192"/>
  <c r="E557"/>
  <c r="M205"/>
  <c r="M552"/>
  <c r="M222"/>
  <c r="M473"/>
  <c r="E221"/>
  <c r="O460"/>
  <c r="I581"/>
  <c r="M563"/>
  <c r="K590"/>
  <c r="M550"/>
  <c r="C582"/>
  <c r="C586"/>
  <c r="E535"/>
  <c r="I50"/>
  <c r="M162"/>
  <c r="I568"/>
  <c r="M175"/>
  <c r="C565"/>
  <c r="I226"/>
  <c r="E26"/>
  <c r="M223"/>
  <c r="O522"/>
  <c r="M583"/>
  <c r="O592"/>
  <c r="G556"/>
  <c r="G585"/>
  <c r="E597"/>
  <c r="I537"/>
  <c r="G51"/>
  <c r="M132"/>
  <c r="K588"/>
  <c r="M145"/>
  <c r="E585"/>
  <c r="E230"/>
  <c r="G28"/>
  <c r="I227"/>
  <c r="C535"/>
  <c r="C587"/>
  <c r="O583"/>
  <c r="E596"/>
  <c r="C562"/>
  <c r="K587"/>
  <c r="Q8"/>
  <c r="C172"/>
  <c r="O550"/>
  <c r="C236"/>
  <c r="I23"/>
  <c r="K27"/>
  <c r="O535"/>
  <c r="G590"/>
  <c r="I590"/>
  <c r="I598"/>
  <c r="K567"/>
  <c r="O590"/>
  <c r="C18"/>
  <c r="C552"/>
  <c r="M567"/>
  <c r="I430"/>
  <c r="K51"/>
  <c r="K48"/>
  <c r="I236"/>
  <c r="G15"/>
  <c r="M233"/>
  <c r="I566"/>
  <c r="K592"/>
  <c r="C596"/>
  <c r="E86"/>
  <c r="E582"/>
  <c r="E593"/>
  <c r="O22"/>
  <c r="Q22"/>
  <c r="G555"/>
  <c r="I565"/>
  <c r="M432"/>
  <c r="G431"/>
  <c r="E27"/>
  <c r="E55"/>
  <c r="I237"/>
  <c r="K586"/>
  <c r="O595"/>
  <c r="E85"/>
  <c r="G87"/>
  <c r="M587"/>
  <c r="I596"/>
  <c r="Q47"/>
  <c r="M47"/>
  <c r="K557"/>
  <c r="G582"/>
  <c r="C436"/>
  <c r="K433"/>
  <c r="I28"/>
  <c r="E45"/>
  <c r="E20"/>
  <c r="E592"/>
  <c r="E598"/>
  <c r="M25"/>
  <c r="M26"/>
  <c r="G593"/>
  <c r="M598"/>
  <c r="O521"/>
  <c r="C561"/>
  <c r="C580"/>
  <c r="I501"/>
  <c r="O316"/>
  <c r="M585"/>
  <c r="K537"/>
  <c r="O438"/>
  <c r="I437"/>
  <c r="M537"/>
  <c r="G53"/>
  <c r="O555"/>
  <c r="I473"/>
  <c r="G538"/>
  <c r="G48"/>
  <c r="M27"/>
  <c r="K52"/>
  <c r="K473"/>
  <c r="I13"/>
  <c r="C431"/>
  <c r="K56"/>
  <c r="K53"/>
  <c r="C550"/>
  <c r="C170"/>
  <c r="G558"/>
  <c r="M468"/>
  <c r="K550"/>
  <c r="C165"/>
  <c r="C11"/>
  <c r="O471"/>
  <c r="G433"/>
  <c r="O431"/>
  <c r="G552"/>
  <c r="O472"/>
  <c r="K561"/>
  <c r="K467"/>
  <c r="O552"/>
  <c r="O477"/>
  <c r="E73"/>
  <c r="I43"/>
  <c r="C476"/>
  <c r="I526"/>
  <c r="C461"/>
  <c r="K436"/>
  <c r="C70"/>
  <c r="E435"/>
  <c r="K555"/>
  <c r="E521"/>
  <c r="O563"/>
  <c r="M466"/>
  <c r="E556"/>
  <c r="G522"/>
  <c r="G52"/>
  <c r="C163"/>
  <c r="C27"/>
  <c r="G76"/>
  <c r="O415"/>
  <c r="M178"/>
  <c r="M103"/>
  <c r="M116"/>
  <c r="M232"/>
  <c r="E231"/>
  <c r="O557"/>
  <c r="M526"/>
  <c r="E567"/>
  <c r="O465"/>
  <c r="K558"/>
  <c r="O527"/>
  <c r="M520"/>
  <c r="Q12"/>
  <c r="O12"/>
  <c r="I42"/>
  <c r="K471"/>
  <c r="M557"/>
  <c r="I477"/>
  <c r="E442"/>
  <c r="M440"/>
  <c r="C477"/>
  <c r="G561"/>
  <c r="G532"/>
  <c r="O561"/>
  <c r="I533"/>
  <c r="C523"/>
  <c r="Q40"/>
  <c r="M40"/>
  <c r="O468"/>
  <c r="M475"/>
  <c r="I445"/>
  <c r="E478"/>
  <c r="C443"/>
  <c r="E476"/>
  <c r="K563"/>
  <c r="O537"/>
  <c r="M581"/>
  <c r="C525"/>
  <c r="E565"/>
  <c r="G526"/>
  <c r="C162"/>
  <c r="O525"/>
  <c r="E590"/>
  <c r="I521"/>
  <c r="M447"/>
  <c r="G477"/>
  <c r="G446"/>
  <c r="I468"/>
  <c r="O566"/>
  <c r="I552"/>
  <c r="C585"/>
  <c r="K530"/>
  <c r="I567"/>
  <c r="K553"/>
  <c r="K528"/>
  <c r="C17"/>
  <c r="G40"/>
  <c r="E12" i="21"/>
  <c r="E9"/>
  <c r="E13"/>
  <c r="E10"/>
  <c r="E14"/>
  <c r="E11"/>
  <c r="E15"/>
  <c r="S19"/>
  <c r="S16"/>
  <c r="S17"/>
  <c r="S22"/>
  <c r="S20"/>
  <c r="S21"/>
  <c r="S18"/>
  <c r="D39"/>
  <c r="D38"/>
  <c r="D37"/>
  <c r="D40"/>
  <c r="D42"/>
  <c r="D41"/>
  <c r="D43"/>
  <c r="O47"/>
  <c r="O50"/>
  <c r="O46"/>
  <c r="O49"/>
  <c r="O45"/>
  <c r="O48"/>
  <c r="O44"/>
  <c r="H26"/>
  <c r="H29"/>
  <c r="H27"/>
  <c r="H28"/>
  <c r="H25"/>
  <c r="H24"/>
  <c r="H23"/>
  <c r="I35"/>
  <c r="I31"/>
  <c r="I32"/>
  <c r="I30"/>
  <c r="I33"/>
  <c r="I36"/>
  <c r="I34"/>
  <c r="E49"/>
  <c r="E45"/>
  <c r="E48"/>
  <c r="E44"/>
  <c r="E47"/>
  <c r="E50"/>
  <c r="E46"/>
  <c r="S24"/>
  <c r="S23"/>
  <c r="S25"/>
  <c r="S28"/>
  <c r="S27"/>
  <c r="S26"/>
  <c r="S29"/>
  <c r="D36"/>
  <c r="D32"/>
  <c r="D33"/>
  <c r="D31"/>
  <c r="D34"/>
  <c r="D30"/>
  <c r="D35"/>
  <c r="M18"/>
  <c r="M19"/>
  <c r="M16"/>
  <c r="M17"/>
  <c r="M22"/>
  <c r="M20"/>
  <c r="M21"/>
  <c r="C37"/>
  <c r="C41"/>
  <c r="C43"/>
  <c r="C38"/>
  <c r="C42"/>
  <c r="C40"/>
  <c r="C39"/>
  <c r="K9"/>
  <c r="K13"/>
  <c r="K10"/>
  <c r="K14"/>
  <c r="K11"/>
  <c r="K15"/>
  <c r="K12"/>
  <c r="S37"/>
  <c r="S38"/>
  <c r="S39"/>
  <c r="S41"/>
  <c r="S42"/>
  <c r="S43"/>
  <c r="S40"/>
  <c r="J52"/>
  <c r="J51"/>
  <c r="J57"/>
  <c r="J56"/>
  <c r="J55"/>
  <c r="J54"/>
  <c r="J53"/>
  <c r="I9"/>
  <c r="I13"/>
  <c r="I10"/>
  <c r="I14"/>
  <c r="I11"/>
  <c r="I15"/>
  <c r="I12"/>
  <c r="J23"/>
  <c r="J25"/>
  <c r="J28"/>
  <c r="J27"/>
  <c r="J26"/>
  <c r="J29"/>
  <c r="J24"/>
  <c r="L54"/>
  <c r="L51"/>
  <c r="L52"/>
  <c r="L57"/>
  <c r="L55"/>
  <c r="L56"/>
  <c r="L53"/>
  <c r="I21"/>
  <c r="I20"/>
  <c r="I16"/>
  <c r="I18"/>
  <c r="I17"/>
  <c r="I19"/>
  <c r="I22"/>
  <c r="O29"/>
  <c r="O28"/>
  <c r="O27"/>
  <c r="O26"/>
  <c r="O25"/>
  <c r="O24"/>
  <c r="O23"/>
  <c r="S15"/>
  <c r="S12"/>
  <c r="S9"/>
  <c r="S13"/>
  <c r="S10"/>
  <c r="S14"/>
  <c r="S11"/>
  <c r="D28"/>
  <c r="D29"/>
  <c r="D26"/>
  <c r="D27"/>
  <c r="D24"/>
  <c r="D25"/>
  <c r="D23"/>
  <c r="J38"/>
  <c r="J37"/>
  <c r="J39"/>
  <c r="J42"/>
  <c r="J43"/>
  <c r="J40"/>
  <c r="J41"/>
  <c r="F54"/>
  <c r="F53"/>
  <c r="F52"/>
  <c r="F51"/>
  <c r="F57"/>
  <c r="F56"/>
  <c r="F55"/>
  <c r="G92"/>
  <c r="G86"/>
  <c r="G90"/>
  <c r="G88"/>
  <c r="G91"/>
  <c r="G87"/>
  <c r="G89"/>
  <c r="G118"/>
  <c r="G116"/>
  <c r="G119"/>
  <c r="G114"/>
  <c r="G117"/>
  <c r="G120"/>
  <c r="G115"/>
  <c r="O41"/>
  <c r="O40"/>
  <c r="O39"/>
  <c r="O38"/>
  <c r="O37"/>
  <c r="O43"/>
  <c r="O42"/>
  <c r="F16"/>
  <c r="F22"/>
  <c r="F21"/>
  <c r="F20"/>
  <c r="F19"/>
  <c r="F18"/>
  <c r="F17"/>
  <c r="L36"/>
  <c r="L34"/>
  <c r="L35"/>
  <c r="L31"/>
  <c r="L32"/>
  <c r="L30"/>
  <c r="L33"/>
  <c r="H46"/>
  <c r="H49"/>
  <c r="H45"/>
  <c r="H48"/>
  <c r="H44"/>
  <c r="H47"/>
  <c r="H50"/>
  <c r="H62"/>
  <c r="H61"/>
  <c r="H60"/>
  <c r="H59"/>
  <c r="H58"/>
  <c r="H64"/>
  <c r="H63"/>
  <c r="O112"/>
  <c r="O111"/>
  <c r="O110"/>
  <c r="O113"/>
  <c r="O109"/>
  <c r="O108"/>
  <c r="O107"/>
  <c r="D75"/>
  <c r="D78"/>
  <c r="D72"/>
  <c r="D77"/>
  <c r="D76"/>
  <c r="D74"/>
  <c r="D73"/>
  <c r="O9"/>
  <c r="O12"/>
  <c r="O15"/>
  <c r="O14"/>
  <c r="O11"/>
  <c r="O13"/>
  <c r="O10"/>
  <c r="E23"/>
  <c r="E29"/>
  <c r="E28"/>
  <c r="E27"/>
  <c r="E25"/>
  <c r="E26"/>
  <c r="E24"/>
  <c r="K43"/>
  <c r="K38"/>
  <c r="K42"/>
  <c r="K39"/>
  <c r="K41"/>
  <c r="K40"/>
  <c r="K37"/>
  <c r="F34"/>
  <c r="F30"/>
  <c r="F31"/>
  <c r="F36"/>
  <c r="F35"/>
  <c r="F33"/>
  <c r="F32"/>
  <c r="O20"/>
  <c r="O21"/>
  <c r="O18"/>
  <c r="O19"/>
  <c r="O17"/>
  <c r="O16"/>
  <c r="O22"/>
  <c r="C23"/>
  <c r="C29"/>
  <c r="C28"/>
  <c r="C27"/>
  <c r="C26"/>
  <c r="C25"/>
  <c r="C24"/>
  <c r="J9"/>
  <c r="J12"/>
  <c r="J15"/>
  <c r="J13"/>
  <c r="J10"/>
  <c r="J14"/>
  <c r="J11"/>
  <c r="O94"/>
  <c r="O97"/>
  <c r="O93"/>
  <c r="O96"/>
  <c r="O99"/>
  <c r="O95"/>
  <c r="O98"/>
  <c r="H34"/>
  <c r="H35"/>
  <c r="H31"/>
  <c r="H32"/>
  <c r="H30"/>
  <c r="H33"/>
  <c r="H36"/>
  <c r="D49"/>
  <c r="D45"/>
  <c r="D48"/>
  <c r="D44"/>
  <c r="D47"/>
  <c r="D50"/>
  <c r="D46"/>
  <c r="D61"/>
  <c r="D60"/>
  <c r="D62"/>
  <c r="D58"/>
  <c r="D64"/>
  <c r="D63"/>
  <c r="D59"/>
  <c r="O127"/>
  <c r="O126"/>
  <c r="O121"/>
  <c r="O123"/>
  <c r="O122"/>
  <c r="O124"/>
  <c r="O125"/>
  <c r="G43"/>
  <c r="G38"/>
  <c r="G41"/>
  <c r="G40"/>
  <c r="G39"/>
  <c r="G37"/>
  <c r="G42"/>
  <c r="G11"/>
  <c r="G15"/>
  <c r="G12"/>
  <c r="G9"/>
  <c r="G13"/>
  <c r="G10"/>
  <c r="G14"/>
  <c r="L23"/>
  <c r="L25"/>
  <c r="L28"/>
  <c r="L24"/>
  <c r="L29"/>
  <c r="L27"/>
  <c r="L26"/>
  <c r="S54"/>
  <c r="S51"/>
  <c r="S52"/>
  <c r="S57"/>
  <c r="S55"/>
  <c r="S56"/>
  <c r="S53"/>
  <c r="F68"/>
  <c r="F71"/>
  <c r="F67"/>
  <c r="F70"/>
  <c r="F66"/>
  <c r="F69"/>
  <c r="F65"/>
  <c r="G82"/>
  <c r="G83"/>
  <c r="G85"/>
  <c r="G84"/>
  <c r="G80"/>
  <c r="G79"/>
  <c r="G81"/>
  <c r="M55"/>
  <c r="M56"/>
  <c r="M53"/>
  <c r="M54"/>
  <c r="M51"/>
  <c r="M52"/>
  <c r="M57"/>
  <c r="S66"/>
  <c r="S69"/>
  <c r="S65"/>
  <c r="S68"/>
  <c r="S71"/>
  <c r="S67"/>
  <c r="S70"/>
  <c r="G96"/>
  <c r="G99"/>
  <c r="G95"/>
  <c r="G98"/>
  <c r="G94"/>
  <c r="G97"/>
  <c r="G93"/>
  <c r="E101"/>
  <c r="E104"/>
  <c r="E100"/>
  <c r="E103"/>
  <c r="E106"/>
  <c r="E105"/>
  <c r="E102"/>
  <c r="I110"/>
  <c r="I113"/>
  <c r="I112"/>
  <c r="I109"/>
  <c r="I108"/>
  <c r="I111"/>
  <c r="I107"/>
  <c r="F90"/>
  <c r="F87"/>
  <c r="F88"/>
  <c r="F91"/>
  <c r="F86"/>
  <c r="F89"/>
  <c r="F92"/>
  <c r="S94"/>
  <c r="S97"/>
  <c r="S99"/>
  <c r="S96"/>
  <c r="S93"/>
  <c r="S95"/>
  <c r="S98"/>
  <c r="L104"/>
  <c r="L102"/>
  <c r="L103"/>
  <c r="L100"/>
  <c r="L101"/>
  <c r="L105"/>
  <c r="L106"/>
  <c r="F115"/>
  <c r="F118"/>
  <c r="F116"/>
  <c r="F114"/>
  <c r="F117"/>
  <c r="F119"/>
  <c r="F120"/>
  <c r="G124"/>
  <c r="G121"/>
  <c r="G122"/>
  <c r="G125"/>
  <c r="G123"/>
  <c r="G126"/>
  <c r="G127"/>
  <c r="L69"/>
  <c r="L65"/>
  <c r="L68"/>
  <c r="L71"/>
  <c r="L67"/>
  <c r="L70"/>
  <c r="L66"/>
  <c r="L97"/>
  <c r="L93"/>
  <c r="L96"/>
  <c r="L99"/>
  <c r="L95"/>
  <c r="L98"/>
  <c r="L94"/>
  <c r="J105"/>
  <c r="J101"/>
  <c r="J102"/>
  <c r="J100"/>
  <c r="J103"/>
  <c r="J106"/>
  <c r="J104"/>
  <c r="S107"/>
  <c r="S110"/>
  <c r="S111"/>
  <c r="S109"/>
  <c r="S112"/>
  <c r="S108"/>
  <c r="S113"/>
  <c r="G16"/>
  <c r="G22"/>
  <c r="G17"/>
  <c r="G20"/>
  <c r="G19"/>
  <c r="G18"/>
  <c r="G21"/>
  <c r="I71"/>
  <c r="I67"/>
  <c r="I70"/>
  <c r="I66"/>
  <c r="I69"/>
  <c r="I65"/>
  <c r="I68"/>
  <c r="M26"/>
  <c r="M25"/>
  <c r="M27"/>
  <c r="M23"/>
  <c r="M29"/>
  <c r="M28"/>
  <c r="M24"/>
  <c r="C33"/>
  <c r="C34"/>
  <c r="C36"/>
  <c r="C35"/>
  <c r="C31"/>
  <c r="C30"/>
  <c r="C32"/>
  <c r="G57"/>
  <c r="G56"/>
  <c r="G55"/>
  <c r="G54"/>
  <c r="G53"/>
  <c r="G52"/>
  <c r="G51"/>
  <c r="L11"/>
  <c r="L9"/>
  <c r="L12"/>
  <c r="L15"/>
  <c r="L13"/>
  <c r="L10"/>
  <c r="L14"/>
  <c r="H18"/>
  <c r="H17"/>
  <c r="H16"/>
  <c r="H22"/>
  <c r="H21"/>
  <c r="H20"/>
  <c r="H19"/>
  <c r="S30"/>
  <c r="S35"/>
  <c r="S31"/>
  <c r="S34"/>
  <c r="S36"/>
  <c r="S33"/>
  <c r="S32"/>
  <c r="J50"/>
  <c r="J46"/>
  <c r="J49"/>
  <c r="J45"/>
  <c r="J48"/>
  <c r="J44"/>
  <c r="J47"/>
  <c r="J62"/>
  <c r="J63"/>
  <c r="J60"/>
  <c r="J61"/>
  <c r="J58"/>
  <c r="J59"/>
  <c r="J64"/>
  <c r="C22"/>
  <c r="C21"/>
  <c r="C19"/>
  <c r="C20"/>
  <c r="C18"/>
  <c r="C17"/>
  <c r="C16"/>
  <c r="H10"/>
  <c r="H14"/>
  <c r="H11"/>
  <c r="H9"/>
  <c r="H12"/>
  <c r="H15"/>
  <c r="H13"/>
  <c r="O66"/>
  <c r="O69"/>
  <c r="O65"/>
  <c r="O68"/>
  <c r="O71"/>
  <c r="O67"/>
  <c r="O70"/>
  <c r="J17"/>
  <c r="J16"/>
  <c r="J22"/>
  <c r="J21"/>
  <c r="J20"/>
  <c r="J19"/>
  <c r="J18"/>
  <c r="L50"/>
  <c r="L46"/>
  <c r="L49"/>
  <c r="L45"/>
  <c r="L48"/>
  <c r="L44"/>
  <c r="L47"/>
  <c r="L62"/>
  <c r="L63"/>
  <c r="L60"/>
  <c r="L64"/>
  <c r="L58"/>
  <c r="L59"/>
  <c r="L61"/>
  <c r="I26"/>
  <c r="I25"/>
  <c r="I27"/>
  <c r="I24"/>
  <c r="I29"/>
  <c r="I28"/>
  <c r="I23"/>
  <c r="F12"/>
  <c r="F15"/>
  <c r="F9"/>
  <c r="F11"/>
  <c r="F14"/>
  <c r="F13"/>
  <c r="F10"/>
  <c r="D19"/>
  <c r="D18"/>
  <c r="D17"/>
  <c r="D16"/>
  <c r="D22"/>
  <c r="D21"/>
  <c r="D20"/>
  <c r="J33"/>
  <c r="J35"/>
  <c r="J30"/>
  <c r="J31"/>
  <c r="J36"/>
  <c r="J32"/>
  <c r="J34"/>
  <c r="F48"/>
  <c r="F50"/>
  <c r="F47"/>
  <c r="F44"/>
  <c r="F46"/>
  <c r="F49"/>
  <c r="F45"/>
  <c r="F59"/>
  <c r="F58"/>
  <c r="F64"/>
  <c r="F63"/>
  <c r="F62"/>
  <c r="F61"/>
  <c r="F60"/>
  <c r="K29"/>
  <c r="K24"/>
  <c r="K28"/>
  <c r="K26"/>
  <c r="K25"/>
  <c r="K23"/>
  <c r="K27"/>
  <c r="E60"/>
  <c r="E59"/>
  <c r="E58"/>
  <c r="E64"/>
  <c r="E63"/>
  <c r="E62"/>
  <c r="E61"/>
  <c r="M104"/>
  <c r="M100"/>
  <c r="M103"/>
  <c r="M106"/>
  <c r="M105"/>
  <c r="M102"/>
  <c r="M101"/>
  <c r="C127"/>
  <c r="C122"/>
  <c r="C123"/>
  <c r="C125"/>
  <c r="C126"/>
  <c r="C121"/>
  <c r="C124"/>
  <c r="H76"/>
  <c r="H75"/>
  <c r="H74"/>
  <c r="H73"/>
  <c r="H78"/>
  <c r="H72"/>
  <c r="H77"/>
  <c r="M13"/>
  <c r="M10"/>
  <c r="M14"/>
  <c r="M11"/>
  <c r="M15"/>
  <c r="M12"/>
  <c r="M9"/>
  <c r="F27"/>
  <c r="F26"/>
  <c r="F25"/>
  <c r="F24"/>
  <c r="F23"/>
  <c r="F29"/>
  <c r="F28"/>
  <c r="L41"/>
  <c r="L43"/>
  <c r="L39"/>
  <c r="L38"/>
  <c r="L37"/>
  <c r="L40"/>
  <c r="L42"/>
  <c r="H52"/>
  <c r="H51"/>
  <c r="H57"/>
  <c r="H56"/>
  <c r="H55"/>
  <c r="H54"/>
  <c r="H53"/>
  <c r="O119"/>
  <c r="O114"/>
  <c r="O116"/>
  <c r="O117"/>
  <c r="O115"/>
  <c r="O120"/>
  <c r="O118"/>
  <c r="E21"/>
  <c r="E20"/>
  <c r="E19"/>
  <c r="E18"/>
  <c r="E22"/>
  <c r="E17"/>
  <c r="E16"/>
  <c r="K36"/>
  <c r="K35"/>
  <c r="K31"/>
  <c r="K30"/>
  <c r="K32"/>
  <c r="K34"/>
  <c r="K33"/>
  <c r="G44"/>
  <c r="G47"/>
  <c r="G50"/>
  <c r="G46"/>
  <c r="G45"/>
  <c r="G49"/>
  <c r="G48"/>
  <c r="F41"/>
  <c r="F39"/>
  <c r="F43"/>
  <c r="F42"/>
  <c r="F37"/>
  <c r="F40"/>
  <c r="F38"/>
  <c r="M65"/>
  <c r="M68"/>
  <c r="M71"/>
  <c r="M70"/>
  <c r="M69"/>
  <c r="M67"/>
  <c r="M66"/>
  <c r="I43"/>
  <c r="I42"/>
  <c r="I38"/>
  <c r="I40"/>
  <c r="I39"/>
  <c r="I41"/>
  <c r="I37"/>
  <c r="M46"/>
  <c r="M49"/>
  <c r="M45"/>
  <c r="M48"/>
  <c r="M44"/>
  <c r="M47"/>
  <c r="M50"/>
  <c r="O55"/>
  <c r="O56"/>
  <c r="O53"/>
  <c r="O54"/>
  <c r="O51"/>
  <c r="O52"/>
  <c r="O57"/>
  <c r="H43"/>
  <c r="H39"/>
  <c r="H38"/>
  <c r="H37"/>
  <c r="H40"/>
  <c r="H42"/>
  <c r="H41"/>
  <c r="D51"/>
  <c r="D57"/>
  <c r="D56"/>
  <c r="D55"/>
  <c r="D54"/>
  <c r="D53"/>
  <c r="D52"/>
  <c r="O34"/>
  <c r="O35"/>
  <c r="O30"/>
  <c r="O36"/>
  <c r="O32"/>
  <c r="O31"/>
  <c r="O33"/>
  <c r="G33"/>
  <c r="G30"/>
  <c r="G34"/>
  <c r="G35"/>
  <c r="G31"/>
  <c r="G32"/>
  <c r="G36"/>
  <c r="C45"/>
  <c r="C48"/>
  <c r="C46"/>
  <c r="C47"/>
  <c r="C50"/>
  <c r="C44"/>
  <c r="C49"/>
  <c r="L16"/>
  <c r="L17"/>
  <c r="L22"/>
  <c r="L20"/>
  <c r="L21"/>
  <c r="L18"/>
  <c r="L19"/>
  <c r="S47"/>
  <c r="S50"/>
  <c r="S46"/>
  <c r="S49"/>
  <c r="S45"/>
  <c r="S48"/>
  <c r="S44"/>
  <c r="S64"/>
  <c r="S62"/>
  <c r="S63"/>
  <c r="S60"/>
  <c r="S61"/>
  <c r="S58"/>
  <c r="S59"/>
  <c r="E71"/>
  <c r="E67"/>
  <c r="E70"/>
  <c r="E66"/>
  <c r="E69"/>
  <c r="E65"/>
  <c r="E68"/>
  <c r="K21"/>
  <c r="K18"/>
  <c r="K19"/>
  <c r="K16"/>
  <c r="K17"/>
  <c r="K22"/>
  <c r="K20"/>
  <c r="E54"/>
  <c r="E53"/>
  <c r="E52"/>
  <c r="E51"/>
  <c r="E57"/>
  <c r="E56"/>
  <c r="E55"/>
  <c r="C55"/>
  <c r="C54"/>
  <c r="C53"/>
  <c r="C52"/>
  <c r="C51"/>
  <c r="C57"/>
  <c r="C56"/>
  <c r="M59"/>
  <c r="M64"/>
  <c r="M62"/>
  <c r="M63"/>
  <c r="M60"/>
  <c r="M61"/>
  <c r="M58"/>
  <c r="C68"/>
  <c r="C71"/>
  <c r="C67"/>
  <c r="C70"/>
  <c r="C66"/>
  <c r="C69"/>
  <c r="C65"/>
  <c r="F81"/>
  <c r="F80"/>
  <c r="F84"/>
  <c r="F83"/>
  <c r="F79"/>
  <c r="F82"/>
  <c r="F85"/>
  <c r="K61"/>
  <c r="K58"/>
  <c r="K59"/>
  <c r="K64"/>
  <c r="K62"/>
  <c r="K63"/>
  <c r="K60"/>
  <c r="M82"/>
  <c r="M83"/>
  <c r="M79"/>
  <c r="M80"/>
  <c r="M85"/>
  <c r="M81"/>
  <c r="M84"/>
  <c r="E96"/>
  <c r="E99"/>
  <c r="E95"/>
  <c r="E98"/>
  <c r="E94"/>
  <c r="E97"/>
  <c r="E93"/>
  <c r="C102"/>
  <c r="C105"/>
  <c r="C101"/>
  <c r="C100"/>
  <c r="C104"/>
  <c r="C103"/>
  <c r="C106"/>
  <c r="G111"/>
  <c r="G110"/>
  <c r="G113"/>
  <c r="G109"/>
  <c r="G112"/>
  <c r="G108"/>
  <c r="G107"/>
  <c r="D86"/>
  <c r="D90"/>
  <c r="D92"/>
  <c r="D87"/>
  <c r="D88"/>
  <c r="D89"/>
  <c r="D91"/>
  <c r="D114"/>
  <c r="D120"/>
  <c r="D118"/>
  <c r="D116"/>
  <c r="D117"/>
  <c r="D119"/>
  <c r="D115"/>
  <c r="M31"/>
  <c r="M36"/>
  <c r="M35"/>
  <c r="M30"/>
  <c r="M33"/>
  <c r="M32"/>
  <c r="M34"/>
  <c r="M91"/>
  <c r="M86"/>
  <c r="M87"/>
  <c r="M92"/>
  <c r="M90"/>
  <c r="M89"/>
  <c r="M88"/>
  <c r="M117"/>
  <c r="M119"/>
  <c r="M118"/>
  <c r="M115"/>
  <c r="M116"/>
  <c r="M120"/>
  <c r="M114"/>
  <c r="M122"/>
  <c r="M123"/>
  <c r="M125"/>
  <c r="M126"/>
  <c r="M121"/>
  <c r="M124"/>
  <c r="M127"/>
  <c r="D85"/>
  <c r="D81"/>
  <c r="D84"/>
  <c r="D80"/>
  <c r="D83"/>
  <c r="D79"/>
  <c r="D82"/>
  <c r="O61"/>
  <c r="O64"/>
  <c r="O62"/>
  <c r="O58"/>
  <c r="O60"/>
  <c r="O59"/>
  <c r="O63"/>
  <c r="L74"/>
  <c r="L78"/>
  <c r="L73"/>
  <c r="L77"/>
  <c r="L75"/>
  <c r="L76"/>
  <c r="L72"/>
  <c r="G25"/>
  <c r="G24"/>
  <c r="G27"/>
  <c r="G29"/>
  <c r="G28"/>
  <c r="G23"/>
  <c r="G26"/>
  <c r="M40"/>
  <c r="M39"/>
  <c r="M42"/>
  <c r="M37"/>
  <c r="M43"/>
  <c r="M41"/>
  <c r="M38"/>
  <c r="K69"/>
  <c r="K65"/>
  <c r="K68"/>
  <c r="K71"/>
  <c r="K67"/>
  <c r="K70"/>
  <c r="K66"/>
  <c r="C79"/>
  <c r="C82"/>
  <c r="C85"/>
  <c r="C81"/>
  <c r="C84"/>
  <c r="C80"/>
  <c r="C83"/>
  <c r="O92"/>
  <c r="O90"/>
  <c r="O91"/>
  <c r="O86"/>
  <c r="O88"/>
  <c r="O89"/>
  <c r="O87"/>
  <c r="J85"/>
  <c r="J81"/>
  <c r="J84"/>
  <c r="J82"/>
  <c r="J83"/>
  <c r="J80"/>
  <c r="J79"/>
  <c r="D110"/>
  <c r="D112"/>
  <c r="D109"/>
  <c r="D113"/>
  <c r="D111"/>
  <c r="D108"/>
  <c r="D107"/>
  <c r="G65"/>
  <c r="G68"/>
  <c r="G71"/>
  <c r="G70"/>
  <c r="G69"/>
  <c r="G67"/>
  <c r="G66"/>
  <c r="H83"/>
  <c r="H79"/>
  <c r="H84"/>
  <c r="H85"/>
  <c r="H82"/>
  <c r="H81"/>
  <c r="H80"/>
  <c r="N33"/>
  <c r="N36"/>
  <c r="N32"/>
  <c r="N31"/>
  <c r="N30"/>
  <c r="N35"/>
  <c r="N34"/>
  <c r="N58"/>
  <c r="N59"/>
  <c r="N64"/>
  <c r="N62"/>
  <c r="N60"/>
  <c r="N63"/>
  <c r="N61"/>
  <c r="S88"/>
  <c r="S91"/>
  <c r="S92"/>
  <c r="S86"/>
  <c r="S89"/>
  <c r="S87"/>
  <c r="S90"/>
  <c r="S118"/>
  <c r="S115"/>
  <c r="S116"/>
  <c r="S119"/>
  <c r="S114"/>
  <c r="S120"/>
  <c r="S117"/>
  <c r="C59"/>
  <c r="C58"/>
  <c r="C64"/>
  <c r="C63"/>
  <c r="C61"/>
  <c r="C62"/>
  <c r="C60"/>
  <c r="E90"/>
  <c r="E86"/>
  <c r="E88"/>
  <c r="E89"/>
  <c r="E92"/>
  <c r="E91"/>
  <c r="E87"/>
  <c r="M95"/>
  <c r="M94"/>
  <c r="M93"/>
  <c r="M98"/>
  <c r="M96"/>
  <c r="M97"/>
  <c r="M99"/>
  <c r="K106"/>
  <c r="K102"/>
  <c r="K101"/>
  <c r="K104"/>
  <c r="K103"/>
  <c r="K100"/>
  <c r="K105"/>
  <c r="E115"/>
  <c r="E116"/>
  <c r="E118"/>
  <c r="E119"/>
  <c r="E117"/>
  <c r="E114"/>
  <c r="E120"/>
  <c r="L89"/>
  <c r="L91"/>
  <c r="L90"/>
  <c r="L87"/>
  <c r="L88"/>
  <c r="L92"/>
  <c r="L86"/>
  <c r="E42"/>
  <c r="E38"/>
  <c r="E37"/>
  <c r="E39"/>
  <c r="E41"/>
  <c r="E40"/>
  <c r="E43"/>
  <c r="I48"/>
  <c r="I44"/>
  <c r="I49"/>
  <c r="I50"/>
  <c r="I46"/>
  <c r="I47"/>
  <c r="I45"/>
  <c r="I64"/>
  <c r="I62"/>
  <c r="I63"/>
  <c r="I60"/>
  <c r="I61"/>
  <c r="I58"/>
  <c r="I59"/>
  <c r="K92"/>
  <c r="K90"/>
  <c r="K89"/>
  <c r="K88"/>
  <c r="K91"/>
  <c r="K86"/>
  <c r="K87"/>
  <c r="K114"/>
  <c r="K115"/>
  <c r="K117"/>
  <c r="K118"/>
  <c r="K120"/>
  <c r="K116"/>
  <c r="K119"/>
  <c r="I123"/>
  <c r="I126"/>
  <c r="I121"/>
  <c r="I122"/>
  <c r="I124"/>
  <c r="I125"/>
  <c r="I127"/>
  <c r="G63"/>
  <c r="G62"/>
  <c r="G61"/>
  <c r="G60"/>
  <c r="G59"/>
  <c r="G58"/>
  <c r="G64"/>
  <c r="O82"/>
  <c r="O85"/>
  <c r="O81"/>
  <c r="O84"/>
  <c r="O80"/>
  <c r="O83"/>
  <c r="O79"/>
  <c r="I92"/>
  <c r="I89"/>
  <c r="I86"/>
  <c r="I88"/>
  <c r="I90"/>
  <c r="I87"/>
  <c r="I91"/>
  <c r="I120"/>
  <c r="I115"/>
  <c r="I116"/>
  <c r="I114"/>
  <c r="I118"/>
  <c r="I119"/>
  <c r="I117"/>
  <c r="E121"/>
  <c r="E124"/>
  <c r="E126"/>
  <c r="E125"/>
  <c r="E122"/>
  <c r="E123"/>
  <c r="E127"/>
  <c r="P36"/>
  <c r="P32"/>
  <c r="P35"/>
  <c r="P31"/>
  <c r="P34"/>
  <c r="P30"/>
  <c r="P33"/>
  <c r="C15"/>
  <c r="C11"/>
  <c r="C14"/>
  <c r="C10"/>
  <c r="C13"/>
  <c r="C9"/>
  <c r="C12"/>
  <c r="N76"/>
  <c r="N74"/>
  <c r="N73"/>
  <c r="N72"/>
  <c r="N78"/>
  <c r="N77"/>
  <c r="N75"/>
  <c r="Q42"/>
  <c r="Q41"/>
  <c r="Q40"/>
  <c r="Q39"/>
  <c r="Q38"/>
  <c r="Q37"/>
  <c r="Q43"/>
  <c r="K44"/>
  <c r="K47"/>
  <c r="K50"/>
  <c r="K48"/>
  <c r="K49"/>
  <c r="K45"/>
  <c r="K46"/>
  <c r="C90"/>
  <c r="C86"/>
  <c r="C88"/>
  <c r="C92"/>
  <c r="C87"/>
  <c r="C91"/>
  <c r="C89"/>
  <c r="K98"/>
  <c r="K94"/>
  <c r="K97"/>
  <c r="K93"/>
  <c r="K96"/>
  <c r="K99"/>
  <c r="K95"/>
  <c r="I105"/>
  <c r="I104"/>
  <c r="I103"/>
  <c r="I106"/>
  <c r="I102"/>
  <c r="I101"/>
  <c r="I100"/>
  <c r="M112"/>
  <c r="M111"/>
  <c r="M110"/>
  <c r="M109"/>
  <c r="M107"/>
  <c r="M113"/>
  <c r="M108"/>
  <c r="C117"/>
  <c r="C120"/>
  <c r="C116"/>
  <c r="C115"/>
  <c r="C119"/>
  <c r="C118"/>
  <c r="C114"/>
  <c r="J86"/>
  <c r="J92"/>
  <c r="J91"/>
  <c r="J87"/>
  <c r="J90"/>
  <c r="J89"/>
  <c r="J88"/>
  <c r="J120"/>
  <c r="J119"/>
  <c r="J116"/>
  <c r="J117"/>
  <c r="J115"/>
  <c r="J114"/>
  <c r="J118"/>
  <c r="C74"/>
  <c r="C77"/>
  <c r="C72"/>
  <c r="C73"/>
  <c r="C75"/>
  <c r="C78"/>
  <c r="C76"/>
  <c r="J72"/>
  <c r="J77"/>
  <c r="J76"/>
  <c r="J75"/>
  <c r="J73"/>
  <c r="J74"/>
  <c r="J78"/>
  <c r="I98"/>
  <c r="I94"/>
  <c r="I97"/>
  <c r="I93"/>
  <c r="I99"/>
  <c r="I96"/>
  <c r="I95"/>
  <c r="G106"/>
  <c r="G102"/>
  <c r="G105"/>
  <c r="G101"/>
  <c r="G104"/>
  <c r="G100"/>
  <c r="G103"/>
  <c r="K110"/>
  <c r="K109"/>
  <c r="K113"/>
  <c r="K108"/>
  <c r="K107"/>
  <c r="K112"/>
  <c r="K111"/>
  <c r="H86"/>
  <c r="H89"/>
  <c r="H88"/>
  <c r="H90"/>
  <c r="H91"/>
  <c r="H87"/>
  <c r="H92"/>
  <c r="S105"/>
  <c r="S101"/>
  <c r="S104"/>
  <c r="S100"/>
  <c r="S103"/>
  <c r="S102"/>
  <c r="S106"/>
  <c r="G72"/>
  <c r="G78"/>
  <c r="G77"/>
  <c r="G76"/>
  <c r="G74"/>
  <c r="G75"/>
  <c r="G73"/>
  <c r="S81"/>
  <c r="S82"/>
  <c r="S85"/>
  <c r="S79"/>
  <c r="S84"/>
  <c r="S83"/>
  <c r="S80"/>
  <c r="F97"/>
  <c r="F93"/>
  <c r="F96"/>
  <c r="F98"/>
  <c r="F99"/>
  <c r="F95"/>
  <c r="F94"/>
  <c r="D104"/>
  <c r="D100"/>
  <c r="D103"/>
  <c r="D106"/>
  <c r="D105"/>
  <c r="D101"/>
  <c r="D102"/>
  <c r="H113"/>
  <c r="H108"/>
  <c r="H112"/>
  <c r="H109"/>
  <c r="H111"/>
  <c r="H110"/>
  <c r="H107"/>
  <c r="D69"/>
  <c r="D65"/>
  <c r="D68"/>
  <c r="D71"/>
  <c r="D70"/>
  <c r="D67"/>
  <c r="D66"/>
  <c r="E85"/>
  <c r="E81"/>
  <c r="E84"/>
  <c r="E80"/>
  <c r="E83"/>
  <c r="E82"/>
  <c r="E79"/>
  <c r="L84"/>
  <c r="L80"/>
  <c r="L81"/>
  <c r="L79"/>
  <c r="L82"/>
  <c r="L85"/>
  <c r="L83"/>
  <c r="D99"/>
  <c r="D95"/>
  <c r="D98"/>
  <c r="D94"/>
  <c r="D97"/>
  <c r="D93"/>
  <c r="D96"/>
  <c r="F112"/>
  <c r="F113"/>
  <c r="F108"/>
  <c r="F107"/>
  <c r="F110"/>
  <c r="F109"/>
  <c r="F111"/>
  <c r="E34"/>
  <c r="E30"/>
  <c r="E31"/>
  <c r="E33"/>
  <c r="E32"/>
  <c r="E35"/>
  <c r="E36"/>
  <c r="K55"/>
  <c r="K56"/>
  <c r="K54"/>
  <c r="K57"/>
  <c r="K51"/>
  <c r="K53"/>
  <c r="K52"/>
  <c r="I55"/>
  <c r="I54"/>
  <c r="I53"/>
  <c r="I52"/>
  <c r="I51"/>
  <c r="I57"/>
  <c r="I56"/>
  <c r="J65"/>
  <c r="J68"/>
  <c r="J71"/>
  <c r="J67"/>
  <c r="J70"/>
  <c r="J66"/>
  <c r="J69"/>
  <c r="K81"/>
  <c r="K82"/>
  <c r="K84"/>
  <c r="K83"/>
  <c r="K79"/>
  <c r="K85"/>
  <c r="K80"/>
  <c r="C98"/>
  <c r="C94"/>
  <c r="C97"/>
  <c r="C93"/>
  <c r="C96"/>
  <c r="C99"/>
  <c r="C95"/>
  <c r="E109"/>
  <c r="E108"/>
  <c r="E113"/>
  <c r="E112"/>
  <c r="E111"/>
  <c r="E107"/>
  <c r="E110"/>
  <c r="O76"/>
  <c r="O75"/>
  <c r="O74"/>
  <c r="O73"/>
  <c r="O72"/>
  <c r="O78"/>
  <c r="O77"/>
  <c r="J93"/>
  <c r="J94"/>
  <c r="J99"/>
  <c r="J97"/>
  <c r="J98"/>
  <c r="J95"/>
  <c r="J96"/>
  <c r="H100"/>
  <c r="H103"/>
  <c r="H106"/>
  <c r="H102"/>
  <c r="H104"/>
  <c r="H101"/>
  <c r="H105"/>
  <c r="L108"/>
  <c r="L110"/>
  <c r="L107"/>
  <c r="L111"/>
  <c r="L113"/>
  <c r="L109"/>
  <c r="L112"/>
  <c r="N86"/>
  <c r="N89"/>
  <c r="N91"/>
  <c r="N90"/>
  <c r="N92"/>
  <c r="N88"/>
  <c r="N87"/>
  <c r="H68"/>
  <c r="H71"/>
  <c r="H67"/>
  <c r="H70"/>
  <c r="H66"/>
  <c r="H69"/>
  <c r="H65"/>
  <c r="O101"/>
  <c r="O104"/>
  <c r="O100"/>
  <c r="O103"/>
  <c r="O106"/>
  <c r="O102"/>
  <c r="O105"/>
  <c r="I79"/>
  <c r="I82"/>
  <c r="I85"/>
  <c r="I83"/>
  <c r="I84"/>
  <c r="I80"/>
  <c r="I81"/>
  <c r="C112"/>
  <c r="C108"/>
  <c r="C111"/>
  <c r="C110"/>
  <c r="C107"/>
  <c r="C113"/>
  <c r="C109"/>
  <c r="F74"/>
  <c r="F73"/>
  <c r="F78"/>
  <c r="F72"/>
  <c r="F77"/>
  <c r="F76"/>
  <c r="F75"/>
  <c r="H95"/>
  <c r="H98"/>
  <c r="H94"/>
  <c r="H97"/>
  <c r="H93"/>
  <c r="H96"/>
  <c r="H99"/>
  <c r="F102"/>
  <c r="F105"/>
  <c r="F101"/>
  <c r="F104"/>
  <c r="F100"/>
  <c r="F103"/>
  <c r="F106"/>
  <c r="R41"/>
  <c r="R40"/>
  <c r="R39"/>
  <c r="R38"/>
  <c r="R37"/>
  <c r="R43"/>
  <c r="R42"/>
  <c r="P28"/>
  <c r="P27"/>
  <c r="P26"/>
  <c r="P25"/>
  <c r="P24"/>
  <c r="P23"/>
  <c r="P29"/>
  <c r="Q107"/>
  <c r="Q111"/>
  <c r="Q108"/>
  <c r="Q109"/>
  <c r="Q110"/>
  <c r="Q112"/>
  <c r="Q113"/>
  <c r="Q36"/>
  <c r="Q32"/>
  <c r="Q35"/>
  <c r="Q31"/>
  <c r="Q33"/>
  <c r="Q30"/>
  <c r="Q34"/>
  <c r="N29"/>
  <c r="N26"/>
  <c r="N27"/>
  <c r="N28"/>
  <c r="N24"/>
  <c r="N25"/>
  <c r="N23"/>
  <c r="Q103"/>
  <c r="Q106"/>
  <c r="Q102"/>
  <c r="Q105"/>
  <c r="Q101"/>
  <c r="Q104"/>
  <c r="Q100"/>
  <c r="N98"/>
  <c r="N94"/>
  <c r="N97"/>
  <c r="N93"/>
  <c r="N96"/>
  <c r="N99"/>
  <c r="N95"/>
  <c r="N18"/>
  <c r="N19"/>
  <c r="N16"/>
  <c r="N17"/>
  <c r="N22"/>
  <c r="N20"/>
  <c r="N21"/>
  <c r="P106"/>
  <c r="P103"/>
  <c r="P102"/>
  <c r="P105"/>
  <c r="P101"/>
  <c r="P104"/>
  <c r="P100"/>
  <c r="R83"/>
  <c r="R79"/>
  <c r="R84"/>
  <c r="R81"/>
  <c r="R80"/>
  <c r="R85"/>
  <c r="R82"/>
  <c r="Q54"/>
  <c r="Q51"/>
  <c r="Q52"/>
  <c r="Q53"/>
  <c r="Q55"/>
  <c r="Q57"/>
  <c r="Q56"/>
  <c r="P98"/>
  <c r="P97"/>
  <c r="P99"/>
  <c r="P93"/>
  <c r="P95"/>
  <c r="P94"/>
  <c r="P96"/>
  <c r="R75"/>
  <c r="R76"/>
  <c r="R72"/>
  <c r="R77"/>
  <c r="R73"/>
  <c r="R78"/>
  <c r="R74"/>
  <c r="Q29"/>
  <c r="Q28"/>
  <c r="Q27"/>
  <c r="Q26"/>
  <c r="Q25"/>
  <c r="Q24"/>
  <c r="Q23"/>
  <c r="R127"/>
  <c r="R126"/>
  <c r="R125"/>
  <c r="R122"/>
  <c r="R123"/>
  <c r="R124"/>
  <c r="R121"/>
  <c r="E75"/>
  <c r="E74"/>
  <c r="E73"/>
  <c r="E72"/>
  <c r="E78"/>
  <c r="E77"/>
  <c r="E76"/>
  <c r="P69"/>
  <c r="P66"/>
  <c r="P65"/>
  <c r="P68"/>
  <c r="P71"/>
  <c r="P67"/>
  <c r="P70"/>
  <c r="R33"/>
  <c r="R30"/>
  <c r="R34"/>
  <c r="R31"/>
  <c r="R36"/>
  <c r="R32"/>
  <c r="R35"/>
  <c r="Q20"/>
  <c r="Q21"/>
  <c r="Q18"/>
  <c r="Q19"/>
  <c r="Q16"/>
  <c r="Q17"/>
  <c r="Q22"/>
  <c r="N9"/>
  <c r="N13"/>
  <c r="N10"/>
  <c r="N14"/>
  <c r="N11"/>
  <c r="N15"/>
  <c r="N12"/>
  <c r="I72"/>
  <c r="I75"/>
  <c r="I77"/>
  <c r="I78"/>
  <c r="I73"/>
  <c r="I74"/>
  <c r="I76"/>
  <c r="R26"/>
  <c r="R23"/>
  <c r="R24"/>
  <c r="R25"/>
  <c r="R29"/>
  <c r="R28"/>
  <c r="R27"/>
  <c r="P16"/>
  <c r="P17"/>
  <c r="P22"/>
  <c r="P20"/>
  <c r="P18"/>
  <c r="P19"/>
  <c r="P21"/>
  <c r="S73"/>
  <c r="S74"/>
  <c r="S72"/>
  <c r="S77"/>
  <c r="S78"/>
  <c r="S75"/>
  <c r="S76"/>
  <c r="P86"/>
  <c r="P87"/>
  <c r="P92"/>
  <c r="P88"/>
  <c r="P91"/>
  <c r="P90"/>
  <c r="P89"/>
  <c r="R67"/>
  <c r="R68"/>
  <c r="R69"/>
  <c r="R71"/>
  <c r="R70"/>
  <c r="R66"/>
  <c r="R65"/>
  <c r="D12"/>
  <c r="D9"/>
  <c r="D10"/>
  <c r="D15"/>
  <c r="D11"/>
  <c r="D14"/>
  <c r="D13"/>
  <c r="M77"/>
  <c r="M76"/>
  <c r="M75"/>
  <c r="M74"/>
  <c r="M73"/>
  <c r="M78"/>
  <c r="M72"/>
  <c r="P14"/>
  <c r="P12"/>
  <c r="P11"/>
  <c r="P9"/>
  <c r="P15"/>
  <c r="P13"/>
  <c r="P10"/>
  <c r="Q99"/>
  <c r="Q98"/>
  <c r="Q94"/>
  <c r="Q97"/>
  <c r="Q95"/>
  <c r="Q96"/>
  <c r="Q93"/>
  <c r="P80"/>
  <c r="P83"/>
  <c r="P79"/>
  <c r="P82"/>
  <c r="P85"/>
  <c r="P81"/>
  <c r="P84"/>
  <c r="R50"/>
  <c r="R44"/>
  <c r="R45"/>
  <c r="R47"/>
  <c r="R48"/>
  <c r="R46"/>
  <c r="R49"/>
  <c r="Q92"/>
  <c r="Q91"/>
  <c r="Q89"/>
  <c r="Q88"/>
  <c r="Q90"/>
  <c r="Q87"/>
  <c r="Q86"/>
  <c r="N84"/>
  <c r="N85"/>
  <c r="N79"/>
  <c r="N81"/>
  <c r="N83"/>
  <c r="N82"/>
  <c r="N80"/>
  <c r="J111"/>
  <c r="J107"/>
  <c r="J110"/>
  <c r="J113"/>
  <c r="J109"/>
  <c r="J112"/>
  <c r="J108"/>
  <c r="L114"/>
  <c r="L115"/>
  <c r="L116"/>
  <c r="L120"/>
  <c r="L119"/>
  <c r="L118"/>
  <c r="L117"/>
  <c r="K73"/>
  <c r="K78"/>
  <c r="K72"/>
  <c r="K77"/>
  <c r="K76"/>
  <c r="K75"/>
  <c r="K74"/>
  <c r="K126"/>
  <c r="K121"/>
  <c r="K122"/>
  <c r="K124"/>
  <c r="K125"/>
  <c r="K127"/>
  <c r="K123"/>
  <c r="P51"/>
  <c r="P52"/>
  <c r="P57"/>
  <c r="P55"/>
  <c r="P56"/>
  <c r="P53"/>
  <c r="P54"/>
  <c r="R17"/>
  <c r="R22"/>
  <c r="R19"/>
  <c r="R21"/>
  <c r="R18"/>
  <c r="R20"/>
  <c r="R16"/>
  <c r="S125"/>
  <c r="S126"/>
  <c r="S121"/>
  <c r="S124"/>
  <c r="S127"/>
  <c r="S122"/>
  <c r="S123"/>
  <c r="Q60"/>
  <c r="Q61"/>
  <c r="Q58"/>
  <c r="Q59"/>
  <c r="Q64"/>
  <c r="Q62"/>
  <c r="Q63"/>
  <c r="N54"/>
  <c r="N51"/>
  <c r="N52"/>
  <c r="N57"/>
  <c r="N56"/>
  <c r="N55"/>
  <c r="N53"/>
  <c r="R15"/>
  <c r="R13"/>
  <c r="R10"/>
  <c r="R14"/>
  <c r="R11"/>
  <c r="R9"/>
  <c r="R12"/>
  <c r="N121"/>
  <c r="N127"/>
  <c r="N126"/>
  <c r="N123"/>
  <c r="N124"/>
  <c r="N125"/>
  <c r="N122"/>
  <c r="N47"/>
  <c r="N49"/>
  <c r="N46"/>
  <c r="N50"/>
  <c r="N45"/>
  <c r="N48"/>
  <c r="N44"/>
  <c r="Q14"/>
  <c r="Q15"/>
  <c r="Q10"/>
  <c r="Q11"/>
  <c r="Q13"/>
  <c r="Q12"/>
  <c r="Q9"/>
  <c r="R110"/>
  <c r="R108"/>
  <c r="R107"/>
  <c r="R111"/>
  <c r="R112"/>
  <c r="R109"/>
  <c r="R113"/>
  <c r="N117"/>
  <c r="N116"/>
  <c r="N119"/>
  <c r="N114"/>
  <c r="N115"/>
  <c r="N120"/>
  <c r="N118"/>
  <c r="Q85"/>
  <c r="Q81"/>
  <c r="Q84"/>
  <c r="Q82"/>
  <c r="Q83"/>
  <c r="Q79"/>
  <c r="Q80"/>
  <c r="P121"/>
  <c r="P127"/>
  <c r="P124"/>
  <c r="P126"/>
  <c r="P125"/>
  <c r="P123"/>
  <c r="P122"/>
  <c r="Q72"/>
  <c r="Q77"/>
  <c r="Q78"/>
  <c r="Q74"/>
  <c r="Q76"/>
  <c r="Q73"/>
  <c r="Q75"/>
  <c r="N68"/>
  <c r="N67"/>
  <c r="N70"/>
  <c r="N69"/>
  <c r="N71"/>
  <c r="N65"/>
  <c r="N66"/>
  <c r="R117"/>
  <c r="R115"/>
  <c r="R118"/>
  <c r="R120"/>
  <c r="R114"/>
  <c r="R119"/>
  <c r="R116"/>
  <c r="P76"/>
  <c r="P73"/>
  <c r="P74"/>
  <c r="P75"/>
  <c r="P72"/>
  <c r="P77"/>
  <c r="P78"/>
  <c r="R57"/>
  <c r="R52"/>
  <c r="R55"/>
  <c r="R56"/>
  <c r="R51"/>
  <c r="R54"/>
  <c r="R53"/>
  <c r="Q48"/>
  <c r="Q44"/>
  <c r="Q47"/>
  <c r="Q50"/>
  <c r="Q46"/>
  <c r="Q49"/>
  <c r="Q45"/>
  <c r="N40"/>
  <c r="N39"/>
  <c r="N38"/>
  <c r="N37"/>
  <c r="N43"/>
  <c r="N42"/>
  <c r="N41"/>
  <c r="F124"/>
  <c r="F123"/>
  <c r="F126"/>
  <c r="F121"/>
  <c r="F122"/>
  <c r="F127"/>
  <c r="F125"/>
  <c r="R62"/>
  <c r="R63"/>
  <c r="R60"/>
  <c r="R61"/>
  <c r="R58"/>
  <c r="R59"/>
  <c r="R64"/>
  <c r="P49"/>
  <c r="P45"/>
  <c r="P48"/>
  <c r="P44"/>
  <c r="P47"/>
  <c r="P46"/>
  <c r="P50"/>
  <c r="P118"/>
  <c r="P117"/>
  <c r="P120"/>
  <c r="P115"/>
  <c r="P114"/>
  <c r="P116"/>
  <c r="P119"/>
  <c r="R95"/>
  <c r="R94"/>
  <c r="R96"/>
  <c r="R99"/>
  <c r="R97"/>
  <c r="R98"/>
  <c r="R93"/>
  <c r="H121"/>
  <c r="H124"/>
  <c r="H127"/>
  <c r="H125"/>
  <c r="H122"/>
  <c r="H123"/>
  <c r="H126"/>
  <c r="P43"/>
  <c r="P37"/>
  <c r="P42"/>
  <c r="P41"/>
  <c r="P38"/>
  <c r="P39"/>
  <c r="P40"/>
  <c r="Q124"/>
  <c r="Q125"/>
  <c r="Q123"/>
  <c r="Q126"/>
  <c r="Q127"/>
  <c r="Q122"/>
  <c r="Q121"/>
  <c r="H120"/>
  <c r="H119"/>
  <c r="H116"/>
  <c r="H117"/>
  <c r="H118"/>
  <c r="H115"/>
  <c r="H114"/>
  <c r="D126"/>
  <c r="D123"/>
  <c r="D124"/>
  <c r="D125"/>
  <c r="D122"/>
  <c r="D121"/>
  <c r="D127"/>
  <c r="P110"/>
  <c r="P113"/>
  <c r="P109"/>
  <c r="P112"/>
  <c r="P108"/>
  <c r="P111"/>
  <c r="P107"/>
  <c r="R101"/>
  <c r="R102"/>
  <c r="R100"/>
  <c r="R103"/>
  <c r="R106"/>
  <c r="R104"/>
  <c r="R105"/>
  <c r="J123"/>
  <c r="J122"/>
  <c r="J121"/>
  <c r="J124"/>
  <c r="J127"/>
  <c r="J125"/>
  <c r="J126"/>
  <c r="Q120"/>
  <c r="Q118"/>
  <c r="Q117"/>
  <c r="Q116"/>
  <c r="Q114"/>
  <c r="Q115"/>
  <c r="Q119"/>
  <c r="N108"/>
  <c r="N111"/>
  <c r="N107"/>
  <c r="N110"/>
  <c r="N113"/>
  <c r="N112"/>
  <c r="N109"/>
  <c r="R87"/>
  <c r="R89"/>
  <c r="R88"/>
  <c r="R86"/>
  <c r="R92"/>
  <c r="R90"/>
  <c r="R91"/>
  <c r="P64"/>
  <c r="P62"/>
  <c r="P63"/>
  <c r="P59"/>
  <c r="P61"/>
  <c r="P58"/>
  <c r="P60"/>
  <c r="L126"/>
  <c r="L121"/>
  <c r="L125"/>
  <c r="L127"/>
  <c r="L123"/>
  <c r="L122"/>
  <c r="L124"/>
  <c r="N102"/>
  <c r="N103"/>
  <c r="N106"/>
  <c r="N101"/>
  <c r="N105"/>
  <c r="N100"/>
  <c r="N104"/>
  <c r="Q66"/>
  <c r="Q65"/>
  <c r="Q70"/>
  <c r="Q71"/>
  <c r="Q67"/>
  <c r="Q68"/>
  <c r="Q69"/>
  <c r="AH564" i="4"/>
  <c r="AK564" s="1"/>
</calcChain>
</file>

<file path=xl/comments1.xml><?xml version="1.0" encoding="utf-8"?>
<comments xmlns="http://schemas.openxmlformats.org/spreadsheetml/2006/main">
  <authors>
    <author>jmarks</author>
    <author>mloverde</author>
    <author>Alicia A. Diaz</author>
    <author>christinam</author>
    <author>jennifer berg</author>
    <author>AngelaDetlev</author>
    <author>Jeannie Reed</author>
  </authors>
  <commentList>
    <comment ref="A1" authorId="0">
      <text>
        <r>
          <rPr>
            <sz val="10"/>
            <color indexed="81"/>
            <rFont val="Tahoma"/>
            <family val="2"/>
          </rPr>
          <t xml:space="preserve">DELETE SPACES in data to remove error messages
</t>
        </r>
      </text>
    </comment>
    <comment ref="B16" authorId="1">
      <text>
        <r>
          <rPr>
            <b/>
            <sz val="8"/>
            <color indexed="81"/>
            <rFont val="Tahoma"/>
            <family val="2"/>
          </rPr>
          <t>Met criteria for classification as a SREB Four-Year 5 in 2007-08, 2008-09.</t>
        </r>
      </text>
    </comment>
    <comment ref="BP20" authorId="0">
      <text>
        <r>
          <rPr>
            <b/>
            <sz val="10"/>
            <color indexed="81"/>
            <rFont val="Tahoma"/>
            <family val="2"/>
          </rPr>
          <t>jmarks:</t>
        </r>
        <r>
          <rPr>
            <sz val="10"/>
            <color indexed="81"/>
            <rFont val="Tahoma"/>
            <family val="2"/>
          </rPr>
          <t xml:space="preserve">
includes 3 put in the "single rank" column -- a column reserved for two-year colleges. I calculated a weighted average for the 6 to put here.</t>
        </r>
      </text>
    </comment>
    <comment ref="B25" authorId="1">
      <text>
        <r>
          <rPr>
            <b/>
            <sz val="8"/>
            <color indexed="81"/>
            <rFont val="Tahoma"/>
            <family val="2"/>
          </rPr>
          <t>Met criteria for two-year 3 ("10") in 2008-09</t>
        </r>
      </text>
    </comment>
    <comment ref="B41" authorId="2">
      <text>
        <r>
          <rPr>
            <b/>
            <sz val="8"/>
            <color indexed="81"/>
            <rFont val="Tahoma"/>
            <family val="2"/>
          </rPr>
          <t>met the criteria for a SREB two-year 2 ("9") in 2008-09.</t>
        </r>
      </text>
    </comment>
    <comment ref="AC47" authorId="3">
      <text>
        <r>
          <rPr>
            <b/>
            <sz val="8"/>
            <color indexed="81"/>
            <rFont val="Tahoma"/>
            <family val="2"/>
          </rPr>
          <t>christinam:</t>
        </r>
        <r>
          <rPr>
            <sz val="8"/>
            <color indexed="81"/>
            <rFont val="Tahoma"/>
            <family val="2"/>
          </rPr>
          <t xml:space="preserve">
Reassessed use of titles on campus.</t>
        </r>
      </text>
    </comment>
    <comment ref="AU47" authorId="3">
      <text>
        <r>
          <rPr>
            <b/>
            <sz val="8"/>
            <color indexed="81"/>
            <rFont val="Tahoma"/>
            <family val="2"/>
          </rPr>
          <t>christinam:</t>
        </r>
        <r>
          <rPr>
            <sz val="8"/>
            <color indexed="81"/>
            <rFont val="Tahoma"/>
            <family val="2"/>
          </rPr>
          <t xml:space="preserve">
Reassessed use of titles on campus.</t>
        </r>
      </text>
    </comment>
    <comment ref="BA47" authorId="3">
      <text>
        <r>
          <rPr>
            <b/>
            <sz val="8"/>
            <color indexed="81"/>
            <rFont val="Tahoma"/>
            <family val="2"/>
          </rPr>
          <t>christinam:</t>
        </r>
        <r>
          <rPr>
            <sz val="8"/>
            <color indexed="81"/>
            <rFont val="Tahoma"/>
            <family val="2"/>
          </rPr>
          <t xml:space="preserve">
Reassessed use of titles on campus.</t>
        </r>
      </text>
    </comment>
    <comment ref="BN47" authorId="3">
      <text>
        <r>
          <rPr>
            <b/>
            <sz val="8"/>
            <color indexed="81"/>
            <rFont val="Tahoma"/>
            <family val="2"/>
          </rPr>
          <t>christinam:</t>
        </r>
        <r>
          <rPr>
            <sz val="8"/>
            <color indexed="81"/>
            <rFont val="Tahoma"/>
            <family val="2"/>
          </rPr>
          <t xml:space="preserve">
Reassessed the use of titles on campus.</t>
        </r>
      </text>
    </comment>
    <comment ref="BN49" authorId="3">
      <text>
        <r>
          <rPr>
            <b/>
            <sz val="8"/>
            <color indexed="81"/>
            <rFont val="Tahoma"/>
            <family val="2"/>
          </rPr>
          <t>christinam:</t>
        </r>
        <r>
          <rPr>
            <sz val="8"/>
            <color indexed="81"/>
            <rFont val="Tahoma"/>
            <family val="2"/>
          </rPr>
          <t xml:space="preserve">
Facutly with no rank incorrectly reported by the institutions last year.</t>
        </r>
      </text>
    </comment>
    <comment ref="BB50" authorId="3">
      <text>
        <r>
          <rPr>
            <b/>
            <sz val="8"/>
            <color indexed="81"/>
            <rFont val="Tahoma"/>
            <family val="2"/>
          </rPr>
          <t>christinam:</t>
        </r>
        <r>
          <rPr>
            <sz val="8"/>
            <color indexed="81"/>
            <rFont val="Tahoma"/>
            <family val="2"/>
          </rPr>
          <t xml:space="preserve">
Salary increase for one who was named department chair.</t>
        </r>
      </text>
    </comment>
    <comment ref="AC51" authorId="3">
      <text>
        <r>
          <rPr>
            <b/>
            <sz val="8"/>
            <color indexed="81"/>
            <rFont val="Tahoma"/>
            <family val="2"/>
          </rPr>
          <t>christinam:</t>
        </r>
        <r>
          <rPr>
            <sz val="8"/>
            <color indexed="81"/>
            <rFont val="Tahoma"/>
            <family val="2"/>
          </rPr>
          <t xml:space="preserve">
Campus growth has lead to an increase in hiring.</t>
        </r>
      </text>
    </comment>
    <comment ref="AV53" authorId="3">
      <text>
        <r>
          <rPr>
            <b/>
            <sz val="8"/>
            <color indexed="81"/>
            <rFont val="Tahoma"/>
            <family val="2"/>
          </rPr>
          <t>christinam:</t>
        </r>
        <r>
          <rPr>
            <sz val="8"/>
            <color indexed="81"/>
            <rFont val="Tahoma"/>
            <family val="2"/>
          </rPr>
          <t xml:space="preserve">
One of the Assoc. Prof.'s was promoted to Dean, thus salary increase.</t>
        </r>
      </text>
    </comment>
    <comment ref="B55" authorId="1">
      <text>
        <r>
          <rPr>
            <b/>
            <sz val="10"/>
            <color indexed="81"/>
            <rFont val="Tahoma"/>
            <family val="2"/>
          </rPr>
          <t>Reclassified: met the criteria for classification as a SREB Four-Year 6 in 2006-07, 2007-08 and 2008-09.</t>
        </r>
      </text>
    </comment>
    <comment ref="AV55" authorId="3">
      <text>
        <r>
          <rPr>
            <b/>
            <sz val="8"/>
            <color indexed="81"/>
            <rFont val="Tahoma"/>
            <family val="2"/>
          </rPr>
          <t>christinam:</t>
        </r>
        <r>
          <rPr>
            <sz val="8"/>
            <color indexed="81"/>
            <rFont val="Tahoma"/>
            <family val="2"/>
          </rPr>
          <t xml:space="preserve">
Transition of grandfathered faculty and staff still in place. </t>
        </r>
      </text>
    </comment>
    <comment ref="BN55" authorId="3">
      <text>
        <r>
          <rPr>
            <b/>
            <sz val="8"/>
            <color indexed="81"/>
            <rFont val="Tahoma"/>
            <family val="2"/>
          </rPr>
          <t>christinam:</t>
        </r>
        <r>
          <rPr>
            <sz val="8"/>
            <color indexed="81"/>
            <rFont val="Tahoma"/>
            <family val="2"/>
          </rPr>
          <t xml:space="preserve">
Transition of grandfathered faculty and staff still in place. </t>
        </r>
      </text>
    </comment>
    <comment ref="R62" authorId="3">
      <text>
        <r>
          <rPr>
            <b/>
            <sz val="8"/>
            <color indexed="81"/>
            <rFont val="Tahoma"/>
            <family val="2"/>
          </rPr>
          <t>christinam:</t>
        </r>
        <r>
          <rPr>
            <sz val="8"/>
            <color indexed="81"/>
            <rFont val="Tahoma"/>
            <family val="2"/>
          </rPr>
          <t xml:space="preserve">
Instructors gained rank to Asst. Prof. causing resulting in salary increases.</t>
        </r>
      </text>
    </comment>
    <comment ref="X62" authorId="3">
      <text>
        <r>
          <rPr>
            <b/>
            <sz val="8"/>
            <color indexed="81"/>
            <rFont val="Tahoma"/>
            <family val="2"/>
          </rPr>
          <t>christinam:</t>
        </r>
        <r>
          <rPr>
            <sz val="8"/>
            <color indexed="81"/>
            <rFont val="Tahoma"/>
            <family val="2"/>
          </rPr>
          <t xml:space="preserve">
Position changes and promotion of ranks.</t>
        </r>
      </text>
    </comment>
    <comment ref="BH62" authorId="3">
      <text>
        <r>
          <rPr>
            <b/>
            <sz val="8"/>
            <color indexed="81"/>
            <rFont val="Tahoma"/>
            <family val="2"/>
          </rPr>
          <t>christinam:</t>
        </r>
        <r>
          <rPr>
            <sz val="8"/>
            <color indexed="81"/>
            <rFont val="Tahoma"/>
            <family val="2"/>
          </rPr>
          <t xml:space="preserve">
Departmental reorganization.  Min. salary increased and a new instructor was added at a higher salary.</t>
        </r>
      </text>
    </comment>
    <comment ref="B67" authorId="1">
      <text>
        <r>
          <rPr>
            <b/>
            <sz val="10"/>
            <color indexed="81"/>
            <rFont val="Tahoma"/>
            <family val="2"/>
          </rPr>
          <t>Met the criteria for classification as a SREB Two-Year 2 ("9") in 2008-09.</t>
        </r>
      </text>
    </comment>
    <comment ref="BS67" authorId="3">
      <text>
        <r>
          <rPr>
            <b/>
            <sz val="8"/>
            <color indexed="81"/>
            <rFont val="Tahoma"/>
            <family val="2"/>
          </rPr>
          <t>christinam:</t>
        </r>
        <r>
          <rPr>
            <sz val="8"/>
            <color indexed="81"/>
            <rFont val="Tahoma"/>
            <family val="2"/>
          </rPr>
          <t xml:space="preserve">
Increased need for people because of increase in classes.</t>
        </r>
      </text>
    </comment>
    <comment ref="B83" authorId="2">
      <text>
        <r>
          <rPr>
            <b/>
            <sz val="8"/>
            <color indexed="81"/>
            <rFont val="Tahoma"/>
            <family val="2"/>
          </rPr>
          <t>met the criteria for a SREB two-year 2 ("9") in 2007-08</t>
        </r>
      </text>
    </comment>
    <comment ref="AC85" authorId="2">
      <text>
        <r>
          <rPr>
            <b/>
            <sz val="8"/>
            <color indexed="81"/>
            <rFont val="Tahoma"/>
            <family val="2"/>
          </rPr>
          <t xml:space="preserve"> It appears one department did a great deal of hiring (14 individuals) at the lecturer position for Fall 2007</t>
        </r>
      </text>
    </comment>
    <comment ref="BA88" authorId="2">
      <text>
        <r>
          <rPr>
            <b/>
            <sz val="8"/>
            <color indexed="81"/>
            <rFont val="Tahoma"/>
            <family val="2"/>
          </rPr>
          <t>The increase in 12 month assistant professors is a result of Biomedical Sciences converting their 9 month faculty to 12 month.</t>
        </r>
      </text>
    </comment>
    <comment ref="B89" authorId="1">
      <text>
        <r>
          <rPr>
            <b/>
            <sz val="8"/>
            <color indexed="81"/>
            <rFont val="Tahoma"/>
            <family val="2"/>
          </rPr>
          <t>met the criteria for a SREB Four-Year 1 institution in 2007-08, 2008-09</t>
        </r>
      </text>
    </comment>
    <comment ref="W89" authorId="2">
      <text>
        <r>
          <rPr>
            <b/>
            <sz val="8"/>
            <color indexed="81"/>
            <rFont val="Tahoma"/>
            <family val="2"/>
          </rPr>
          <t>some people that were not considered instructional in the past are now considered as such.  That is why the numbers are higher and so are the average salaries.</t>
        </r>
      </text>
    </comment>
    <comment ref="AU89" authorId="2">
      <text>
        <r>
          <rPr>
            <b/>
            <sz val="8"/>
            <color indexed="81"/>
            <rFont val="Tahoma"/>
            <family val="2"/>
          </rPr>
          <t>some people that were not considered instructional in the past are now considered as such.  That is why the numbers are higher and so are the average salaries.</t>
        </r>
      </text>
    </comment>
    <comment ref="B93" authorId="2">
      <text>
        <r>
          <rPr>
            <b/>
            <sz val="8"/>
            <color indexed="81"/>
            <rFont val="Tahoma"/>
            <family val="2"/>
          </rPr>
          <t>Reclassified: met the criteria for a SREB Four-Year 4 institution in 2006-07, 2007-08 and 2008-09</t>
        </r>
      </text>
    </comment>
    <comment ref="Q93" authorId="2">
      <text>
        <r>
          <rPr>
            <sz val="8"/>
            <color indexed="81"/>
            <rFont val="Tahoma"/>
            <family val="2"/>
          </rPr>
          <t>dramatic growth going on at FGCU</t>
        </r>
      </text>
    </comment>
    <comment ref="B97" authorId="2">
      <text>
        <r>
          <rPr>
            <b/>
            <sz val="8"/>
            <color indexed="81"/>
            <rFont val="Tahoma"/>
            <family val="2"/>
          </rPr>
          <t>Formerly Okaloosa-Walton College.
Reclassified: met the criteria for a SREB two-year with bachelor's ("7")  in 2006-07, 2007-08</t>
        </r>
      </text>
    </comment>
    <comment ref="B101" authorId="2">
      <text>
        <r>
          <rPr>
            <b/>
            <sz val="8"/>
            <color indexed="81"/>
            <rFont val="Tahoma"/>
            <family val="2"/>
          </rPr>
          <t>met the criteria for a SREB two-year with bachelor's ("7")  in 2007-08, 2008-09</t>
        </r>
      </text>
    </comment>
    <comment ref="B102" authorId="2">
      <text>
        <r>
          <rPr>
            <b/>
            <sz val="8"/>
            <color indexed="81"/>
            <rFont val="Tahoma"/>
            <family val="2"/>
          </rPr>
          <t>formerly Edison Community College. Met the criteria for a SREB two-year with bachelor's ("7")  in 2008-09</t>
        </r>
      </text>
    </comment>
    <comment ref="B108" authorId="2">
      <text>
        <r>
          <rPr>
            <b/>
            <sz val="8"/>
            <color indexed="81"/>
            <rFont val="Tahoma"/>
            <family val="2"/>
          </rPr>
          <t>Reclassified: met the criteria for a SREB two-year 1 ("8") in 2006-07, 2007-08, 2008-09.</t>
        </r>
      </text>
    </comment>
    <comment ref="B114" authorId="2">
      <text>
        <r>
          <rPr>
            <b/>
            <sz val="8"/>
            <color indexed="81"/>
            <rFont val="Tahoma"/>
            <family val="2"/>
          </rPr>
          <t>met the criteria for a SREB two-year 1 ("8") in 2008-09</t>
        </r>
      </text>
    </comment>
    <comment ref="B118" authorId="2">
      <text>
        <r>
          <rPr>
            <b/>
            <sz val="8"/>
            <color indexed="81"/>
            <rFont val="Tahoma"/>
            <family val="2"/>
          </rPr>
          <t>met the criteria for a SREB two-year 1 ("8") in 2007-08, 2008-09</t>
        </r>
      </text>
    </comment>
    <comment ref="B131" authorId="1">
      <text>
        <r>
          <rPr>
            <b/>
            <sz val="8"/>
            <color indexed="81"/>
            <rFont val="Tahoma"/>
            <family val="2"/>
          </rPr>
          <t>met the criteria for a SREB Four-Year 3 institution in 2008-09</t>
        </r>
      </text>
    </comment>
    <comment ref="B135" authorId="1">
      <text>
        <r>
          <rPr>
            <b/>
            <sz val="8"/>
            <color indexed="81"/>
            <rFont val="Tahoma"/>
            <family val="2"/>
          </rPr>
          <t>met the criteria for a SREB Four-Year 6 institution in 2008-09</t>
        </r>
      </text>
    </comment>
    <comment ref="B144" authorId="2">
      <text>
        <r>
          <rPr>
            <b/>
            <sz val="8"/>
            <color indexed="81"/>
            <rFont val="Tahoma"/>
            <family val="2"/>
          </rPr>
          <t>Reclassified: met the criteria for a SREB two-year 2 ("9") in 2006-07, 2007-08 and 2008-09.</t>
        </r>
      </text>
    </comment>
    <comment ref="B145" authorId="1">
      <text>
        <r>
          <rPr>
            <b/>
            <sz val="8"/>
            <color indexed="81"/>
            <rFont val="Tahoma"/>
            <family val="2"/>
          </rPr>
          <t>Was Coastal Georgia Community College.
Met criteria for two-year 3 ("10") in 2008-09</t>
        </r>
      </text>
    </comment>
    <comment ref="B147" authorId="2">
      <text>
        <r>
          <rPr>
            <b/>
            <sz val="8"/>
            <color indexed="81"/>
            <rFont val="Tahoma"/>
            <family val="2"/>
          </rPr>
          <t>met the criteria for a SREB two-year 1 ("8")  in 2007-08; met criteria for two-year with bachelors ("7") in 2008-09.</t>
        </r>
      </text>
    </comment>
    <comment ref="C150" authorId="2">
      <text>
        <r>
          <rPr>
            <b/>
            <sz val="8"/>
            <color indexed="81"/>
            <rFont val="Tahoma"/>
            <family val="2"/>
          </rPr>
          <t>Includes what used to be Georgia Aviation Technical College.</t>
        </r>
      </text>
    </comment>
    <comment ref="B182" authorId="2">
      <text>
        <r>
          <rPr>
            <b/>
            <sz val="8"/>
            <color indexed="81"/>
            <rFont val="Tahoma"/>
            <family val="2"/>
          </rPr>
          <t>met criteria for tech institute 1 ("12") in 2008-09</t>
        </r>
      </text>
    </comment>
    <comment ref="B183" authorId="2">
      <text>
        <r>
          <rPr>
            <b/>
            <sz val="8"/>
            <color indexed="81"/>
            <rFont val="Tahoma"/>
            <family val="2"/>
          </rPr>
          <t>met criteria for tech institute 1 ("12") in 2008-09</t>
        </r>
      </text>
    </comment>
    <comment ref="B184" authorId="2">
      <text>
        <r>
          <rPr>
            <b/>
            <sz val="8"/>
            <color indexed="81"/>
            <rFont val="Tahoma"/>
            <family val="2"/>
          </rPr>
          <t>met criteria for tech institute 1 ("12") in 2008-09</t>
        </r>
      </text>
    </comment>
    <comment ref="B186" authorId="2">
      <text>
        <r>
          <rPr>
            <b/>
            <sz val="8"/>
            <color indexed="81"/>
            <rFont val="Tahoma"/>
            <family val="2"/>
          </rPr>
          <t>met criteria for tech institute 1 ("12") in 2008-09</t>
        </r>
      </text>
    </comment>
    <comment ref="B189" authorId="2">
      <text>
        <r>
          <rPr>
            <b/>
            <sz val="8"/>
            <color indexed="81"/>
            <rFont val="Tahoma"/>
            <family val="2"/>
          </rPr>
          <t>Reclassified: Met the criteria for SREB four-year 1 in 2006-07, 2007-08, 2008-09.</t>
        </r>
      </text>
    </comment>
    <comment ref="B193" authorId="1">
      <text>
        <r>
          <rPr>
            <b/>
            <sz val="8"/>
            <color indexed="81"/>
            <rFont val="Tahoma"/>
            <family val="2"/>
          </rPr>
          <t>met the criteria for a SREB Four-Year 3 institution in 2008-09</t>
        </r>
      </text>
    </comment>
    <comment ref="B195" authorId="1">
      <text>
        <r>
          <rPr>
            <b/>
            <sz val="8"/>
            <color indexed="81"/>
            <rFont val="Tahoma"/>
            <family val="2"/>
          </rPr>
          <t>met the criteria for a SREB Four-Year 4 institution in 2008-09</t>
        </r>
      </text>
    </comment>
    <comment ref="B202" authorId="2">
      <text>
        <r>
          <rPr>
            <b/>
            <sz val="8"/>
            <color indexed="81"/>
            <rFont val="Tahoma"/>
            <family val="2"/>
          </rPr>
          <t>Reclassified: met the criteria for a SREB two-year 2 in 2006-07, 2007-08, 2008-09.</t>
        </r>
      </text>
    </comment>
    <comment ref="B207" authorId="2">
      <text>
        <r>
          <rPr>
            <b/>
            <sz val="8"/>
            <color indexed="81"/>
            <rFont val="Tahoma"/>
            <family val="2"/>
          </rPr>
          <t>Reclassified: met the criteria for a SREB two-year 3 in 2006-07, 2007-08, 2008-09.</t>
        </r>
      </text>
    </comment>
    <comment ref="B210" authorId="2">
      <text>
        <r>
          <rPr>
            <b/>
            <sz val="8"/>
            <color indexed="81"/>
            <rFont val="Tahoma"/>
            <family val="2"/>
          </rPr>
          <t>Reclassfied: met the criteria for a SREB tech institute or college 1 in 2006-07, 2007-08, 2008-09.</t>
        </r>
      </text>
    </comment>
    <comment ref="C213" authorId="2">
      <text>
        <r>
          <rPr>
            <b/>
            <sz val="8"/>
            <color indexed="81"/>
            <rFont val="Tahoma"/>
            <family val="2"/>
          </rPr>
          <t>Alicia A. Diaz:</t>
        </r>
        <r>
          <rPr>
            <sz val="8"/>
            <color indexed="81"/>
            <rFont val="Tahoma"/>
            <family val="2"/>
          </rPr>
          <t xml:space="preserve">
Louisiana Tech University has always been quarterly - may need to adjust calculations for years earlier than 2007</t>
        </r>
      </text>
    </comment>
    <comment ref="B224" authorId="1">
      <text>
        <r>
          <rPr>
            <b/>
            <sz val="8"/>
            <color indexed="81"/>
            <rFont val="Tahoma"/>
            <family val="2"/>
          </rPr>
          <t>met the criteria for classification as a SREB Four-year 4 institution in 2007-08, 2008-09.</t>
        </r>
      </text>
    </comment>
    <comment ref="B227" authorId="2">
      <text>
        <r>
          <rPr>
            <b/>
            <sz val="8"/>
            <color indexed="81"/>
            <rFont val="Tahoma"/>
            <family val="2"/>
          </rPr>
          <t>met criteria as a SREB two-year 1 ("8") institution in 2008-09</t>
        </r>
      </text>
    </comment>
    <comment ref="B233" authorId="2">
      <text>
        <r>
          <rPr>
            <b/>
            <sz val="8"/>
            <color indexed="81"/>
            <rFont val="Tahoma"/>
            <family val="2"/>
          </rPr>
          <t>met criteria as a SREB two-year 2 ("9") institution in 2008-09</t>
        </r>
      </text>
    </comment>
    <comment ref="B280" authorId="1">
      <text>
        <r>
          <rPr>
            <b/>
            <sz val="10"/>
            <color indexed="81"/>
            <rFont val="Tahoma"/>
            <family val="2"/>
          </rPr>
          <t>Reclassified: met the criteria for classification as a SREB Four-Year 3 in 2006-07, 2007-08 and 2008-09.</t>
        </r>
      </text>
    </comment>
    <comment ref="B300" authorId="1">
      <text>
        <r>
          <rPr>
            <b/>
            <sz val="10"/>
            <color indexed="81"/>
            <rFont val="Tahoma"/>
            <family val="2"/>
          </rPr>
          <t>Met the criteria for classification as a SREB Two-Year 2 ("9") in 2008-09.</t>
        </r>
      </text>
    </comment>
    <comment ref="B304" authorId="1">
      <text>
        <r>
          <rPr>
            <b/>
            <sz val="10"/>
            <color indexed="81"/>
            <rFont val="Tahoma"/>
            <family val="2"/>
          </rPr>
          <t>Met the criteria for classification as a SREB Two-Year 2 ("9") in 2008-09.</t>
        </r>
      </text>
    </comment>
    <comment ref="B312" authorId="1">
      <text>
        <r>
          <rPr>
            <b/>
            <sz val="8"/>
            <color indexed="81"/>
            <rFont val="Tahoma"/>
            <family val="2"/>
          </rPr>
          <t>met the criteria for a SREB Four-Year 4 institution in 2007-08, 2008-09</t>
        </r>
      </text>
    </comment>
    <comment ref="C313" authorId="4">
      <text>
        <r>
          <rPr>
            <sz val="8"/>
            <color indexed="8"/>
            <rFont val="Tahoma"/>
            <family val="2"/>
          </rPr>
          <t>includes Raymond campus (175786), Jackson campus (175777), Rankin campus (175795) and Vicksburg-Warren county (175801)</t>
        </r>
      </text>
    </comment>
    <comment ref="C316" authorId="4">
      <text>
        <r>
          <rPr>
            <sz val="8"/>
            <color indexed="8"/>
            <rFont val="Tahoma"/>
            <family val="2"/>
          </rPr>
          <t>includes Natchez campus (175564)</t>
        </r>
      </text>
    </comment>
    <comment ref="B320" authorId="2">
      <text>
        <r>
          <rPr>
            <b/>
            <sz val="8"/>
            <color indexed="81"/>
            <rFont val="Tahoma"/>
            <family val="2"/>
          </rPr>
          <t>met criteria as a SREB two-year 1 ("8") institution in 2008-09</t>
        </r>
      </text>
    </comment>
    <comment ref="C325" authorId="4">
      <text>
        <r>
          <rPr>
            <sz val="8"/>
            <color indexed="8"/>
            <rFont val="Tahoma"/>
            <family val="2"/>
          </rPr>
          <t>includes Forrest county center (408127)</t>
        </r>
      </text>
    </comment>
    <comment ref="B334" authorId="2">
      <text>
        <r>
          <rPr>
            <b/>
            <sz val="8"/>
            <color indexed="81"/>
            <rFont val="Tahoma"/>
            <family val="2"/>
          </rPr>
          <t>formerly North Carolina Agricultural and Technical State University</t>
        </r>
      </text>
    </comment>
    <comment ref="B338" authorId="1">
      <text>
        <r>
          <rPr>
            <b/>
            <sz val="8"/>
            <color indexed="81"/>
            <rFont val="Tahoma"/>
            <family val="2"/>
          </rPr>
          <t>met the criteria for a SREB Four-Year 3 institution in 2008-09</t>
        </r>
      </text>
    </comment>
    <comment ref="B359" authorId="2">
      <text>
        <r>
          <rPr>
            <b/>
            <sz val="8"/>
            <color indexed="81"/>
            <rFont val="Tahoma"/>
            <family val="2"/>
          </rPr>
          <t>Alicia A. Diaz:
met the criteria for SREB 2 Year 1 in 2008-09</t>
        </r>
      </text>
    </comment>
    <comment ref="B364" authorId="2">
      <text>
        <r>
          <rPr>
            <b/>
            <sz val="8"/>
            <color indexed="81"/>
            <rFont val="Tahoma"/>
            <family val="2"/>
          </rPr>
          <t>Alicia A. Diaz:
met the criteria for SREB 2 Year 1 in 2008-09</t>
        </r>
      </text>
    </comment>
    <comment ref="B369" authorId="2">
      <text>
        <r>
          <rPr>
            <b/>
            <sz val="8"/>
            <color indexed="81"/>
            <rFont val="Tahoma"/>
            <family val="2"/>
          </rPr>
          <t>Reclassified: met criteria as a SREB two-year 2 institution in 2006-07, 2007-08 and 2008-09.</t>
        </r>
      </text>
    </comment>
    <comment ref="B388" authorId="1">
      <text>
        <r>
          <rPr>
            <b/>
            <sz val="8"/>
            <color indexed="81"/>
            <rFont val="Tahoma"/>
            <family val="2"/>
          </rPr>
          <t>Reclassified: met the criteria for SREB Two-Year 3 in 2006-07, 2007-08 and 2008-09.</t>
        </r>
      </text>
    </comment>
    <comment ref="B414" authorId="1">
      <text>
        <r>
          <rPr>
            <b/>
            <sz val="8"/>
            <color indexed="81"/>
            <rFont val="Tahoma"/>
            <family val="2"/>
          </rPr>
          <t>Reclassified: met criteria as a SREB Two-Year with Bachelor's in 2006-07, 2007-08 and 2008-09</t>
        </r>
      </text>
    </comment>
    <comment ref="B415" authorId="2">
      <text>
        <r>
          <rPr>
            <b/>
            <sz val="8"/>
            <color indexed="81"/>
            <rFont val="Tahoma"/>
            <family val="2"/>
          </rPr>
          <t>met the criteria for SREB 2 Year 2 ("9") in 2008-09</t>
        </r>
      </text>
    </comment>
    <comment ref="B417" authorId="2">
      <text>
        <r>
          <rPr>
            <b/>
            <sz val="8"/>
            <color indexed="81"/>
            <rFont val="Tahoma"/>
            <family val="2"/>
          </rPr>
          <t>met the criteria for SREB 2 Year 3 ("10") in 2008-09</t>
        </r>
      </text>
    </comment>
    <comment ref="B431" authorId="2">
      <text>
        <r>
          <rPr>
            <b/>
            <sz val="8"/>
            <color indexed="81"/>
            <rFont val="Tahoma"/>
            <family val="2"/>
          </rPr>
          <t>met criteria as a SREB technical institute or college 2 ("13")  in 2007-08, 2008-09.</t>
        </r>
      </text>
    </comment>
    <comment ref="B434" authorId="2">
      <text>
        <r>
          <rPr>
            <b/>
            <sz val="8"/>
            <color indexed="81"/>
            <rFont val="Tahoma"/>
            <family val="2"/>
          </rPr>
          <t>met criteria as a SREB technical institute or college 1 ("12")  in 2007-08, 2008-09.</t>
        </r>
      </text>
    </comment>
    <comment ref="B481" authorId="1">
      <text>
        <r>
          <rPr>
            <b/>
            <sz val="8"/>
            <color indexed="81"/>
            <rFont val="Tahoma"/>
            <family val="2"/>
          </rPr>
          <t>met the criteria for a SREB Four-Year 6 institution in 2007-08, 2008-09</t>
        </r>
      </text>
    </comment>
    <comment ref="B485" authorId="1">
      <text>
        <r>
          <rPr>
            <b/>
            <sz val="8"/>
            <color indexed="81"/>
            <rFont val="Tahoma"/>
            <family val="2"/>
          </rPr>
          <t>met the criteria for a SREB Four-Year 6 institution in 2007-08, 2008-09</t>
        </r>
      </text>
    </comment>
    <comment ref="B507" authorId="2">
      <text>
        <r>
          <rPr>
            <b/>
            <sz val="8"/>
            <color indexed="81"/>
            <rFont val="Tahoma"/>
            <family val="2"/>
          </rPr>
          <t>Met the criteria for SREB four-year 1 in 2007-08, 2008-09</t>
        </r>
      </text>
    </comment>
    <comment ref="B512" authorId="2">
      <text>
        <r>
          <rPr>
            <b/>
            <sz val="8"/>
            <color indexed="81"/>
            <rFont val="Tahoma"/>
            <family val="2"/>
          </rPr>
          <t xml:space="preserve">met the criteria for a SREB Four-Year 3 institution in 2008-09
</t>
        </r>
      </text>
    </comment>
    <comment ref="B513" authorId="2">
      <text>
        <r>
          <rPr>
            <b/>
            <sz val="8"/>
            <color indexed="81"/>
            <rFont val="Tahoma"/>
            <family val="2"/>
          </rPr>
          <t xml:space="preserve">met the criteria for a SREB Four-Year 3 institution in 2007-08, 2008-09
</t>
        </r>
      </text>
    </comment>
    <comment ref="AF555"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AF557"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P557"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AF558"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559" authorId="2">
      <text>
        <r>
          <rPr>
            <b/>
            <sz val="8"/>
            <color indexed="81"/>
            <rFont val="Tahoma"/>
            <family val="2"/>
          </rPr>
          <t xml:space="preserve">Reclassified: met the criteria for a SREB Four-Year 1 institution in 2006-07, 2007-08, and 2008-09.
</t>
        </r>
      </text>
    </comment>
    <comment ref="AF560"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AF561"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P561"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AF562"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563" authorId="2">
      <text>
        <r>
          <rPr>
            <b/>
            <sz val="8"/>
            <color indexed="81"/>
            <rFont val="Tahoma"/>
            <family val="2"/>
          </rPr>
          <t>Reclassfied: met the criteria for a SREB Four-Year 2 institution in 2006-07, 2007-08 and 2008-09.</t>
        </r>
      </text>
    </comment>
    <comment ref="AF564"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P564"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AF569"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P569"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AF575"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578" authorId="2">
      <text>
        <r>
          <rPr>
            <b/>
            <sz val="8"/>
            <color indexed="81"/>
            <rFont val="Tahoma"/>
            <family val="2"/>
          </rPr>
          <t>met the criteria for a SREB Four-Year 2 institution in 2007-08, 2008-09</t>
        </r>
      </text>
    </comment>
    <comment ref="AF579"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AF580"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P580"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583" authorId="2">
      <text>
        <r>
          <rPr>
            <b/>
            <sz val="8"/>
            <color indexed="81"/>
            <rFont val="Tahoma"/>
            <family val="2"/>
          </rPr>
          <t xml:space="preserve">met the criteria for a SREB Four-Year 3 institution in 2007-08, 2008-09
</t>
        </r>
      </text>
    </comment>
    <comment ref="BP583"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584" authorId="2">
      <text>
        <r>
          <rPr>
            <b/>
            <sz val="8"/>
            <color indexed="81"/>
            <rFont val="Tahoma"/>
            <family val="2"/>
          </rPr>
          <t xml:space="preserve">met the criteria for a SREB Four-Year 3 institution in 2008-09
</t>
        </r>
      </text>
    </comment>
    <comment ref="AF584"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P584"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588" authorId="2">
      <text>
        <r>
          <rPr>
            <b/>
            <sz val="8"/>
            <color indexed="81"/>
            <rFont val="Tahoma"/>
            <family val="2"/>
          </rPr>
          <t xml:space="preserve">met the criteria for a SREB Four-Year 4 institution in 2007-08, 2008-09
</t>
        </r>
      </text>
    </comment>
    <comment ref="AF588" authorId="0">
      <text>
        <r>
          <rPr>
            <b/>
            <sz val="10"/>
            <color indexed="81"/>
            <rFont val="Tahoma"/>
            <family val="2"/>
          </rPr>
          <t>jmarks:</t>
        </r>
        <r>
          <rPr>
            <sz val="10"/>
            <color indexed="81"/>
            <rFont val="Tahoma"/>
            <family val="2"/>
          </rPr>
          <t xml:space="preserve">
Combined items reported here with items reported in single rank column, since that column is soley for two-year colleges who put everyone in one cateogry.</t>
        </r>
      </text>
    </comment>
    <comment ref="B611" authorId="1">
      <text>
        <r>
          <rPr>
            <b/>
            <sz val="8"/>
            <color indexed="81"/>
            <rFont val="Tahoma"/>
            <family val="2"/>
          </rPr>
          <t>met criteria as a SREB Two-Year with Bachelor's ("7") in 2007-08, 2008-09.</t>
        </r>
      </text>
    </comment>
    <comment ref="B618" authorId="1">
      <text>
        <r>
          <rPr>
            <b/>
            <sz val="8"/>
            <color indexed="81"/>
            <rFont val="Tahoma"/>
            <family val="2"/>
          </rPr>
          <t>met criteria as a SREB Two-Year with Bachelor's ("7") in 2007-08, 2008-09.</t>
        </r>
      </text>
    </comment>
    <comment ref="B623" authorId="1">
      <text>
        <r>
          <rPr>
            <b/>
            <sz val="8"/>
            <color indexed="81"/>
            <rFont val="Tahoma"/>
            <family val="2"/>
          </rPr>
          <t>met criteria as a SREB Two-Year 1 ("8") in 2008-09.</t>
        </r>
      </text>
    </comment>
    <comment ref="B630" authorId="1">
      <text>
        <r>
          <rPr>
            <b/>
            <sz val="8"/>
            <color indexed="81"/>
            <rFont val="Tahoma"/>
            <family val="2"/>
          </rPr>
          <t>met criteria as a SREB Two-Year with Bachelor's ("7") in 2007-08, 2008-09.</t>
        </r>
      </text>
    </comment>
    <comment ref="B632" authorId="1">
      <text>
        <r>
          <rPr>
            <b/>
            <sz val="8"/>
            <color indexed="81"/>
            <rFont val="Tahoma"/>
            <family val="2"/>
          </rPr>
          <t>met criteria as a SREB Two-Year 1 ("8") in 2008-09.</t>
        </r>
      </text>
    </comment>
    <comment ref="C650" authorId="2">
      <text>
        <r>
          <rPr>
            <b/>
            <sz val="8"/>
            <color indexed="81"/>
            <rFont val="Tahoma"/>
            <family val="2"/>
          </rPr>
          <t>Alicia A. Diaz:</t>
        </r>
        <r>
          <rPr>
            <sz val="8"/>
            <color indexed="81"/>
            <rFont val="Tahoma"/>
            <family val="2"/>
          </rPr>
          <t xml:space="preserve">
Not assigned until SACS accreditation</t>
        </r>
      </text>
    </comment>
    <comment ref="B658" authorId="1">
      <text>
        <r>
          <rPr>
            <b/>
            <sz val="8"/>
            <color indexed="81"/>
            <rFont val="Tahoma"/>
            <family val="2"/>
          </rPr>
          <t>Reclassified: Met criteria for classification as a SREB Four-Year 1 in 2006-07, 2007-08 and 2008-09</t>
        </r>
      </text>
    </comment>
    <comment ref="B662" authorId="1">
      <text>
        <r>
          <rPr>
            <b/>
            <sz val="8"/>
            <color indexed="81"/>
            <rFont val="Tahoma"/>
            <family val="2"/>
          </rPr>
          <t>Met criteria for classification as a SREB Four-Year 1 in 2007-08, 2008-09.</t>
        </r>
      </text>
    </comment>
    <comment ref="BB662" authorId="5">
      <text>
        <r>
          <rPr>
            <b/>
            <sz val="8"/>
            <color indexed="81"/>
            <rFont val="Tahoma"/>
            <family val="2"/>
          </rPr>
          <t>AngelaDetlev:</t>
        </r>
        <r>
          <rPr>
            <sz val="8"/>
            <color indexed="81"/>
            <rFont val="Tahoma"/>
            <family val="2"/>
          </rPr>
          <t xml:space="preserve">
There are a number of reasons for the average salary of Assistant professor to decrease. We had 11 Assistant Professors promoted to Associate Professor.  The new Assistant Professors may have dragged down the average since their salaries were entry level. Additionally, we had resignations of Assistant Professors.
</t>
        </r>
      </text>
    </comment>
    <comment ref="W663" authorId="5">
      <text>
        <r>
          <rPr>
            <b/>
            <sz val="8"/>
            <color indexed="81"/>
            <rFont val="Tahoma"/>
            <family val="2"/>
          </rPr>
          <t>AngelaDetlev:</t>
        </r>
        <r>
          <rPr>
            <sz val="8"/>
            <color indexed="81"/>
            <rFont val="Tahoma"/>
            <family val="2"/>
          </rPr>
          <t xml:space="preserve">
With increasing enrollment, VCU has hired more faculty</t>
        </r>
      </text>
    </comment>
    <comment ref="BA663" authorId="5">
      <text>
        <r>
          <rPr>
            <b/>
            <sz val="8"/>
            <color indexed="81"/>
            <rFont val="Tahoma"/>
            <family val="2"/>
          </rPr>
          <t>AngelaDetlev:</t>
        </r>
        <r>
          <rPr>
            <sz val="8"/>
            <color indexed="81"/>
            <rFont val="Tahoma"/>
            <family val="2"/>
          </rPr>
          <t xml:space="preserve">
With increasing enrollment, VCU has hired more faculty</t>
        </r>
      </text>
    </comment>
    <comment ref="BG663" authorId="5">
      <text>
        <r>
          <rPr>
            <b/>
            <sz val="8"/>
            <color indexed="81"/>
            <rFont val="Tahoma"/>
            <family val="2"/>
          </rPr>
          <t>AngelaDetlev:</t>
        </r>
        <r>
          <rPr>
            <sz val="8"/>
            <color indexed="81"/>
            <rFont val="Tahoma"/>
            <family val="2"/>
          </rPr>
          <t xml:space="preserve">
With increasing enrollment, VCU has hired more faculty</t>
        </r>
      </text>
    </comment>
    <comment ref="BH664" authorId="5">
      <text>
        <r>
          <rPr>
            <b/>
            <sz val="8"/>
            <color indexed="81"/>
            <rFont val="Tahoma"/>
            <family val="2"/>
          </rPr>
          <t>AngelaDetlev:</t>
        </r>
        <r>
          <rPr>
            <sz val="8"/>
            <color indexed="81"/>
            <rFont val="Tahoma"/>
            <family val="2"/>
          </rPr>
          <t xml:space="preserve">
result in the variability in pay for a small number of instructors.</t>
        </r>
      </text>
    </comment>
    <comment ref="B665" authorId="1">
      <text>
        <r>
          <rPr>
            <b/>
            <sz val="8"/>
            <color indexed="81"/>
            <rFont val="Tahoma"/>
            <family val="2"/>
          </rPr>
          <t>Met criteria for classification as a SREB Four-Year 4 in 2007-08, 2008-09.</t>
        </r>
      </text>
    </comment>
    <comment ref="B666" authorId="1">
      <text>
        <r>
          <rPr>
            <b/>
            <sz val="8"/>
            <color indexed="81"/>
            <rFont val="Tahoma"/>
            <family val="2"/>
          </rPr>
          <t>Met criteria for classification as a SREB Four-Year 5 in 2007-08, 2008-09.</t>
        </r>
      </text>
    </comment>
    <comment ref="B667" authorId="1">
      <text>
        <r>
          <rPr>
            <b/>
            <sz val="8"/>
            <color indexed="81"/>
            <rFont val="Tahoma"/>
            <family val="2"/>
          </rPr>
          <t>Met criteria for classification as a SREB Four-Year 3 in 2007-08, 2008-09.</t>
        </r>
      </text>
    </comment>
    <comment ref="BB667" authorId="5">
      <text>
        <r>
          <rPr>
            <b/>
            <sz val="8"/>
            <color indexed="81"/>
            <rFont val="Tahoma"/>
            <family val="2"/>
          </rPr>
          <t>AngelaDetlev:</t>
        </r>
        <r>
          <rPr>
            <sz val="8"/>
            <color indexed="81"/>
            <rFont val="Tahoma"/>
            <family val="2"/>
          </rPr>
          <t xml:space="preserve">
turnover in assistant professors personnel</t>
        </r>
      </text>
    </comment>
    <comment ref="BB668" authorId="5">
      <text>
        <r>
          <rPr>
            <b/>
            <sz val="8"/>
            <color indexed="81"/>
            <rFont val="Tahoma"/>
            <family val="2"/>
          </rPr>
          <t>AngelaDetlev:</t>
        </r>
        <r>
          <rPr>
            <sz val="8"/>
            <color indexed="81"/>
            <rFont val="Tahoma"/>
            <family val="2"/>
          </rPr>
          <t xml:space="preserve">
new faculty hires</t>
        </r>
      </text>
    </comment>
    <comment ref="B669" authorId="1">
      <text>
        <r>
          <rPr>
            <b/>
            <sz val="8"/>
            <color indexed="81"/>
            <rFont val="Tahoma"/>
            <family val="2"/>
          </rPr>
          <t>Met criteria for classification as a SREB Four-Year 4 in 2008-09.</t>
        </r>
      </text>
    </comment>
    <comment ref="AP670" authorId="5">
      <text>
        <r>
          <rPr>
            <b/>
            <sz val="8"/>
            <color indexed="81"/>
            <rFont val="Tahoma"/>
            <family val="2"/>
          </rPr>
          <t>AngelaDetlev:</t>
        </r>
        <r>
          <rPr>
            <sz val="8"/>
            <color indexed="81"/>
            <rFont val="Tahoma"/>
            <family val="2"/>
          </rPr>
          <t xml:space="preserve">
change in the way some faculty were categorized (9-10 month vs 11-12 month)</t>
        </r>
      </text>
    </comment>
    <comment ref="B690" authorId="1">
      <text>
        <r>
          <rPr>
            <b/>
            <sz val="8"/>
            <color indexed="81"/>
            <rFont val="Tahoma"/>
            <family val="2"/>
          </rPr>
          <t>Reclassified:met the criteria for classification as a SREB Two-Year 3 "10" in 2006-07, 2007-08, and 2008-09</t>
        </r>
      </text>
    </comment>
    <comment ref="B701" authorId="1">
      <text>
        <r>
          <rPr>
            <b/>
            <sz val="8"/>
            <color indexed="81"/>
            <rFont val="Tahoma"/>
            <family val="2"/>
          </rPr>
          <t>met the criteria for a SREB Four-Year 5 institution in 2007-08, 2008-09</t>
        </r>
      </text>
    </comment>
    <comment ref="B703" authorId="1">
      <text>
        <r>
          <rPr>
            <b/>
            <sz val="8"/>
            <color indexed="81"/>
            <rFont val="Tahoma"/>
            <family val="2"/>
          </rPr>
          <t>met the criteria for a SREB Four-Year 5 institution in 2008-09</t>
        </r>
      </text>
    </comment>
    <comment ref="B704" authorId="6">
      <text>
        <r>
          <rPr>
            <b/>
            <sz val="8"/>
            <color indexed="81"/>
            <rFont val="Tahoma"/>
            <family val="2"/>
          </rPr>
          <t xml:space="preserve">Formerly </t>
        </r>
        <r>
          <rPr>
            <sz val="8"/>
            <color indexed="81"/>
            <rFont val="Tahoma"/>
            <family val="2"/>
          </rPr>
          <t xml:space="preserve">West Liberty State College </t>
        </r>
      </text>
    </comment>
    <comment ref="B708" authorId="2">
      <text>
        <r>
          <rPr>
            <b/>
            <sz val="8"/>
            <color indexed="81"/>
            <rFont val="Tahoma"/>
            <family val="2"/>
          </rPr>
          <t>met criteria as a SREB two-year 3 ("10") institution in 2007-08, 2008-09.</t>
        </r>
      </text>
    </comment>
    <comment ref="C708" authorId="2">
      <text>
        <r>
          <rPr>
            <b/>
            <sz val="8"/>
            <color indexed="81"/>
            <rFont val="Tahoma"/>
            <family val="2"/>
          </rPr>
          <t>Formerly Fairmont State Community &amp; Technical College</t>
        </r>
      </text>
    </comment>
    <comment ref="L708" authorId="6">
      <text>
        <r>
          <rPr>
            <b/>
            <sz val="8"/>
            <color indexed="81"/>
            <rFont val="Tahoma"/>
            <family val="2"/>
          </rPr>
          <t>Jeannie Reed:</t>
        </r>
        <r>
          <rPr>
            <sz val="8"/>
            <color indexed="81"/>
            <rFont val="Tahoma"/>
            <family val="2"/>
          </rPr>
          <t xml:space="preserve">
Concentrated effort to bring salaries up.</t>
        </r>
      </text>
    </comment>
    <comment ref="C709" authorId="2">
      <text>
        <r>
          <rPr>
            <b/>
            <sz val="8"/>
            <color indexed="81"/>
            <rFont val="Tahoma"/>
            <family val="2"/>
          </rPr>
          <t>Formerly Community &amp; Technical College of Shepherd</t>
        </r>
      </text>
    </comment>
    <comment ref="B714" authorId="2">
      <text>
        <r>
          <rPr>
            <b/>
            <sz val="8"/>
            <color indexed="81"/>
            <rFont val="Tahoma"/>
            <family val="2"/>
          </rPr>
          <t>met criteria as a SREB two-year with bachelor's ("7") institution in 2007-08, 2008-09.</t>
        </r>
      </text>
    </comment>
    <comment ref="W715" authorId="6">
      <text>
        <r>
          <rPr>
            <b/>
            <sz val="8"/>
            <color indexed="81"/>
            <rFont val="Tahoma"/>
            <family val="2"/>
          </rPr>
          <t>Jeannie Reed:</t>
        </r>
        <r>
          <rPr>
            <sz val="8"/>
            <color indexed="81"/>
            <rFont val="Tahoma"/>
            <family val="2"/>
          </rPr>
          <t xml:space="preserve">
Coding methodology changed.  Current year is correct.</t>
        </r>
      </text>
    </comment>
  </commentList>
</comments>
</file>

<file path=xl/sharedStrings.xml><?xml version="1.0" encoding="utf-8"?>
<sst xmlns="http://schemas.openxmlformats.org/spreadsheetml/2006/main" count="3355" uniqueCount="1004">
  <si>
    <t>University of Mississippi</t>
  </si>
  <si>
    <t>Alcorn State University</t>
  </si>
  <si>
    <t>Delta State University</t>
  </si>
  <si>
    <t>Mississippi University for Women</t>
  </si>
  <si>
    <t>Mississippi Valley State University</t>
  </si>
  <si>
    <t xml:space="preserve">Hinds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</si>
  <si>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</si>
  <si>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</si>
  <si>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</si>
  <si>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</si>
  <si>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</si>
  <si>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</si>
  <si>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Itawamba Community College </t>
  </si>
  <si>
    <t>Northwest Florida State College</t>
  </si>
  <si>
    <t xml:space="preserve">Edison State College </t>
  </si>
  <si>
    <t xml:space="preserve">College of Coastal Georgia </t>
  </si>
  <si>
    <t>North Carolina A&amp;T State University</t>
  </si>
  <si>
    <t xml:space="preserve">Longwood University </t>
  </si>
  <si>
    <t>West Liberty University</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</si>
  <si>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</si>
  <si>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</si>
  <si>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</si>
  <si>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</si>
  <si>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</si>
  <si>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</si>
  <si>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</si>
  <si>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Public Institutions, SREB States, 2008-09</t>
  </si>
  <si>
    <t>Public Universities, Colleges and Technical Institutes, 2008-09</t>
  </si>
  <si>
    <t>Public Four-Year Institutions, 2008-09</t>
  </si>
  <si>
    <t>Public Two-Year Institutions, 2008-09</t>
  </si>
  <si>
    <t>Public Technical Institutes or Colleges, 2008-09</t>
  </si>
  <si>
    <t>Public Four-Year 1 Institutions, 2008-09</t>
  </si>
  <si>
    <t>Public Four-Year 2 Institutions, 2008-09</t>
  </si>
  <si>
    <t>Public Four-Year 3 Institutions, 2008-09</t>
  </si>
  <si>
    <t>Public Four-Year 4 Institutions, 2008-09</t>
  </si>
  <si>
    <t>Public Four-Year 5 Institutions, 2008-09</t>
  </si>
  <si>
    <t>Public Four-Year 6 Institutions, 2008-09</t>
  </si>
  <si>
    <t>Public Two-Year, 2008-09</t>
  </si>
  <si>
    <t>Public Two-Year with Bachelor's, 2008-09</t>
  </si>
  <si>
    <t>Public Two-Year 1, 2008-09</t>
  </si>
  <si>
    <t>Public Two-Year 2, 2008-09</t>
  </si>
  <si>
    <t>Public Two-Year 3, 2008-09</t>
  </si>
  <si>
    <t>Public Two-Year Size Unknown, 2008-09</t>
  </si>
  <si>
    <t>Public Technical Institute or College 1, 2008-09</t>
  </si>
  <si>
    <t>Public Technical Institute or College 2, 2008-09</t>
  </si>
  <si>
    <t>Public Technical Institute or College Size Unknown, 2008-09</t>
  </si>
  <si>
    <t xml:space="preserve">Oklahoma Panhandle State University </t>
  </si>
  <si>
    <t>University of Science and Arts of Oklahoma</t>
  </si>
  <si>
    <t>Rogers State University</t>
  </si>
  <si>
    <t xml:space="preserve">Oklahoma City Community College </t>
  </si>
  <si>
    <t xml:space="preserve">Tulsa Community College </t>
  </si>
  <si>
    <t xml:space="preserve">Northern Oklahoma College </t>
  </si>
  <si>
    <t>#</t>
  </si>
  <si>
    <t>A change of more than a 10% up or 5% down will trigger a red warning.</t>
  </si>
  <si>
    <t>$</t>
  </si>
  <si>
    <t>A change of more than 5% up or any change down will trigger a red warning.</t>
  </si>
  <si>
    <t>2008-09</t>
  </si>
  <si>
    <t>???????</t>
  </si>
  <si>
    <t xml:space="preserve">Oklahoma State University Technical Branch-Okmulgee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</si>
  <si>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</si>
  <si>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</si>
  <si>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</si>
  <si>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</si>
  <si>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</si>
  <si>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</si>
  <si>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</si>
  <si>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</si>
  <si>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</si>
  <si>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</si>
  <si>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University of Tennessee, Knoxville</t>
  </si>
  <si>
    <t>University of Memphis</t>
  </si>
  <si>
    <t xml:space="preserve">East Tennessee State University </t>
  </si>
  <si>
    <t xml:space="preserve">Middle Tennessee State University </t>
  </si>
  <si>
    <t xml:space="preserve">Tennessee State University </t>
  </si>
  <si>
    <t>University of Tennessee at Chattanooga</t>
  </si>
  <si>
    <t xml:space="preserve">Austin Peay State University </t>
  </si>
  <si>
    <t xml:space="preserve">Tennessee Technological University </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</si>
  <si>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</si>
  <si>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</si>
  <si>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</si>
  <si>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</si>
  <si>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</si>
  <si>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</si>
  <si>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</si>
  <si>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</si>
  <si>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</si>
  <si>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</si>
  <si>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</si>
  <si>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</si>
  <si>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</si>
  <si>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</si>
  <si>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</si>
  <si>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</si>
  <si>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</si>
  <si>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</si>
  <si>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</si>
  <si>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</si>
  <si>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</si>
  <si>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</si>
  <si>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</si>
  <si>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</si>
  <si>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Holenwald</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</si>
  <si>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</si>
  <si>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</si>
  <si>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</si>
  <si>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</si>
  <si>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</si>
  <si>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</si>
  <si>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</si>
  <si>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</si>
  <si>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</si>
  <si>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</si>
  <si>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</si>
  <si>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</si>
  <si>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</si>
  <si>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</si>
  <si>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</si>
  <si>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</si>
  <si>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</si>
  <si>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 xml:space="preserve">Texas A &amp; M University </t>
  </si>
  <si>
    <t xml:space="preserve">Texas Tech University </t>
  </si>
  <si>
    <t>University of Houston</t>
  </si>
  <si>
    <t>University of North Texas</t>
  </si>
  <si>
    <t>University of Texas at Austin</t>
  </si>
  <si>
    <t>Texas Woman's University</t>
  </si>
  <si>
    <t>University of Texas at Arlington</t>
  </si>
  <si>
    <t>University of Texas at Dallas</t>
  </si>
  <si>
    <t>Angelo State University</t>
  </si>
  <si>
    <t>Lamar University</t>
  </si>
  <si>
    <t>Midwestern State University</t>
  </si>
  <si>
    <t>Prairie View A &amp; M University</t>
  </si>
  <si>
    <t xml:space="preserve">Sam Houston State University </t>
  </si>
  <si>
    <t>Stephen F. Austin State University</t>
  </si>
  <si>
    <t xml:space="preserve">Sul Ross State University </t>
  </si>
  <si>
    <t>Tarleton State University</t>
  </si>
  <si>
    <t>Texas A &amp; M - Commerce</t>
  </si>
  <si>
    <t xml:space="preserve">Texas A &amp; M University-Corpus Christi </t>
  </si>
  <si>
    <t>Texas A &amp; M University-Kingsville</t>
  </si>
  <si>
    <t xml:space="preserve">Texas Southern University </t>
  </si>
  <si>
    <t>Texas State University - San Marcos</t>
  </si>
  <si>
    <t xml:space="preserve">University of Houston-Clear Lake </t>
  </si>
  <si>
    <t>University of Texas at El Paso</t>
  </si>
  <si>
    <t>University of Texas at San Antonio</t>
  </si>
  <si>
    <t>University of Texas at Tyler</t>
  </si>
  <si>
    <t>University of Texas-Pan American</t>
  </si>
  <si>
    <t>West Texas A &amp; M University</t>
  </si>
  <si>
    <t>Texas A &amp; M -Texarkana</t>
  </si>
  <si>
    <t>University of Texas at Brownsville</t>
  </si>
  <si>
    <t>University of Texas of the Permian Basin</t>
  </si>
  <si>
    <t>Sul Ross State University-Rio Grande College</t>
  </si>
  <si>
    <t>University of Houston-Downtown</t>
  </si>
  <si>
    <t>University of Houston-Victoria</t>
  </si>
  <si>
    <t>Texas A &amp; M University at Galveston</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</si>
  <si>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</si>
  <si>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</si>
  <si>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</si>
  <si>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</si>
  <si>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</si>
  <si>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</si>
  <si>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</si>
  <si>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</si>
  <si>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</si>
  <si>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</si>
  <si>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 xml:space="preserve">Laredo Community College </t>
  </si>
  <si>
    <t xml:space="preserve">McLennan Community College </t>
  </si>
  <si>
    <t>North Harris Montgomery Community College District</t>
  </si>
  <si>
    <t>North Lake College  (DCCCD)</t>
  </si>
  <si>
    <t>Northwest Vista College (ACCD)</t>
  </si>
  <si>
    <t>Palo Alto College (ACCD)</t>
  </si>
  <si>
    <t>Richland College  (DCCCD)</t>
  </si>
  <si>
    <t>San Antonio College (ACCD)</t>
  </si>
  <si>
    <t>San Jacinto College (SJCDS)</t>
  </si>
  <si>
    <t xml:space="preserve">South Plains College </t>
  </si>
  <si>
    <t>South Texas College</t>
  </si>
  <si>
    <t>St. Philip's College  (ACCD)</t>
  </si>
  <si>
    <t>Tarrant County College (TCJCD)</t>
  </si>
  <si>
    <t xml:space="preserve">Texas Southmost College </t>
  </si>
  <si>
    <t xml:space="preserve">Tyler Junior College </t>
  </si>
  <si>
    <t xml:space="preserve">Alvin Community College </t>
  </si>
  <si>
    <t xml:space="preserve">Angelina College </t>
  </si>
  <si>
    <t xml:space="preserve">Brazosport College </t>
  </si>
  <si>
    <t>Cedar Valley College  (DCCCD)</t>
  </si>
  <si>
    <t xml:space="preserve">Cisco Junior College </t>
  </si>
  <si>
    <t>Coastal Bend College</t>
  </si>
  <si>
    <t>NOT A Review Table</t>
  </si>
  <si>
    <t>College of the Mainland</t>
  </si>
  <si>
    <t>El Centro College  (DCCCD)</t>
  </si>
  <si>
    <t xml:space="preserve">Grayson County College </t>
  </si>
  <si>
    <t>Hill College</t>
  </si>
  <si>
    <t>Howard College</t>
  </si>
  <si>
    <t xml:space="preserve">Kilgore College </t>
  </si>
  <si>
    <t>Lamar Institute of Technology</t>
  </si>
  <si>
    <t>Lamar State College-Port Arthur</t>
  </si>
  <si>
    <t xml:space="preserve">Lee College </t>
  </si>
  <si>
    <t xml:space="preserve">Midland College </t>
  </si>
  <si>
    <t>Mountain View College  (DCCCD)</t>
  </si>
  <si>
    <t xml:space="preserve">Navarro College </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</si>
  <si>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</si>
  <si>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</si>
  <si>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</si>
  <si>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</si>
  <si>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</si>
  <si>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</si>
  <si>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</si>
  <si>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</si>
  <si>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</si>
  <si>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</si>
  <si>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</si>
  <si>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</si>
  <si>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</si>
  <si>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</si>
  <si>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</si>
  <si>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</si>
  <si>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University of Arkansas at Fort Smith</t>
  </si>
  <si>
    <t xml:space="preserve">Moore Norman Technology Center                    </t>
  </si>
  <si>
    <t xml:space="preserve">Canadian Valley Technology Center                 </t>
  </si>
  <si>
    <t>Texas A&amp;M International University</t>
  </si>
  <si>
    <t>Northeast Lakeview College (ACCD)</t>
  </si>
  <si>
    <t>Fairmont State University</t>
  </si>
  <si>
    <t>Potomac State College of West Virginia University</t>
  </si>
  <si>
    <t xml:space="preserve">Southern West Virginia Community &amp; Technical College </t>
  </si>
  <si>
    <t>Lamar State College-Orange</t>
  </si>
  <si>
    <t xml:space="preserve">Northeast Texas Community College </t>
  </si>
  <si>
    <t>Panola College</t>
  </si>
  <si>
    <t xml:space="preserve">Ranger College </t>
  </si>
  <si>
    <t>Southwest Collegiate Institute for the Deaf</t>
  </si>
  <si>
    <t>Texas State Technical College-Marshall</t>
  </si>
  <si>
    <t>Texas State Technical College-West Texas</t>
  </si>
  <si>
    <t xml:space="preserve">Western Texas College </t>
  </si>
  <si>
    <t>Section I:  9-10 Month or 9-month-equivalent (explain factors for 9-month-equivalent if used)</t>
  </si>
  <si>
    <t>9-10 month</t>
  </si>
  <si>
    <t>2007-08</t>
  </si>
  <si>
    <t>11-12 month</t>
  </si>
  <si>
    <t xml:space="preserve">Brevard Community College </t>
  </si>
  <si>
    <t xml:space="preserve">Broward Community College </t>
  </si>
  <si>
    <t xml:space="preserve">Central Florida Community College </t>
  </si>
  <si>
    <t xml:space="preserve">Chipola College </t>
  </si>
  <si>
    <t xml:space="preserve">Daytona Beach Community College </t>
  </si>
  <si>
    <t>Florida Community College at Jacksonville</t>
  </si>
  <si>
    <t xml:space="preserve">Florida Keys Community College </t>
  </si>
  <si>
    <t xml:space="preserve">Gulf Coast Community College </t>
  </si>
  <si>
    <t xml:space="preserve">Hillsborough Community College </t>
  </si>
  <si>
    <t xml:space="preserve">Indian River Community College </t>
  </si>
  <si>
    <t xml:space="preserve">Lake City Community College </t>
  </si>
  <si>
    <t xml:space="preserve">Lake-Sumter Community College </t>
  </si>
  <si>
    <t xml:space="preserve">Manatee Community College </t>
  </si>
  <si>
    <t xml:space="preserve">Miami Dade College </t>
  </si>
  <si>
    <t xml:space="preserve">North Florida Community College </t>
  </si>
  <si>
    <t xml:space="preserve">Palm Beach Community College </t>
  </si>
  <si>
    <t xml:space="preserve">Pasco-Hernando Community College </t>
  </si>
  <si>
    <t xml:space="preserve">Pensacola Junior College </t>
  </si>
  <si>
    <t xml:space="preserve">Polk Community College </t>
  </si>
  <si>
    <t xml:space="preserve">St. Johns River Community College </t>
  </si>
  <si>
    <t xml:space="preserve">St. Petersburg College </t>
  </si>
  <si>
    <t xml:space="preserve">Santa Fe Community College </t>
  </si>
  <si>
    <t xml:space="preserve">Seminole Community College </t>
  </si>
  <si>
    <t xml:space="preserve">South Florida Community College </t>
  </si>
  <si>
    <t xml:space="preserve">Tallahassee Community College </t>
  </si>
  <si>
    <t xml:space="preserve">Valencia Community College </t>
  </si>
  <si>
    <t xml:space="preserve">North Carolina State University </t>
  </si>
  <si>
    <t xml:space="preserve">University of North Carolina at Chapel Hill </t>
  </si>
  <si>
    <t>University of North Carolina at Greensboro</t>
  </si>
  <si>
    <t xml:space="preserve">Appalachian State University </t>
  </si>
  <si>
    <t xml:space="preserve">East Carolina University </t>
  </si>
  <si>
    <t xml:space="preserve">North Carolina Central University </t>
  </si>
  <si>
    <t>University of North Carolina at Charlotte</t>
  </si>
  <si>
    <t>University of North Carolina at Wilmington</t>
  </si>
  <si>
    <t xml:space="preserve">Western Carolina University </t>
  </si>
  <si>
    <t xml:space="preserve">Fayetteville State University </t>
  </si>
  <si>
    <t>University of North Carolina at Pembroke</t>
  </si>
  <si>
    <t xml:space="preserve">Elizabeth City State University </t>
  </si>
  <si>
    <t>University of North Carolina at Asheville</t>
  </si>
  <si>
    <t xml:space="preserve">Winston-Salem State University </t>
  </si>
  <si>
    <t>Asheville-Buncombe Technical Community College</t>
  </si>
  <si>
    <t>Cape Fear Community College</t>
  </si>
  <si>
    <t>Catawba Valley Community College</t>
  </si>
  <si>
    <t>Central Carolina Commuity College</t>
  </si>
  <si>
    <t xml:space="preserve">Central Piedmont Community College </t>
  </si>
  <si>
    <t>Fayetteville Technical Community College</t>
  </si>
  <si>
    <t>Forsyth Technical Community College</t>
  </si>
  <si>
    <t>Guilford Technical Community College</t>
  </si>
  <si>
    <t>Pitt Community College</t>
  </si>
  <si>
    <t>Wake Technical Community College</t>
  </si>
  <si>
    <t>Alamance Community College</t>
  </si>
  <si>
    <t xml:space="preserve">Beaufort County Community College </t>
  </si>
  <si>
    <t>Blue Ridge Community College</t>
  </si>
  <si>
    <t>Caldwell Community College &amp; Technical Institute</t>
  </si>
  <si>
    <t>Cleveland Community College</t>
  </si>
  <si>
    <t xml:space="preserve">Coastal Carolina Community College </t>
  </si>
  <si>
    <t>College of the Albemarle</t>
  </si>
  <si>
    <t xml:space="preserve">Craven Community College </t>
  </si>
  <si>
    <t xml:space="preserve">Davidson County Community College </t>
  </si>
  <si>
    <t>Durham Technical Community College</t>
  </si>
  <si>
    <t>Edgecombe Community College</t>
  </si>
  <si>
    <t xml:space="preserve">Gaston College </t>
  </si>
  <si>
    <t>Haywood Community College</t>
  </si>
  <si>
    <t xml:space="preserve">Isothermal Community College </t>
  </si>
  <si>
    <t>Johnston Community College</t>
  </si>
  <si>
    <t xml:space="preserve">Lenoir Community College </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</si>
  <si>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</si>
  <si>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</si>
  <si>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</si>
  <si>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</si>
  <si>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</si>
  <si>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</si>
  <si>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</si>
  <si>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Rowan-Cabarrus Community College</t>
  </si>
  <si>
    <t xml:space="preserve">Sandhills Community College </t>
  </si>
  <si>
    <t>South Piedmont Community College</t>
  </si>
  <si>
    <t>Unranked/Other</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</si>
  <si>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</si>
  <si>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</si>
  <si>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</si>
  <si>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</si>
  <si>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</si>
  <si>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</si>
  <si>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</si>
  <si>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</si>
  <si>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</si>
  <si>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Bladen Community College</t>
  </si>
  <si>
    <t>Brunswick Community College</t>
  </si>
  <si>
    <t>Carteret Community College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</si>
  <si>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</si>
  <si>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</si>
  <si>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</si>
  <si>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</si>
  <si>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</si>
  <si>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</si>
  <si>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</si>
  <si>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Roanoke-Chowan Community College</t>
  </si>
  <si>
    <t>Sampson Community College</t>
  </si>
  <si>
    <t xml:space="preserve">Tri-County Community College </t>
  </si>
  <si>
    <t>Georgia*</t>
  </si>
  <si>
    <t>Table 106</t>
  </si>
  <si>
    <t>Old All Ranks</t>
  </si>
  <si>
    <t>% change</t>
  </si>
  <si>
    <t>Sub-total</t>
  </si>
  <si>
    <t>Technical Institute or College 1</t>
  </si>
  <si>
    <t>Technical Institute or College 2</t>
  </si>
  <si>
    <t>Technical Institute or College Size Unknown</t>
  </si>
  <si>
    <t>All Technical Institutes or Colleges</t>
  </si>
  <si>
    <t>Grand Total</t>
  </si>
  <si>
    <t>Data</t>
  </si>
  <si>
    <t xml:space="preserve"> Tot # Asc. Prof New</t>
  </si>
  <si>
    <t xml:space="preserve"> Old Prof avg</t>
  </si>
  <si>
    <t>Total  Old Prof avg</t>
  </si>
  <si>
    <t xml:space="preserve"> New Prof avg</t>
  </si>
  <si>
    <t>Total  New Prof avg</t>
  </si>
  <si>
    <t xml:space="preserve"> % change Prof</t>
  </si>
  <si>
    <t>Total  % change Prof</t>
  </si>
  <si>
    <t xml:space="preserve"> Old Asc. avg</t>
  </si>
  <si>
    <t>Total  Old Asc. avg</t>
  </si>
  <si>
    <t xml:space="preserve"> New Asc. avg</t>
  </si>
  <si>
    <t>Total  New Asc. avg</t>
  </si>
  <si>
    <t xml:space="preserve"> % change Asc. Prof</t>
  </si>
  <si>
    <t>Total  % change Asc. Prof</t>
  </si>
  <si>
    <t xml:space="preserve"> Old Ast. avg</t>
  </si>
  <si>
    <t>Total  Old Ast. avg</t>
  </si>
  <si>
    <t xml:space="preserve"> New Ast. avg</t>
  </si>
  <si>
    <t>Total  New Ast. avg</t>
  </si>
  <si>
    <t xml:space="preserve"> % change Ast. Prof</t>
  </si>
  <si>
    <t>Total  % change Ast. Prof</t>
  </si>
  <si>
    <t xml:space="preserve"> Old Inst. avg</t>
  </si>
  <si>
    <t>Total  Old Inst. avg</t>
  </si>
  <si>
    <t xml:space="preserve"> New Inst. avg</t>
  </si>
  <si>
    <t>Total  New Inst. avg</t>
  </si>
  <si>
    <t xml:space="preserve"> % change Instr avg</t>
  </si>
  <si>
    <t>Total  % change Instr avg</t>
  </si>
  <si>
    <t xml:space="preserve"> Old Undesg. avg</t>
  </si>
  <si>
    <t>Total  Old Undesg. avg</t>
  </si>
  <si>
    <t xml:space="preserve"> New Undesg. avg</t>
  </si>
  <si>
    <t>Total  New Undesg. avg</t>
  </si>
  <si>
    <t xml:space="preserve"> % change Undesg avg</t>
  </si>
  <si>
    <t>Total  % change Undesg avg</t>
  </si>
  <si>
    <t xml:space="preserve"> Old Single Rnk avg</t>
  </si>
  <si>
    <t>Total  Old Single Rnk avg</t>
  </si>
  <si>
    <t xml:space="preserve"> New Single Rnk avg</t>
  </si>
  <si>
    <t>Total  New Single Rnk avg</t>
  </si>
  <si>
    <t xml:space="preserve"> % change Single Rnk avg</t>
  </si>
  <si>
    <t>Total  % change Single Rnk avg</t>
  </si>
  <si>
    <t xml:space="preserve"> Old All Ranks avg</t>
  </si>
  <si>
    <t>Total  Old All Ranks avg</t>
  </si>
  <si>
    <t xml:space="preserve"> New All Ranks avg</t>
  </si>
  <si>
    <t>Total  New All Ranks avg</t>
  </si>
  <si>
    <t xml:space="preserve"> % change All Ranks avg</t>
  </si>
  <si>
    <t>Total  % change All Ranks avg</t>
  </si>
  <si>
    <t>Category2</t>
  </si>
  <si>
    <t>Technical Institutes</t>
  </si>
  <si>
    <t xml:space="preserve"> Total # Prof New</t>
  </si>
  <si>
    <t>Total  Total # Prof New</t>
  </si>
  <si>
    <t>Total  Tot # Asc. Prof New</t>
  </si>
  <si>
    <t xml:space="preserve"> Tot # Ast. Prof New</t>
  </si>
  <si>
    <t>Total  Tot # Ast. Prof New</t>
  </si>
  <si>
    <t xml:space="preserve"> Tot # Instr. New</t>
  </si>
  <si>
    <t>Total  Tot # Instr. New</t>
  </si>
  <si>
    <t xml:space="preserve"> Tot # Undes. New</t>
  </si>
  <si>
    <t>Total  Tot # Undes. New</t>
  </si>
  <si>
    <t xml:space="preserve"> Tot # Single Rnk New</t>
  </si>
  <si>
    <t>Total  Tot # Single Rnk New</t>
  </si>
  <si>
    <t xml:space="preserve"> All Ranks # New</t>
  </si>
  <si>
    <t>Total  All Ranks # New</t>
  </si>
  <si>
    <t>with Bach- elor's</t>
  </si>
  <si>
    <t>size un- known</t>
  </si>
  <si>
    <t>Two-Year with Bachelor's</t>
  </si>
  <si>
    <t>Two-Year 3</t>
  </si>
  <si>
    <t>Two-Year Size Unknown</t>
  </si>
  <si>
    <t>All Two-Year</t>
  </si>
  <si>
    <t>LA</t>
  </si>
  <si>
    <t>TX</t>
  </si>
  <si>
    <t>TN</t>
  </si>
  <si>
    <t>OK</t>
  </si>
  <si>
    <t>[combined 9/10-month and 11/12-month contract groups]</t>
  </si>
  <si>
    <t>Percent</t>
  </si>
  <si>
    <t>Single Rank</t>
  </si>
  <si>
    <t>Other</t>
  </si>
  <si>
    <t>All Ranks</t>
  </si>
  <si>
    <t>SREB</t>
  </si>
  <si>
    <t>Four-Year</t>
  </si>
  <si>
    <t>Two-Year</t>
  </si>
  <si>
    <t>All 4-Yr</t>
  </si>
  <si>
    <t>Undesignated/</t>
  </si>
  <si>
    <t>OLD</t>
  </si>
  <si>
    <t>NEW</t>
  </si>
  <si>
    <t>Calculated</t>
  </si>
  <si>
    <t>Product</t>
  </si>
  <si>
    <t>Notes: Salaries reported as 11-12 month appointments have been converted to 9-10 month equivalence by reducing the reported amounts by 2/11. States with distinct 10, 11 and 12 month appointments have been converted by reducing the amounts by 1/10, 2/11 and 3/12 respectively.</t>
  </si>
  <si>
    <t xml:space="preserve">Notes: Salaries reported as 11-12 month appointments have been converted to 9-10 month equivalence by reducing the reported amounts by 2/11. States with distinct 10, 11 and 12 month appointments have been converted by reducing the amounts by 1/10, 2/11 and 3/12 respectively. </t>
  </si>
  <si>
    <t>IPEDS</t>
  </si>
  <si>
    <t>Institution</t>
  </si>
  <si>
    <t>ID #</t>
  </si>
  <si>
    <t>Category</t>
  </si>
  <si>
    <t>Number</t>
  </si>
  <si>
    <t>AL</t>
  </si>
  <si>
    <t>State</t>
  </si>
  <si>
    <t>Section II:  11-12 Month</t>
  </si>
  <si>
    <t>Professor</t>
  </si>
  <si>
    <t>Associate Professor</t>
  </si>
  <si>
    <t>Assistant Professor</t>
  </si>
  <si>
    <t>Instructor</t>
  </si>
  <si>
    <t>Average</t>
  </si>
  <si>
    <t>Salary</t>
  </si>
  <si>
    <t>AR</t>
  </si>
  <si>
    <t>DE</t>
  </si>
  <si>
    <t>MD</t>
  </si>
  <si>
    <t>MS</t>
  </si>
  <si>
    <t>NC</t>
  </si>
  <si>
    <t>WV</t>
  </si>
  <si>
    <t>VA</t>
  </si>
  <si>
    <t>GA</t>
  </si>
  <si>
    <t>SC</t>
  </si>
  <si>
    <t>FL</t>
  </si>
  <si>
    <t>KY</t>
  </si>
  <si>
    <t>Old # Prof9</t>
  </si>
  <si>
    <t>Old Sal Prof9</t>
  </si>
  <si>
    <t>New # Prof9</t>
  </si>
  <si>
    <t>New Sal Prof9</t>
  </si>
  <si>
    <t>Old # Asc9</t>
  </si>
  <si>
    <t>Old Sal Asc9</t>
  </si>
  <si>
    <t>New # Asc9</t>
  </si>
  <si>
    <t>New Sal Asc9</t>
  </si>
  <si>
    <t>Old # Ast9</t>
  </si>
  <si>
    <t>Old Sal Ast9</t>
  </si>
  <si>
    <t>New # Ast9</t>
  </si>
  <si>
    <t>New Sal Ast9</t>
  </si>
  <si>
    <t>Old # Inst9</t>
  </si>
  <si>
    <t>Old Sal Inst9</t>
  </si>
  <si>
    <t>New # Inst9</t>
  </si>
  <si>
    <t>New Sal Inst9</t>
  </si>
  <si>
    <t>Old # Undsg9</t>
  </si>
  <si>
    <t>Old Sal Undsg9</t>
  </si>
  <si>
    <t>New # Undsg9</t>
  </si>
  <si>
    <t>New Sal Undsg9</t>
  </si>
  <si>
    <t>Old # SR9</t>
  </si>
  <si>
    <t>Old Sal SR9</t>
  </si>
  <si>
    <t>New # SR9</t>
  </si>
  <si>
    <t>New Sal SR9</t>
  </si>
  <si>
    <t>Old * Prof9</t>
  </si>
  <si>
    <t>New*Prof9</t>
  </si>
  <si>
    <t>Old*Asc9</t>
  </si>
  <si>
    <t>New*Asc9</t>
  </si>
  <si>
    <t>Old*Ast9</t>
  </si>
  <si>
    <t>New*Ast9</t>
  </si>
  <si>
    <t>Old*Inst9</t>
  </si>
  <si>
    <t>New*Inst9</t>
  </si>
  <si>
    <t>Old*Undsg9</t>
  </si>
  <si>
    <t>Nrw*Undsg9</t>
  </si>
  <si>
    <t>Old*SR9</t>
  </si>
  <si>
    <t>New*SR9</t>
  </si>
  <si>
    <t>Old Sal Prof11</t>
  </si>
  <si>
    <t>Old * Prof11</t>
  </si>
  <si>
    <t>New # Prof11</t>
  </si>
  <si>
    <t>New Sal Prof11</t>
  </si>
  <si>
    <t>New*Prof11</t>
  </si>
  <si>
    <t>Old # Asc11</t>
  </si>
  <si>
    <t>Old Sal Asc11</t>
  </si>
  <si>
    <t>Old*Asc11</t>
  </si>
  <si>
    <t>New # Asc11</t>
  </si>
  <si>
    <t>New Sal Asc11</t>
  </si>
  <si>
    <t>New*Asc11</t>
  </si>
  <si>
    <t>Old # Ast11</t>
  </si>
  <si>
    <t>Old Sal Ast11</t>
  </si>
  <si>
    <t>Old*Ast11</t>
  </si>
  <si>
    <t>New # Ast11</t>
  </si>
  <si>
    <t>New Sal Ast11</t>
  </si>
  <si>
    <t>New*Ast11</t>
  </si>
  <si>
    <t>Old # Inst11</t>
  </si>
  <si>
    <t>Old Sal Inst11</t>
  </si>
  <si>
    <t>Old*Inst11</t>
  </si>
  <si>
    <t>New # Inst11</t>
  </si>
  <si>
    <t>New Sal Inst11</t>
  </si>
  <si>
    <t>New*Inst11</t>
  </si>
  <si>
    <t>Old # Undsg11</t>
  </si>
  <si>
    <t>Old Sal Undsg11</t>
  </si>
  <si>
    <t>Old*Undsg11</t>
  </si>
  <si>
    <t>New # Undsg11</t>
  </si>
  <si>
    <t>New Sal Undsg11</t>
  </si>
  <si>
    <t>Nrw*Undsg11</t>
  </si>
  <si>
    <t>Old # SR11</t>
  </si>
  <si>
    <t>Old Sal SR11</t>
  </si>
  <si>
    <t>Old*SR11</t>
  </si>
  <si>
    <t>New # SR11</t>
  </si>
  <si>
    <t>New Sal SR11</t>
  </si>
  <si>
    <t>New*SR11</t>
  </si>
  <si>
    <t>Old # Prof11</t>
  </si>
  <si>
    <t xml:space="preserve">Number </t>
  </si>
  <si>
    <t>Weighted Average Full-Time Faculty Salaries</t>
  </si>
  <si>
    <t>Associate</t>
  </si>
  <si>
    <t>Assistant</t>
  </si>
  <si>
    <t>Single</t>
  </si>
  <si>
    <t>All</t>
  </si>
  <si>
    <t>Rank</t>
  </si>
  <si>
    <t>Ranks</t>
  </si>
  <si>
    <t>Four-Year 1</t>
  </si>
  <si>
    <t>Four-Year 2</t>
  </si>
  <si>
    <t>Four-Year 3</t>
  </si>
  <si>
    <t>Four-Year 4</t>
  </si>
  <si>
    <t>Four-Year 5</t>
  </si>
  <si>
    <t>Four-Year 6</t>
  </si>
  <si>
    <t>All Four-Year</t>
  </si>
  <si>
    <t>Two-Year 1</t>
  </si>
  <si>
    <t>Two-Year 2</t>
  </si>
  <si>
    <t>Weighted Average Salaries of Full-Time Faculty</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</si>
  <si>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</si>
  <si>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</si>
  <si>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</si>
  <si>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</si>
  <si>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</si>
  <si>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</si>
  <si>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</si>
  <si>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</si>
  <si>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</si>
  <si>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</si>
  <si>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</si>
  <si>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</si>
  <si>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</si>
  <si>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</si>
  <si>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</si>
  <si>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Weighted Average Salaries and Salary Rankings of Full-Time Faculty</t>
  </si>
  <si>
    <t>Delaware</t>
  </si>
  <si>
    <t>SREB states</t>
  </si>
  <si>
    <t xml:space="preserve"> </t>
  </si>
  <si>
    <t>All 
4-Yr</t>
  </si>
  <si>
    <t>All 
2-Yr</t>
  </si>
  <si>
    <t>Size Un-
known</t>
  </si>
  <si>
    <t>Table 107</t>
  </si>
  <si>
    <t>Table 108</t>
  </si>
  <si>
    <t>Table 109</t>
  </si>
  <si>
    <t>Table 110</t>
  </si>
  <si>
    <t>Table 111</t>
  </si>
  <si>
    <t>Table 112</t>
  </si>
  <si>
    <t>Table 113</t>
  </si>
  <si>
    <t>Table 114</t>
  </si>
  <si>
    <t>Table 115</t>
  </si>
  <si>
    <t>Table 116</t>
  </si>
  <si>
    <t>Table 117</t>
  </si>
  <si>
    <t>Table 118</t>
  </si>
  <si>
    <t>Table 119</t>
  </si>
  <si>
    <t>Table 120</t>
  </si>
  <si>
    <t>Table 121</t>
  </si>
  <si>
    <t>Table 122</t>
  </si>
  <si>
    <t>Table 123</t>
  </si>
  <si>
    <t>Table 124</t>
  </si>
  <si>
    <t>Table 125</t>
  </si>
  <si>
    <t>Table 126</t>
  </si>
  <si>
    <t>Undesignated/ Other</t>
  </si>
  <si>
    <t>Technical     Institute or    College 1</t>
  </si>
  <si>
    <t>Francis Tuttle Technology Center</t>
  </si>
  <si>
    <t>Great Plains Technology Center</t>
  </si>
  <si>
    <t>Metro Technology Center</t>
  </si>
  <si>
    <t>Autry Technology Center</t>
  </si>
  <si>
    <t>Caddo Kiowa Technology Center</t>
  </si>
  <si>
    <t>Central Technology Center</t>
  </si>
  <si>
    <t>Chisholm Trail Technology Center</t>
  </si>
  <si>
    <t>Eastern Oklahoma County Technology Center</t>
  </si>
  <si>
    <t>Gordon Cooper Technology Center</t>
  </si>
  <si>
    <t>Green Country Technology Center</t>
  </si>
  <si>
    <t>High Plains Technology Center</t>
  </si>
  <si>
    <t>Indian Capital Technology Center-Muskogee</t>
  </si>
  <si>
    <t>Indian Capital Technology Center-Sallisaw</t>
  </si>
  <si>
    <t>Indian Capital Technology Center-Stilwell</t>
  </si>
  <si>
    <t>Indian Capital Technology Center-Tahlequah</t>
  </si>
  <si>
    <t>Kiamichi Technology Center-Atoka</t>
  </si>
  <si>
    <t>Kiamichi Technology Center-Durant</t>
  </si>
  <si>
    <t>Kiamichi Technology Center-Hugo</t>
  </si>
  <si>
    <t>Kiamichi Technology Center-Idabel</t>
  </si>
  <si>
    <t>Kiamichi Technology Center-McAlester</t>
  </si>
  <si>
    <t>Kiamichi Technology Center-Poteau</t>
  </si>
  <si>
    <t>Kiamichi Technology Center-Spiro</t>
  </si>
  <si>
    <t>Kiamichi Technology Center-Stigler</t>
  </si>
  <si>
    <t>Kiamichi Technology Center-Talihina</t>
  </si>
  <si>
    <t>Meridian Technology Center</t>
  </si>
  <si>
    <t>Mid-America Technology Center</t>
  </si>
  <si>
    <t>Mid-Del Technology Center</t>
  </si>
  <si>
    <t>Northeast Technology Center-Afton</t>
  </si>
  <si>
    <t>Northeast Technology Center-Kansas</t>
  </si>
  <si>
    <t>Northeast Technology Center-Pryor</t>
  </si>
  <si>
    <t>Northwest Technology Center-Alva</t>
  </si>
  <si>
    <t>Northwest Technology Center-Fairview</t>
  </si>
  <si>
    <t>Pioneer Technology Center</t>
  </si>
  <si>
    <t>Pontotoc Technology Center</t>
  </si>
  <si>
    <t>Red River Technology Center</t>
  </si>
  <si>
    <t>Southern Oklahoma Technology Center</t>
  </si>
  <si>
    <t>Southwest Technology Center</t>
  </si>
  <si>
    <t>Tri County Technology Center</t>
  </si>
  <si>
    <t xml:space="preserve">Tulsa County Area Voc Tech School Dist 18-Peoria  </t>
  </si>
  <si>
    <t>Tulsa Technology Center-Broken Arrow Campus</t>
  </si>
  <si>
    <t xml:space="preserve">Tulsa Technology Center-Lemley Campus             </t>
  </si>
  <si>
    <t>Tulsa Technology Center-Riverside Campus</t>
  </si>
  <si>
    <t>Wes Watkins Technology Center</t>
  </si>
  <si>
    <t>Western Technology Center</t>
  </si>
  <si>
    <t xml:space="preserve">Florida State University </t>
  </si>
  <si>
    <t>University of Florida</t>
  </si>
  <si>
    <t xml:space="preserve">University of South Florida </t>
  </si>
  <si>
    <t xml:space="preserve">Florida Atlantic University </t>
  </si>
  <si>
    <t>Florida International University</t>
  </si>
  <si>
    <t xml:space="preserve">University of Central Florida </t>
  </si>
  <si>
    <t xml:space="preserve">Florida Agricultural &amp; Mechanical University </t>
  </si>
  <si>
    <t>University of North Florida</t>
  </si>
  <si>
    <t>University of West Florida</t>
  </si>
  <si>
    <t>Florida Gulf Coast University</t>
  </si>
  <si>
    <t>New College of Florida</t>
  </si>
  <si>
    <t>West Virginia University</t>
  </si>
  <si>
    <t xml:space="preserve">Marshall University </t>
  </si>
  <si>
    <t xml:space="preserve">Bluefield State College </t>
  </si>
  <si>
    <t xml:space="preserve">Concord University </t>
  </si>
  <si>
    <t xml:space="preserve">Glenville State College </t>
  </si>
  <si>
    <t xml:space="preserve">Shepherd University </t>
  </si>
  <si>
    <t xml:space="preserve">West Virginia State University </t>
  </si>
  <si>
    <t>West Virginia University Institute of Technology</t>
  </si>
  <si>
    <t>West Virginia University at Parkersburg</t>
  </si>
  <si>
    <t>Pierpont Community &amp; Technical College</t>
  </si>
  <si>
    <t>Blue Ridge Community &amp; Technical College</t>
  </si>
  <si>
    <t>Community &amp; Technical College at WVU Tech</t>
  </si>
  <si>
    <t>Eastern West Virginia Community &amp; Technical College</t>
  </si>
  <si>
    <t>Marshall Community &amp; Technical College</t>
  </si>
  <si>
    <t>New River Community &amp; Technical College</t>
  </si>
  <si>
    <t>West Virginia Northern Community College</t>
  </si>
  <si>
    <t>WV State Community &amp; Technical College</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</si>
  <si>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</si>
  <si>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</si>
  <si>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</si>
  <si>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</si>
  <si>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</si>
  <si>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</si>
  <si>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</si>
  <si>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</si>
  <si>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</si>
  <si>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</si>
  <si>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</si>
  <si>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</si>
  <si>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</si>
  <si>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</si>
  <si>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</si>
  <si>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</si>
  <si>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</si>
  <si>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</si>
  <si>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</si>
  <si>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Georgia Perimeter College </t>
  </si>
  <si>
    <t xml:space="preserve">Abraham Baldwin Agricultural College </t>
  </si>
  <si>
    <t xml:space="preserve">Darton College </t>
  </si>
  <si>
    <t xml:space="preserve">Gainesville State College </t>
  </si>
  <si>
    <t xml:space="preserve">Georgia Highlands College </t>
  </si>
  <si>
    <t xml:space="preserve">Gordon College </t>
  </si>
  <si>
    <t xml:space="preserve">Middle Georgia College </t>
  </si>
  <si>
    <t>Atlanta Metropolitan College</t>
  </si>
  <si>
    <t xml:space="preserve">Bainbridge College </t>
  </si>
  <si>
    <t>East Georgia College</t>
  </si>
  <si>
    <t xml:space="preserve">South Georgia College </t>
  </si>
  <si>
    <t xml:space="preserve">Waycross College </t>
  </si>
  <si>
    <t>University of Virginia</t>
  </si>
  <si>
    <t xml:space="preserve">Virginia Tech </t>
  </si>
  <si>
    <t>College of William &amp; Mary</t>
  </si>
  <si>
    <t xml:space="preserve">George Mason University </t>
  </si>
  <si>
    <t xml:space="preserve">Old Dominion University </t>
  </si>
  <si>
    <t xml:space="preserve">Virginia Commonwealth University  </t>
  </si>
  <si>
    <t xml:space="preserve">James Madison University  </t>
  </si>
  <si>
    <t>Radford University</t>
  </si>
  <si>
    <t>Christopher Newport University</t>
  </si>
  <si>
    <t xml:space="preserve">Norfolk State University </t>
  </si>
  <si>
    <t xml:space="preserve">Virginia State University </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</si>
  <si>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</si>
  <si>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</si>
  <si>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</si>
  <si>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</si>
  <si>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</si>
  <si>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</si>
  <si>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</si>
  <si>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</si>
  <si>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</si>
  <si>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</si>
  <si>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</si>
  <si>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</si>
  <si>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</si>
  <si>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Patrick Henry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</si>
  <si>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</si>
  <si>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</si>
  <si>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</si>
  <si>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</si>
  <si>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</si>
  <si>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</si>
  <si>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Mountain Empire Community College</t>
  </si>
  <si>
    <t xml:space="preserve">Paul D. Camp Community College  </t>
  </si>
  <si>
    <t xml:space="preserve">Rappahannock Community College  </t>
  </si>
  <si>
    <t xml:space="preserve">Richard Bland College </t>
  </si>
  <si>
    <t xml:space="preserve">Virginia Highlands Community College </t>
  </si>
  <si>
    <t xml:space="preserve">Wytheville Community College </t>
  </si>
  <si>
    <t>All Community Colleges except R.Bland</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</si>
  <si>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</si>
  <si>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</si>
  <si>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</si>
  <si>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</si>
  <si>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</si>
  <si>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</si>
  <si>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</si>
  <si>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</si>
  <si>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</si>
  <si>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</si>
  <si>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</si>
  <si>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</si>
  <si>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</si>
  <si>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</si>
  <si>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</si>
  <si>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</si>
  <si>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</si>
  <si>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</si>
  <si>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</si>
  <si>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</si>
  <si>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</si>
  <si>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Ouachita Technical College </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</si>
  <si>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</si>
  <si>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</si>
  <si>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</si>
  <si>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</si>
  <si>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</si>
  <si>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</si>
  <si>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</si>
  <si>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</si>
  <si>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</si>
  <si>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</si>
  <si>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</si>
  <si>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</si>
  <si>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</si>
  <si>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</si>
  <si>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</si>
  <si>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</si>
  <si>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Lander University</t>
  </si>
  <si>
    <t xml:space="preserve">South Carolina State University </t>
  </si>
  <si>
    <t>University of South Carolina-Aiken</t>
  </si>
  <si>
    <t>University of South Carolina-Upstate</t>
  </si>
  <si>
    <t>University of South Carolina-Beaufort</t>
  </si>
  <si>
    <t xml:space="preserve">Greenville Technical College </t>
  </si>
  <si>
    <t xml:space="preserve">Midlands Technical College </t>
  </si>
  <si>
    <t xml:space="preserve">Trident Technical College </t>
  </si>
  <si>
    <t xml:space="preserve">Aiken Technical College </t>
  </si>
  <si>
    <t xml:space="preserve">Central Carolina Technical College </t>
  </si>
  <si>
    <t xml:space="preserve">Florence-Darlington Technical College </t>
  </si>
  <si>
    <t xml:space="preserve">Horry-Georgetown Technical College </t>
  </si>
  <si>
    <t xml:space="preserve">Orangeburg-Calhoun Technical College </t>
  </si>
  <si>
    <t xml:space="preserve">Piedmont Technical College </t>
  </si>
  <si>
    <t xml:space="preserve">Spartanburg Technical College </t>
  </si>
  <si>
    <t xml:space="preserve">Tri-County Technical College </t>
  </si>
  <si>
    <t xml:space="preserve">York Technical College </t>
  </si>
  <si>
    <t xml:space="preserve">Denmark Technical College </t>
  </si>
  <si>
    <t>Northeastern Technical College</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</si>
  <si>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</si>
  <si>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</si>
  <si>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</si>
  <si>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</si>
  <si>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</si>
  <si>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</si>
  <si>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</si>
  <si>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</si>
  <si>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</si>
  <si>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</si>
  <si>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</si>
  <si>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</si>
  <si>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</si>
  <si>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</si>
  <si>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</si>
  <si>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</si>
  <si>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</si>
  <si>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</si>
  <si>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</si>
  <si>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</si>
  <si>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Jefferson State Community College</t>
  </si>
  <si>
    <t xml:space="preserve">John C. Calhoun State Community College </t>
  </si>
  <si>
    <t>Bevill State Community College</t>
  </si>
  <si>
    <t>Bishop State Community College</t>
  </si>
  <si>
    <t>Gadsden State Community College</t>
  </si>
  <si>
    <t>George C. Wallace Community College - Dothan</t>
  </si>
  <si>
    <t>James H. Faulkner State Community College</t>
  </si>
  <si>
    <t xml:space="preserve">Lawson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</si>
  <si>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</si>
  <si>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</si>
  <si>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</si>
  <si>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</si>
  <si>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</si>
  <si>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</si>
  <si>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</si>
  <si>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 xml:space="preserve">Enterprise-Ozark Community College </t>
  </si>
  <si>
    <t>George Corley Wallace State Community College - Selma</t>
  </si>
  <si>
    <t>Jefferson Davis Community College</t>
  </si>
  <si>
    <t xml:space="preserve">Lurleen B. Wallace Community College </t>
  </si>
  <si>
    <t xml:space="preserve">Northeast Alabama State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</si>
  <si>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</si>
  <si>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</si>
  <si>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</si>
  <si>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</si>
  <si>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</si>
  <si>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</si>
  <si>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</si>
  <si>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</si>
  <si>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</si>
  <si>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</si>
  <si>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</si>
  <si>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</si>
  <si>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</si>
  <si>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Coosa Valley Technical College</t>
  </si>
  <si>
    <t>DeKalb Technical College</t>
  </si>
  <si>
    <t>East Central Technical College</t>
  </si>
  <si>
    <t>Griffin Technical College</t>
  </si>
  <si>
    <t>Gwinnett Technical College</t>
  </si>
  <si>
    <t>Heart of Georgia Technical College</t>
  </si>
  <si>
    <t>Lanier Technical College</t>
  </si>
  <si>
    <t>Middle Georgia Technical College</t>
  </si>
  <si>
    <t>Moultrie Technical College</t>
  </si>
  <si>
    <t>North Georgia Technical College</t>
  </si>
  <si>
    <t>North Metro Technical College</t>
  </si>
  <si>
    <t>Northwestern Technical College</t>
  </si>
  <si>
    <t>Ogeechee Technical College</t>
  </si>
  <si>
    <t>Okefenokee Technical College</t>
  </si>
  <si>
    <t>Savannah Technical College</t>
  </si>
  <si>
    <t>South Georgia Technical College</t>
  </si>
  <si>
    <t>Southeastern Technical College</t>
  </si>
  <si>
    <t>Southwest Georgia Technical College</t>
  </si>
  <si>
    <t>Valdosta Technical College</t>
  </si>
  <si>
    <t>West Central Technical College</t>
  </si>
  <si>
    <t>West Georgia Technical College</t>
  </si>
  <si>
    <t>Appalachian Technical College</t>
  </si>
  <si>
    <t>Flint River Technical College</t>
  </si>
  <si>
    <t>Sandersville Technical College</t>
  </si>
  <si>
    <t>Swainsboro Technical College</t>
  </si>
  <si>
    <t>University of Maryland College Park</t>
  </si>
  <si>
    <t>University of Maryland, Baltimore County</t>
  </si>
  <si>
    <t xml:space="preserve">Towson University </t>
  </si>
  <si>
    <t xml:space="preserve">Bowie State University </t>
  </si>
  <si>
    <t xml:space="preserve">Frostburg State University </t>
  </si>
  <si>
    <t>Morgan State University</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</si>
  <si>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</si>
  <si>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</si>
  <si>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</si>
  <si>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</si>
  <si>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</si>
  <si>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</si>
  <si>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Community College of Baltimore County</t>
  </si>
  <si>
    <t>Montgomery College</t>
  </si>
  <si>
    <t xml:space="preserve">Prince George's Community College </t>
  </si>
  <si>
    <t>Baltimore City Community College</t>
  </si>
  <si>
    <t>College of Southern Maryland (formerly Charles County CC)</t>
  </si>
  <si>
    <t xml:space="preserve">Frederick Community College </t>
  </si>
  <si>
    <t xml:space="preserve">Harford Community College </t>
  </si>
  <si>
    <t xml:space="preserve">Howard Community College </t>
  </si>
  <si>
    <t>Allegany College of Maryland</t>
  </si>
  <si>
    <t>Carroll Community College</t>
  </si>
  <si>
    <t xml:space="preserve">Cecil Community College </t>
  </si>
  <si>
    <t xml:space="preserve">Chesapeake College </t>
  </si>
  <si>
    <t xml:space="preserve">Garrett College </t>
  </si>
  <si>
    <t xml:space="preserve">Hagerstown Community College </t>
  </si>
  <si>
    <t xml:space="preserve">Wor-Wic Community College </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</si>
  <si>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</si>
  <si>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</si>
  <si>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</si>
  <si>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</si>
  <si>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</si>
  <si>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</si>
  <si>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</si>
  <si>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</si>
  <si>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</si>
  <si>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</si>
  <si>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University of Kentucky</t>
  </si>
  <si>
    <t>University of Louisville</t>
  </si>
  <si>
    <t xml:space="preserve">Eastern Kentucky University </t>
  </si>
  <si>
    <t xml:space="preserve">Murray State University </t>
  </si>
  <si>
    <t xml:space="preserve">Western Kentucky University </t>
  </si>
  <si>
    <t xml:space="preserve">Morehead State University </t>
  </si>
  <si>
    <t xml:space="preserve">Northern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</si>
  <si>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</si>
  <si>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</si>
  <si>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</si>
  <si>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</si>
  <si>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</si>
  <si>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</si>
  <si>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</si>
  <si>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Madisonville Community College</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</si>
  <si>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</si>
  <si>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</si>
  <si>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</si>
  <si>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</si>
  <si>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</si>
  <si>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 xml:space="preserve">Hopkinsville Community College </t>
  </si>
  <si>
    <t xml:space="preserve">Maysville Community and Technical College </t>
  </si>
  <si>
    <t>Gateway Community and Technical College</t>
  </si>
  <si>
    <t>Bowling Green Technical College</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</si>
  <si>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</si>
  <si>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</si>
  <si>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</si>
  <si>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</si>
  <si>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</si>
  <si>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</si>
  <si>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</si>
  <si>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</si>
  <si>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</si>
  <si>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</si>
  <si>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</si>
  <si>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</si>
  <si>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</si>
  <si>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</si>
  <si>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</si>
  <si>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</si>
  <si>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</si>
  <si>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</si>
  <si>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</si>
  <si>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</si>
  <si>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</si>
  <si>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</si>
  <si>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</si>
  <si>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Sowela Technical Community College</t>
  </si>
  <si>
    <t>L.E. Fletcher Technical Community College</t>
  </si>
  <si>
    <t>Louisiana Technical College-Acadian Campus</t>
  </si>
  <si>
    <t>Louisiana Technical College-Alexandria Campus</t>
  </si>
  <si>
    <t>Louisiana Technical College-All Campuses</t>
  </si>
  <si>
    <t>Louisiana Technical College-Ascension Campus</t>
  </si>
  <si>
    <t>Louisiana Technical College-Avoyelles Campus</t>
  </si>
  <si>
    <t>Louisiana Technical College-Bastrop Campus</t>
  </si>
  <si>
    <t>Louisiana Technical College-Baton Rouge Campus</t>
  </si>
  <si>
    <t>Louisiana Technical College-Charles B. Coreil Campus</t>
  </si>
  <si>
    <t>Louisiana Technical College-Delta/Ouachita Campus</t>
  </si>
  <si>
    <t>Louisiana Technical College-Evangeline Campus</t>
  </si>
  <si>
    <t>Louisiana Technical College-Florida Parishes Campus</t>
  </si>
  <si>
    <t>Louisiana Technical College-Folkes Campus</t>
  </si>
  <si>
    <t>Louisiana Technical College-Gulf Area Campus</t>
  </si>
  <si>
    <t>Louisiana Technical College-Hammond Area Campus</t>
  </si>
  <si>
    <t>Louisiana Technical College-Huey P. Long Campus</t>
  </si>
  <si>
    <t>Louisiana Technical College-Jefferson Campus</t>
  </si>
  <si>
    <t>Louisiana Technical College-Jumonville Memorial Campus</t>
  </si>
  <si>
    <t>Louisiana Technical College-Lafayette Campus</t>
  </si>
  <si>
    <t>Louisiana Technical College-Lafourche Campus</t>
  </si>
  <si>
    <t>Louisiana Technical College-Lamar Salter Campus</t>
  </si>
  <si>
    <t>Louisiana Technical College-Mansfield Campus</t>
  </si>
  <si>
    <t>Louisiana Technical College-Morgan Smith Campus</t>
  </si>
  <si>
    <t>Louisiana Technical College-Nachitoches Campus</t>
  </si>
  <si>
    <t>Louisiana Technical College-North Central Campus</t>
  </si>
  <si>
    <t>Louisiana Technical College-Northeast Louisiana Campus</t>
  </si>
  <si>
    <t>Louisiana Technical College-Northwest Louisiana Campus</t>
  </si>
  <si>
    <t>Louisiana Technical College-Oakdale Campus</t>
  </si>
  <si>
    <t>Louisiana Technical College-River Parishes Campus</t>
  </si>
  <si>
    <t>Louisiana Technical College-Ruston Campus</t>
  </si>
  <si>
    <t>Louisiana Technical College-Sabine Valley Campus</t>
  </si>
  <si>
    <t>Louisiana Technical College-Shelby M. Jackson Campus</t>
  </si>
  <si>
    <t>Louisiana Technical College-Shreveport/Bossier Campus</t>
  </si>
  <si>
    <t>Louisiana Technical College-Sidney N. Collier Campus</t>
  </si>
  <si>
    <t>Louisiana Technical College-Slidell Campus</t>
  </si>
  <si>
    <t>Louisiana Technical College-Sullivan Campus</t>
  </si>
  <si>
    <t>Louisiana Technical College-T.H. Harris Campus</t>
  </si>
  <si>
    <t>Louisiana Technical College-Tallulah Campus</t>
  </si>
  <si>
    <t>Louisiana Technical College-Teche Area Campus</t>
  </si>
  <si>
    <t>Louisiana Technical College-West Jefferson Campus</t>
  </si>
  <si>
    <t>Louisiana Technical College-Westside Campus</t>
  </si>
  <si>
    <t>Louisiana Technical College-Young Memorial Campus</t>
  </si>
  <si>
    <t>Mississippi State University</t>
  </si>
  <si>
    <t>University of Southern Mississippi</t>
  </si>
  <si>
    <t xml:space="preserve">Jackson State University </t>
  </si>
  <si>
    <t>University of Delaware</t>
  </si>
  <si>
    <t>Delaware State University</t>
  </si>
  <si>
    <t>Delaware Technical and Community College--Owens</t>
  </si>
  <si>
    <t>Delaware Technical and Community College--Stanton-Wilmington</t>
  </si>
  <si>
    <t>Delaware Technical and Community College--Terry</t>
  </si>
  <si>
    <r>
      <t>Single Rank</t>
    </r>
    <r>
      <rPr>
        <sz val="10"/>
        <color rgb="FFFF0000"/>
        <rFont val="Arial"/>
        <family val="2"/>
      </rPr>
      <t xml:space="preserve"> [for two-year cols. only]</t>
    </r>
  </si>
  <si>
    <t>Single Rank [for two-year cols. only]</t>
  </si>
  <si>
    <r>
      <t xml:space="preserve">Single Rank </t>
    </r>
    <r>
      <rPr>
        <b/>
        <sz val="10"/>
        <color rgb="FFFF0000"/>
        <rFont val="Arial"/>
        <family val="2"/>
      </rPr>
      <t>[for two-year cols. only]</t>
    </r>
  </si>
  <si>
    <t>December 2009</t>
  </si>
  <si>
    <t>Distribution of Full-Time Instructional Faculty</t>
  </si>
  <si>
    <t xml:space="preserve"> July 2010</t>
  </si>
  <si>
    <t>July 2010</t>
  </si>
</sst>
</file>

<file path=xl/styles.xml><?xml version="1.0" encoding="utf-8"?>
<styleSheet xmlns="http://schemas.openxmlformats.org/spreadsheetml/2006/main">
  <numFmts count="9">
    <numFmt numFmtId="5" formatCode="&quot;$&quot;#,##0_);\(&quot;$&quot;#,##0\)"/>
    <numFmt numFmtId="43" formatCode="_(* #,##0.00_);_(* \(#,##0.00\);_(* &quot;-&quot;??_);_(@_)"/>
    <numFmt numFmtId="164" formatCode="0_)"/>
    <numFmt numFmtId="165" formatCode=";;;"/>
    <numFmt numFmtId="166" formatCode="_(* #,##0_);_(* \(#,##0\);_(* &quot;-&quot;??_);_(@_)"/>
    <numFmt numFmtId="167" formatCode="&quot;$&quot;#,##0"/>
    <numFmt numFmtId="168" formatCode="0.0%"/>
    <numFmt numFmtId="169" formatCode="#,##0.000_);\(#,##0.000\)"/>
    <numFmt numFmtId="170" formatCode="#,##0.0"/>
  </numFmts>
  <fonts count="34">
    <font>
      <sz val="12"/>
      <name val="AGaramond"/>
    </font>
    <font>
      <sz val="12"/>
      <name val="AGaramond"/>
      <family val="1"/>
    </font>
    <font>
      <sz val="12"/>
      <name val="AGaramond"/>
      <family val="1"/>
    </font>
    <font>
      <sz val="8"/>
      <name val="Arial"/>
      <family val="2"/>
    </font>
    <font>
      <b/>
      <sz val="14"/>
      <name val="Arial"/>
      <family val="2"/>
    </font>
    <font>
      <b/>
      <sz val="10"/>
      <name val="Arial"/>
      <family val="2"/>
    </font>
    <font>
      <b/>
      <sz val="12"/>
      <name val="Arial"/>
      <family val="2"/>
    </font>
    <font>
      <sz val="10"/>
      <name val="Arial"/>
      <family val="2"/>
    </font>
    <font>
      <b/>
      <sz val="9"/>
      <name val="Arial"/>
      <family val="2"/>
    </font>
    <font>
      <sz val="9"/>
      <name val="Arial"/>
      <family val="2"/>
    </font>
    <font>
      <sz val="12"/>
      <name val="Arial"/>
      <family val="2"/>
    </font>
    <font>
      <i/>
      <sz val="14"/>
      <name val="Arial"/>
      <family val="2"/>
    </font>
    <font>
      <b/>
      <i/>
      <sz val="12"/>
      <name val="Arial"/>
      <family val="2"/>
    </font>
    <font>
      <b/>
      <sz val="9"/>
      <color indexed="8"/>
      <name val="Arial"/>
      <family val="2"/>
    </font>
    <font>
      <sz val="10"/>
      <color indexed="8"/>
      <name val="Arial"/>
      <family val="2"/>
    </font>
    <font>
      <sz val="8"/>
      <name val="AGaramond"/>
      <family val="1"/>
    </font>
    <font>
      <sz val="14"/>
      <name val="Arial"/>
      <family val="2"/>
    </font>
    <font>
      <b/>
      <sz val="10"/>
      <color indexed="8"/>
      <name val="Arial"/>
      <family val="2"/>
    </font>
    <font>
      <b/>
      <sz val="10"/>
      <color indexed="43"/>
      <name val="Arial"/>
      <family val="2"/>
    </font>
    <font>
      <b/>
      <sz val="10"/>
      <color indexed="12"/>
      <name val="Arial"/>
      <family val="2"/>
    </font>
    <font>
      <b/>
      <sz val="10"/>
      <color indexed="10"/>
      <name val="ARIAL"/>
      <family val="2"/>
    </font>
    <font>
      <i/>
      <sz val="12"/>
      <name val="Arial"/>
      <family val="2"/>
    </font>
    <font>
      <b/>
      <sz val="8"/>
      <color indexed="81"/>
      <name val="Tahoma"/>
      <family val="2"/>
    </font>
    <font>
      <b/>
      <i/>
      <sz val="14"/>
      <color indexed="8"/>
      <name val="Arial"/>
      <family val="2"/>
    </font>
    <font>
      <sz val="10"/>
      <color indexed="12"/>
      <name val="Arial"/>
      <family val="2"/>
    </font>
    <font>
      <sz val="8"/>
      <color indexed="81"/>
      <name val="Tahoma"/>
      <family val="2"/>
    </font>
    <font>
      <b/>
      <i/>
      <sz val="10"/>
      <color indexed="12"/>
      <name val="Arial"/>
      <family val="2"/>
    </font>
    <font>
      <sz val="10"/>
      <name val="Arial"/>
      <family val="2"/>
    </font>
    <font>
      <sz val="10"/>
      <color indexed="10"/>
      <name val="Arial"/>
      <family val="2"/>
    </font>
    <font>
      <sz val="8"/>
      <color indexed="8"/>
      <name val="Tahoma"/>
      <family val="2"/>
    </font>
    <font>
      <b/>
      <sz val="10"/>
      <color indexed="81"/>
      <name val="Tahoma"/>
      <family val="2"/>
    </font>
    <font>
      <sz val="10"/>
      <color rgb="FFFF0000"/>
      <name val="Arial"/>
      <family val="2"/>
    </font>
    <font>
      <sz val="10"/>
      <color indexed="81"/>
      <name val="Tahoma"/>
      <family val="2"/>
    </font>
    <font>
      <b/>
      <sz val="10"/>
      <color rgb="FFFF0000"/>
      <name val="Arial"/>
      <family val="2"/>
    </font>
  </fonts>
  <fills count="28">
    <fill>
      <patternFill patternType="none"/>
    </fill>
    <fill>
      <patternFill patternType="gray125"/>
    </fill>
    <fill>
      <patternFill patternType="solid">
        <fgColor indexed="42"/>
      </patternFill>
    </fill>
    <fill>
      <patternFill patternType="solid">
        <fgColor indexed="16"/>
        <bgColor indexed="64"/>
      </patternFill>
    </fill>
    <fill>
      <patternFill patternType="solid">
        <fgColor indexed="47"/>
        <bgColor indexed="64"/>
      </patternFill>
    </fill>
    <fill>
      <patternFill patternType="solid">
        <fgColor indexed="46"/>
        <bgColor indexed="64"/>
      </patternFill>
    </fill>
    <fill>
      <patternFill patternType="solid">
        <fgColor indexed="22"/>
        <bgColor indexed="64"/>
      </patternFill>
    </fill>
    <fill>
      <patternFill patternType="solid">
        <fgColor indexed="13"/>
        <bgColor indexed="64"/>
      </patternFill>
    </fill>
    <fill>
      <patternFill patternType="solid">
        <fgColor indexed="41"/>
        <bgColor indexed="64"/>
      </patternFill>
    </fill>
    <fill>
      <patternFill patternType="solid">
        <fgColor indexed="44"/>
        <bgColor indexed="64"/>
      </patternFill>
    </fill>
    <fill>
      <patternFill patternType="solid">
        <fgColor indexed="44"/>
        <bgColor indexed="42"/>
      </patternFill>
    </fill>
    <fill>
      <patternFill patternType="solid">
        <fgColor indexed="45"/>
        <bgColor indexed="42"/>
      </patternFill>
    </fill>
    <fill>
      <patternFill patternType="solid">
        <fgColor indexed="45"/>
        <bgColor indexed="64"/>
      </patternFill>
    </fill>
    <fill>
      <patternFill patternType="solid">
        <fgColor indexed="43"/>
        <bgColor indexed="64"/>
      </patternFill>
    </fill>
    <fill>
      <patternFill patternType="solid">
        <fgColor indexed="43"/>
        <bgColor indexed="42"/>
      </patternFill>
    </fill>
    <fill>
      <patternFill patternType="solid">
        <fgColor indexed="46"/>
        <bgColor indexed="42"/>
      </patternFill>
    </fill>
    <fill>
      <patternFill patternType="solid">
        <fgColor indexed="51"/>
        <bgColor indexed="64"/>
      </patternFill>
    </fill>
    <fill>
      <patternFill patternType="solid">
        <fgColor indexed="51"/>
        <bgColor indexed="42"/>
      </patternFill>
    </fill>
    <fill>
      <patternFill patternType="solid">
        <fgColor indexed="42"/>
        <bgColor indexed="64"/>
      </patternFill>
    </fill>
    <fill>
      <patternFill patternType="solid">
        <fgColor indexed="42"/>
        <bgColor indexed="42"/>
      </patternFill>
    </fill>
    <fill>
      <patternFill patternType="solid">
        <fgColor indexed="15"/>
        <bgColor indexed="64"/>
      </patternFill>
    </fill>
    <fill>
      <patternFill patternType="solid">
        <fgColor indexed="15"/>
        <bgColor indexed="42"/>
      </patternFill>
    </fill>
    <fill>
      <patternFill patternType="solid">
        <fgColor indexed="47"/>
        <bgColor indexed="42"/>
      </patternFill>
    </fill>
    <fill>
      <patternFill patternType="solid">
        <fgColor indexed="17"/>
        <bgColor indexed="64"/>
      </patternFill>
    </fill>
    <fill>
      <patternFill patternType="solid">
        <fgColor indexed="11"/>
        <bgColor indexed="64"/>
      </patternFill>
    </fill>
    <fill>
      <patternFill patternType="solid">
        <fgColor rgb="FF00FF00"/>
        <bgColor indexed="64"/>
      </patternFill>
    </fill>
    <fill>
      <patternFill patternType="solid">
        <fgColor rgb="FFFFFF00"/>
        <bgColor indexed="64"/>
      </patternFill>
    </fill>
    <fill>
      <patternFill patternType="solid">
        <fgColor rgb="FFFFFFCC"/>
        <bgColor indexed="64"/>
      </patternFill>
    </fill>
  </fills>
  <borders count="44">
    <border>
      <left/>
      <right/>
      <top/>
      <bottom/>
      <diagonal/>
    </border>
    <border>
      <left/>
      <right/>
      <top/>
      <bottom style="thin">
        <color indexed="8"/>
      </bottom>
      <diagonal/>
    </border>
    <border>
      <left/>
      <right/>
      <top style="thin">
        <color indexed="8"/>
      </top>
      <bottom/>
      <diagonal/>
    </border>
    <border>
      <left/>
      <right/>
      <top style="thin">
        <color indexed="8"/>
      </top>
      <bottom style="thin">
        <color indexed="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8"/>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65"/>
      </top>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top/>
      <bottom style="thin">
        <color indexed="64"/>
      </bottom>
      <diagonal/>
    </border>
    <border>
      <left style="thin">
        <color indexed="8"/>
      </left>
      <right style="thin">
        <color indexed="8"/>
      </right>
      <top/>
      <bottom/>
      <diagonal/>
    </border>
    <border>
      <left/>
      <right style="thin">
        <color indexed="8"/>
      </right>
      <top style="thin">
        <color indexed="8"/>
      </top>
      <bottom/>
      <diagonal/>
    </border>
    <border>
      <left/>
      <right style="thin">
        <color indexed="8"/>
      </right>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top style="thin">
        <color indexed="64"/>
      </top>
      <bottom/>
      <diagonal/>
    </border>
    <border>
      <left style="medium">
        <color indexed="64"/>
      </left>
      <right/>
      <top/>
      <bottom/>
      <diagonal/>
    </border>
    <border>
      <left/>
      <right/>
      <top style="thin">
        <color indexed="65"/>
      </top>
      <bottom/>
      <diagonal/>
    </border>
    <border>
      <left/>
      <right/>
      <top style="thin">
        <color indexed="65"/>
      </top>
      <bottom style="thin">
        <color indexed="64"/>
      </bottom>
      <diagonal/>
    </border>
    <border>
      <left style="thin">
        <color indexed="8"/>
      </left>
      <right style="thin">
        <color indexed="8"/>
      </right>
      <top/>
      <bottom style="thin">
        <color indexed="64"/>
      </bottom>
      <diagonal/>
    </border>
    <border>
      <left style="thin">
        <color indexed="65"/>
      </left>
      <right/>
      <top/>
      <bottom/>
      <diagonal/>
    </border>
    <border>
      <left style="thin">
        <color indexed="65"/>
      </left>
      <right/>
      <top style="thin">
        <color indexed="64"/>
      </top>
      <bottom/>
      <diagonal/>
    </border>
    <border>
      <left style="thin">
        <color indexed="8"/>
      </left>
      <right/>
      <top style="thin">
        <color indexed="64"/>
      </top>
      <bottom/>
      <diagonal/>
    </border>
    <border>
      <left style="thin">
        <color indexed="8"/>
      </left>
      <right style="thin">
        <color indexed="8"/>
      </right>
      <top style="thin">
        <color indexed="64"/>
      </top>
      <bottom/>
      <diagonal/>
    </border>
  </borders>
  <cellStyleXfs count="13">
    <xf numFmtId="164" fontId="0" fillId="0" borderId="0"/>
    <xf numFmtId="43" fontId="2" fillId="0" borderId="0" applyFont="0" applyFill="0" applyBorder="0" applyAlignment="0" applyProtection="0"/>
    <xf numFmtId="169" fontId="1" fillId="0" borderId="0"/>
    <xf numFmtId="0" fontId="27" fillId="0" borderId="0"/>
    <xf numFmtId="164" fontId="1" fillId="0" borderId="0"/>
    <xf numFmtId="164" fontId="1" fillId="0" borderId="0"/>
    <xf numFmtId="169" fontId="1" fillId="0" borderId="0"/>
    <xf numFmtId="164" fontId="1" fillId="0" borderId="0"/>
    <xf numFmtId="3" fontId="3" fillId="0" borderId="0"/>
    <xf numFmtId="3" fontId="3" fillId="0" borderId="0"/>
    <xf numFmtId="164" fontId="1" fillId="0" borderId="0"/>
    <xf numFmtId="164" fontId="1" fillId="0" borderId="0"/>
    <xf numFmtId="9" fontId="2" fillId="0" borderId="0" applyFont="0" applyFill="0" applyBorder="0" applyAlignment="0" applyProtection="0"/>
  </cellStyleXfs>
  <cellXfs count="513">
    <xf numFmtId="164" fontId="0" fillId="0" borderId="0" xfId="0"/>
    <xf numFmtId="164" fontId="3" fillId="0" borderId="0" xfId="0" applyFont="1"/>
    <xf numFmtId="165" fontId="5" fillId="0" borderId="0" xfId="0" applyNumberFormat="1" applyFont="1" applyAlignment="1" applyProtection="1">
      <alignment horizontal="centerContinuous"/>
    </xf>
    <xf numFmtId="164" fontId="5" fillId="0" borderId="0" xfId="0" applyFont="1" applyAlignment="1" applyProtection="1">
      <alignment horizontal="centerContinuous"/>
    </xf>
    <xf numFmtId="164" fontId="6" fillId="0" borderId="0" xfId="0" applyFont="1" applyAlignment="1" applyProtection="1">
      <alignment horizontal="centerContinuous"/>
    </xf>
    <xf numFmtId="164" fontId="7" fillId="0" borderId="0" xfId="0" applyFont="1" applyAlignment="1" applyProtection="1">
      <alignment horizontal="centerContinuous"/>
    </xf>
    <xf numFmtId="37" fontId="8" fillId="0" borderId="1" xfId="0" applyNumberFormat="1" applyFont="1" applyBorder="1" applyAlignment="1" applyProtection="1">
      <alignment horizontal="center"/>
    </xf>
    <xf numFmtId="164" fontId="8" fillId="0" borderId="1" xfId="0" applyFont="1" applyBorder="1" applyAlignment="1" applyProtection="1">
      <alignment horizontal="center"/>
    </xf>
    <xf numFmtId="37" fontId="7" fillId="0" borderId="0" xfId="0" applyNumberFormat="1" applyFont="1" applyAlignment="1" applyProtection="1">
      <alignment horizontal="left"/>
    </xf>
    <xf numFmtId="167" fontId="7" fillId="0" borderId="0" xfId="0" applyNumberFormat="1" applyFont="1" applyAlignment="1" applyProtection="1">
      <alignment horizontal="right"/>
    </xf>
    <xf numFmtId="37" fontId="7" fillId="0" borderId="0" xfId="0" applyNumberFormat="1" applyFont="1" applyAlignment="1" applyProtection="1">
      <alignment horizontal="right"/>
    </xf>
    <xf numFmtId="37" fontId="7" fillId="0" borderId="1" xfId="0" applyNumberFormat="1" applyFont="1" applyBorder="1" applyAlignment="1" applyProtection="1">
      <alignment horizontal="left"/>
    </xf>
    <xf numFmtId="164" fontId="7" fillId="0" borderId="0" xfId="0" applyFont="1" applyAlignment="1" applyProtection="1">
      <alignment horizontal="left"/>
    </xf>
    <xf numFmtId="164" fontId="4" fillId="0" borderId="0" xfId="0" applyFont="1" applyAlignment="1" applyProtection="1">
      <alignment horizontal="centerContinuous"/>
    </xf>
    <xf numFmtId="37" fontId="7" fillId="0" borderId="0" xfId="0" applyNumberFormat="1" applyFont="1" applyAlignment="1" applyProtection="1">
      <alignment horizontal="centerContinuous"/>
    </xf>
    <xf numFmtId="164" fontId="7" fillId="0" borderId="2" xfId="0" applyFont="1" applyBorder="1" applyAlignment="1" applyProtection="1">
      <alignment horizontal="left"/>
    </xf>
    <xf numFmtId="164" fontId="7" fillId="0" borderId="1" xfId="0" applyFont="1" applyBorder="1" applyAlignment="1" applyProtection="1">
      <alignment horizontal="left"/>
    </xf>
    <xf numFmtId="164" fontId="7" fillId="0" borderId="0" xfId="0" applyFont="1" applyAlignment="1" applyProtection="1">
      <alignment horizontal="right"/>
    </xf>
    <xf numFmtId="37" fontId="8" fillId="0" borderId="3" xfId="0" applyNumberFormat="1" applyFont="1" applyBorder="1" applyAlignment="1" applyProtection="1">
      <alignment horizontal="centerContinuous"/>
    </xf>
    <xf numFmtId="164" fontId="8" fillId="0" borderId="3" xfId="0" applyFont="1" applyBorder="1" applyAlignment="1" applyProtection="1">
      <alignment horizontal="centerContinuous"/>
    </xf>
    <xf numFmtId="5" fontId="7" fillId="0" borderId="0" xfId="0" applyNumberFormat="1" applyFont="1" applyAlignment="1" applyProtection="1">
      <alignment horizontal="left"/>
    </xf>
    <xf numFmtId="37" fontId="8" fillId="0" borderId="2" xfId="0" applyNumberFormat="1" applyFont="1" applyBorder="1" applyAlignment="1" applyProtection="1">
      <alignment horizontal="centerContinuous"/>
    </xf>
    <xf numFmtId="164" fontId="8" fillId="0" borderId="2" xfId="0" applyFont="1" applyBorder="1" applyAlignment="1" applyProtection="1">
      <alignment horizontal="centerContinuous"/>
    </xf>
    <xf numFmtId="164" fontId="7" fillId="0" borderId="0" xfId="0" applyFont="1" applyAlignment="1" applyProtection="1"/>
    <xf numFmtId="37" fontId="7" fillId="0" borderId="1" xfId="0" applyNumberFormat="1" applyFont="1" applyFill="1" applyBorder="1" applyAlignment="1" applyProtection="1">
      <alignment horizontal="left"/>
    </xf>
    <xf numFmtId="164" fontId="7" fillId="0" borderId="1" xfId="0" applyFont="1" applyBorder="1" applyAlignment="1" applyProtection="1">
      <alignment horizontal="centerContinuous"/>
    </xf>
    <xf numFmtId="37" fontId="7" fillId="0" borderId="4" xfId="0" applyNumberFormat="1" applyFont="1" applyBorder="1" applyAlignment="1" applyProtection="1">
      <alignment horizontal="left"/>
    </xf>
    <xf numFmtId="164" fontId="10" fillId="0" borderId="0" xfId="0" applyFont="1"/>
    <xf numFmtId="164" fontId="12" fillId="0" borderId="0" xfId="0" applyFont="1" applyBorder="1"/>
    <xf numFmtId="164" fontId="12" fillId="0" borderId="5" xfId="0" applyFont="1" applyBorder="1"/>
    <xf numFmtId="37" fontId="14" fillId="0" borderId="0" xfId="0" applyNumberFormat="1" applyFont="1" applyAlignment="1" applyProtection="1">
      <alignment vertical="center"/>
    </xf>
    <xf numFmtId="9" fontId="14" fillId="0" borderId="4" xfId="0" applyNumberFormat="1" applyFont="1" applyBorder="1" applyAlignment="1">
      <alignment vertical="center"/>
    </xf>
    <xf numFmtId="9" fontId="14" fillId="0" borderId="6" xfId="0" applyNumberFormat="1" applyFont="1" applyBorder="1" applyAlignment="1">
      <alignment vertical="center"/>
    </xf>
    <xf numFmtId="9" fontId="14" fillId="0" borderId="7" xfId="0" applyNumberFormat="1" applyFont="1" applyBorder="1" applyAlignment="1">
      <alignment vertical="center"/>
    </xf>
    <xf numFmtId="9" fontId="14" fillId="0" borderId="0" xfId="0" applyNumberFormat="1" applyFont="1" applyBorder="1" applyAlignment="1">
      <alignment vertical="center"/>
    </xf>
    <xf numFmtId="37" fontId="14" fillId="0" borderId="5" xfId="0" applyNumberFormat="1" applyFont="1" applyBorder="1" applyAlignment="1" applyProtection="1">
      <alignment vertical="center"/>
    </xf>
    <xf numFmtId="9" fontId="14" fillId="0" borderId="8" xfId="0" applyNumberFormat="1" applyFont="1" applyBorder="1" applyAlignment="1">
      <alignment vertical="center"/>
    </xf>
    <xf numFmtId="9" fontId="14" fillId="0" borderId="5" xfId="0" applyNumberFormat="1" applyFont="1" applyBorder="1" applyAlignment="1">
      <alignment vertical="center"/>
    </xf>
    <xf numFmtId="37" fontId="14" fillId="0" borderId="0" xfId="0" applyNumberFormat="1" applyFont="1" applyBorder="1" applyAlignment="1" applyProtection="1">
      <alignment vertical="center"/>
    </xf>
    <xf numFmtId="164" fontId="10" fillId="0" borderId="0" xfId="0" applyFont="1" applyBorder="1"/>
    <xf numFmtId="37" fontId="4" fillId="0" borderId="0" xfId="0" applyNumberFormat="1" applyFont="1" applyBorder="1" applyAlignment="1" applyProtection="1">
      <alignment horizontal="centerContinuous"/>
    </xf>
    <xf numFmtId="37" fontId="11" fillId="0" borderId="0" xfId="0" applyNumberFormat="1" applyFont="1" applyBorder="1" applyAlignment="1" applyProtection="1">
      <alignment horizontal="centerContinuous"/>
    </xf>
    <xf numFmtId="164" fontId="8" fillId="0" borderId="2" xfId="0" applyFont="1" applyBorder="1" applyAlignment="1" applyProtection="1">
      <alignment horizontal="left" vertical="center"/>
    </xf>
    <xf numFmtId="37" fontId="8" fillId="0" borderId="2" xfId="0" applyNumberFormat="1" applyFont="1" applyBorder="1" applyAlignment="1" applyProtection="1">
      <alignment horizontal="center" vertical="center"/>
    </xf>
    <xf numFmtId="164" fontId="8" fillId="0" borderId="1" xfId="0" applyFont="1" applyBorder="1" applyAlignment="1" applyProtection="1">
      <alignment horizontal="left" vertical="center"/>
    </xf>
    <xf numFmtId="37" fontId="8" fillId="0" borderId="1" xfId="0" applyNumberFormat="1" applyFont="1" applyBorder="1" applyAlignment="1" applyProtection="1">
      <alignment horizontal="center" vertical="center"/>
    </xf>
    <xf numFmtId="164" fontId="16" fillId="0" borderId="0" xfId="0" applyFont="1" applyBorder="1" applyAlignment="1">
      <alignment horizontal="centerContinuous"/>
    </xf>
    <xf numFmtId="164" fontId="16" fillId="0" borderId="0" xfId="0" applyFont="1" applyAlignment="1">
      <alignment horizontal="centerContinuous"/>
    </xf>
    <xf numFmtId="164" fontId="11" fillId="0" borderId="0" xfId="0" applyFont="1" applyBorder="1" applyAlignment="1">
      <alignment horizontal="centerContinuous"/>
    </xf>
    <xf numFmtId="164" fontId="11" fillId="0" borderId="0" xfId="0" applyFont="1" applyAlignment="1">
      <alignment horizontal="centerContinuous"/>
    </xf>
    <xf numFmtId="164" fontId="10" fillId="0" borderId="5" xfId="0" applyFont="1" applyBorder="1"/>
    <xf numFmtId="164" fontId="9" fillId="0" borderId="9" xfId="0" applyFont="1" applyBorder="1" applyAlignment="1">
      <alignment horizontal="centerContinuous"/>
    </xf>
    <xf numFmtId="164" fontId="10" fillId="0" borderId="4" xfId="0" applyFont="1" applyBorder="1"/>
    <xf numFmtId="164" fontId="8" fillId="0" borderId="9" xfId="0" applyFont="1" applyBorder="1" applyAlignment="1">
      <alignment horizontal="center"/>
    </xf>
    <xf numFmtId="164" fontId="10" fillId="0" borderId="0" xfId="0" applyFont="1" applyAlignment="1">
      <alignment vertical="top"/>
    </xf>
    <xf numFmtId="164" fontId="8" fillId="0" borderId="10" xfId="0" applyFont="1" applyBorder="1" applyAlignment="1">
      <alignment horizontal="centerContinuous"/>
    </xf>
    <xf numFmtId="164" fontId="9" fillId="0" borderId="4" xfId="0" applyFont="1" applyBorder="1" applyAlignment="1">
      <alignment horizontal="centerContinuous"/>
    </xf>
    <xf numFmtId="166" fontId="13" fillId="0" borderId="10" xfId="1" applyNumberFormat="1" applyFont="1" applyBorder="1" applyAlignment="1" applyProtection="1">
      <alignment horizontal="centerContinuous"/>
    </xf>
    <xf numFmtId="166" fontId="13" fillId="0" borderId="7" xfId="1" applyNumberFormat="1" applyFont="1" applyBorder="1" applyAlignment="1" applyProtection="1">
      <alignment horizontal="centerContinuous"/>
    </xf>
    <xf numFmtId="164" fontId="8" fillId="0" borderId="9" xfId="0" applyFont="1" applyBorder="1" applyAlignment="1">
      <alignment horizontal="center" wrapText="1"/>
    </xf>
    <xf numFmtId="164" fontId="8" fillId="0" borderId="1" xfId="0" applyFont="1" applyBorder="1" applyAlignment="1" applyProtection="1">
      <alignment horizontal="right"/>
    </xf>
    <xf numFmtId="37" fontId="8" fillId="0" borderId="1" xfId="0" applyNumberFormat="1" applyFont="1" applyBorder="1" applyAlignment="1" applyProtection="1">
      <alignment horizontal="right"/>
    </xf>
    <xf numFmtId="3" fontId="7" fillId="0" borderId="0" xfId="0" applyNumberFormat="1" applyFont="1" applyAlignment="1" applyProtection="1">
      <alignment horizontal="right"/>
    </xf>
    <xf numFmtId="0" fontId="7" fillId="0" borderId="0" xfId="0" applyNumberFormat="1" applyFont="1" applyAlignment="1" applyProtection="1">
      <alignment horizontal="right"/>
    </xf>
    <xf numFmtId="3" fontId="7" fillId="0" borderId="4" xfId="0" applyNumberFormat="1" applyFont="1" applyBorder="1" applyAlignment="1" applyProtection="1">
      <alignment horizontal="right"/>
    </xf>
    <xf numFmtId="0" fontId="7" fillId="0" borderId="4" xfId="0" applyNumberFormat="1" applyFont="1" applyBorder="1" applyAlignment="1" applyProtection="1">
      <alignment horizontal="right"/>
    </xf>
    <xf numFmtId="37" fontId="7" fillId="0" borderId="4" xfId="0" applyNumberFormat="1" applyFont="1" applyBorder="1" applyAlignment="1" applyProtection="1">
      <alignment horizontal="right"/>
    </xf>
    <xf numFmtId="9" fontId="14" fillId="0" borderId="11" xfId="0" applyNumberFormat="1" applyFont="1" applyBorder="1" applyAlignment="1">
      <alignment vertical="center"/>
    </xf>
    <xf numFmtId="9" fontId="14" fillId="0" borderId="12" xfId="0" applyNumberFormat="1" applyFont="1" applyBorder="1" applyAlignment="1">
      <alignment vertical="center"/>
    </xf>
    <xf numFmtId="9" fontId="14" fillId="0" borderId="13" xfId="0" applyNumberFormat="1" applyFont="1" applyBorder="1" applyAlignment="1">
      <alignment vertical="center"/>
    </xf>
    <xf numFmtId="164" fontId="12" fillId="0" borderId="4" xfId="0" applyFont="1" applyBorder="1"/>
    <xf numFmtId="164" fontId="10" fillId="0" borderId="9" xfId="0" applyFont="1" applyBorder="1"/>
    <xf numFmtId="164" fontId="12" fillId="0" borderId="9" xfId="0" applyFont="1" applyBorder="1"/>
    <xf numFmtId="164" fontId="8" fillId="0" borderId="10" xfId="0" applyFont="1" applyBorder="1" applyAlignment="1">
      <alignment horizontal="center"/>
    </xf>
    <xf numFmtId="164" fontId="7" fillId="0" borderId="0" xfId="0" applyFont="1"/>
    <xf numFmtId="164" fontId="0" fillId="0" borderId="14" xfId="0" applyBorder="1"/>
    <xf numFmtId="166" fontId="10" fillId="0" borderId="0" xfId="1" applyNumberFormat="1" applyFont="1"/>
    <xf numFmtId="164" fontId="7" fillId="0" borderId="15" xfId="0" applyFont="1" applyBorder="1"/>
    <xf numFmtId="164" fontId="7" fillId="0" borderId="16" xfId="0" applyFont="1" applyBorder="1"/>
    <xf numFmtId="164" fontId="7" fillId="0" borderId="17" xfId="0" applyFont="1" applyBorder="1"/>
    <xf numFmtId="164" fontId="7" fillId="0" borderId="14" xfId="0" applyFont="1" applyBorder="1"/>
    <xf numFmtId="166" fontId="7" fillId="0" borderId="0" xfId="1" applyNumberFormat="1" applyFont="1"/>
    <xf numFmtId="164" fontId="7" fillId="0" borderId="19" xfId="0" applyFont="1" applyBorder="1"/>
    <xf numFmtId="164" fontId="8" fillId="0" borderId="4" xfId="0" applyFont="1" applyBorder="1" applyAlignment="1">
      <alignment horizontal="centerContinuous"/>
    </xf>
    <xf numFmtId="164" fontId="8" fillId="0" borderId="20" xfId="0" applyFont="1" applyBorder="1" applyAlignment="1">
      <alignment horizontal="centerContinuous"/>
    </xf>
    <xf numFmtId="164" fontId="8" fillId="0" borderId="9" xfId="0" applyFont="1" applyBorder="1" applyAlignment="1">
      <alignment horizontal="centerContinuous"/>
    </xf>
    <xf numFmtId="164" fontId="8" fillId="0" borderId="21" xfId="0" applyFont="1" applyBorder="1" applyAlignment="1">
      <alignment horizontal="center" wrapText="1"/>
    </xf>
    <xf numFmtId="164" fontId="16" fillId="3" borderId="0" xfId="0" applyFont="1" applyFill="1" applyAlignment="1">
      <alignment horizontal="centerContinuous"/>
    </xf>
    <xf numFmtId="164" fontId="11" fillId="3" borderId="0" xfId="0" applyFont="1" applyFill="1" applyAlignment="1">
      <alignment horizontal="centerContinuous"/>
    </xf>
    <xf numFmtId="164" fontId="10" fillId="3" borderId="0" xfId="0" applyFont="1" applyFill="1"/>
    <xf numFmtId="164" fontId="9" fillId="3" borderId="9" xfId="0" applyFont="1" applyFill="1" applyBorder="1" applyAlignment="1">
      <alignment horizontal="centerContinuous"/>
    </xf>
    <xf numFmtId="164" fontId="8" fillId="3" borderId="9" xfId="0" applyFont="1" applyFill="1" applyBorder="1" applyAlignment="1">
      <alignment horizontal="center"/>
    </xf>
    <xf numFmtId="9" fontId="14" fillId="3" borderId="0" xfId="0" applyNumberFormat="1" applyFont="1" applyFill="1" applyBorder="1" applyAlignment="1">
      <alignment vertical="center"/>
    </xf>
    <xf numFmtId="9" fontId="14" fillId="3" borderId="4" xfId="0" applyNumberFormat="1" applyFont="1" applyFill="1" applyBorder="1" applyAlignment="1">
      <alignment vertical="center"/>
    </xf>
    <xf numFmtId="166" fontId="16" fillId="0" borderId="0" xfId="1" applyNumberFormat="1" applyFont="1" applyAlignment="1">
      <alignment horizontal="centerContinuous"/>
    </xf>
    <xf numFmtId="166" fontId="16" fillId="0" borderId="0" xfId="1" applyNumberFormat="1" applyFont="1" applyBorder="1" applyAlignment="1">
      <alignment horizontal="centerContinuous"/>
    </xf>
    <xf numFmtId="166" fontId="11" fillId="0" borderId="0" xfId="1" applyNumberFormat="1" applyFont="1" applyAlignment="1">
      <alignment horizontal="centerContinuous"/>
    </xf>
    <xf numFmtId="166" fontId="11" fillId="0" borderId="0" xfId="1" applyNumberFormat="1" applyFont="1" applyBorder="1" applyAlignment="1">
      <alignment horizontal="centerContinuous"/>
    </xf>
    <xf numFmtId="166" fontId="3" fillId="0" borderId="0" xfId="1" applyNumberFormat="1" applyFont="1"/>
    <xf numFmtId="166" fontId="10" fillId="0" borderId="0" xfId="1" applyNumberFormat="1" applyFont="1" applyBorder="1"/>
    <xf numFmtId="166" fontId="9" fillId="0" borderId="9" xfId="1" applyNumberFormat="1" applyFont="1" applyBorder="1" applyAlignment="1">
      <alignment horizontal="centerContinuous"/>
    </xf>
    <xf numFmtId="166" fontId="9" fillId="0" borderId="4" xfId="1" applyNumberFormat="1" applyFont="1" applyBorder="1" applyAlignment="1">
      <alignment horizontal="centerContinuous"/>
    </xf>
    <xf numFmtId="166" fontId="8" fillId="0" borderId="10" xfId="1" applyNumberFormat="1" applyFont="1" applyBorder="1" applyAlignment="1">
      <alignment horizontal="centerContinuous"/>
    </xf>
    <xf numFmtId="166" fontId="8" fillId="0" borderId="4" xfId="1" applyNumberFormat="1" applyFont="1" applyBorder="1" applyAlignment="1">
      <alignment horizontal="centerContinuous"/>
    </xf>
    <xf numFmtId="166" fontId="8" fillId="0" borderId="9" xfId="1" applyNumberFormat="1" applyFont="1" applyBorder="1" applyAlignment="1">
      <alignment horizontal="centerContinuous"/>
    </xf>
    <xf numFmtId="166" fontId="8" fillId="0" borderId="20" xfId="1" applyNumberFormat="1" applyFont="1" applyBorder="1" applyAlignment="1">
      <alignment horizontal="centerContinuous"/>
    </xf>
    <xf numFmtId="166" fontId="8" fillId="0" borderId="10" xfId="1" applyNumberFormat="1" applyFont="1" applyBorder="1" applyAlignment="1">
      <alignment horizontal="center"/>
    </xf>
    <xf numFmtId="166" fontId="8" fillId="0" borderId="9" xfId="1" applyNumberFormat="1" applyFont="1" applyBorder="1" applyAlignment="1">
      <alignment horizontal="center"/>
    </xf>
    <xf numFmtId="166" fontId="8" fillId="0" borderId="9" xfId="1" applyNumberFormat="1" applyFont="1" applyBorder="1" applyAlignment="1">
      <alignment horizontal="center" wrapText="1"/>
    </xf>
    <xf numFmtId="166" fontId="8" fillId="0" borderId="21" xfId="1" applyNumberFormat="1" applyFont="1" applyBorder="1" applyAlignment="1">
      <alignment horizontal="center" wrapText="1"/>
    </xf>
    <xf numFmtId="166" fontId="14" fillId="0" borderId="8" xfId="1" applyNumberFormat="1" applyFont="1" applyBorder="1" applyAlignment="1">
      <alignment vertical="center"/>
    </xf>
    <xf numFmtId="166" fontId="14" fillId="0" borderId="5" xfId="1" applyNumberFormat="1" applyFont="1" applyBorder="1" applyAlignment="1">
      <alignment vertical="center"/>
    </xf>
    <xf numFmtId="166" fontId="14" fillId="0" borderId="11" xfId="1" applyNumberFormat="1" applyFont="1" applyBorder="1" applyAlignment="1">
      <alignment vertical="center"/>
    </xf>
    <xf numFmtId="166" fontId="14" fillId="0" borderId="22" xfId="1" applyNumberFormat="1" applyFont="1" applyBorder="1" applyAlignment="1">
      <alignment vertical="center"/>
    </xf>
    <xf numFmtId="166" fontId="14" fillId="0" borderId="6" xfId="1" applyNumberFormat="1" applyFont="1" applyBorder="1" applyAlignment="1">
      <alignment vertical="center"/>
    </xf>
    <xf numFmtId="166" fontId="14" fillId="0" borderId="0" xfId="1" applyNumberFormat="1" applyFont="1" applyBorder="1" applyAlignment="1">
      <alignment vertical="center"/>
    </xf>
    <xf numFmtId="166" fontId="14" fillId="0" borderId="12" xfId="1" applyNumberFormat="1" applyFont="1" applyBorder="1" applyAlignment="1">
      <alignment vertical="center"/>
    </xf>
    <xf numFmtId="166" fontId="14" fillId="0" borderId="23" xfId="1" applyNumberFormat="1" applyFont="1" applyBorder="1" applyAlignment="1">
      <alignment vertical="center"/>
    </xf>
    <xf numFmtId="166" fontId="14" fillId="0" borderId="7" xfId="1" applyNumberFormat="1" applyFont="1" applyBorder="1" applyAlignment="1">
      <alignment vertical="center"/>
    </xf>
    <xf numFmtId="166" fontId="14" fillId="0" borderId="4" xfId="1" applyNumberFormat="1" applyFont="1" applyBorder="1" applyAlignment="1">
      <alignment vertical="center"/>
    </xf>
    <xf numFmtId="166" fontId="14" fillId="0" borderId="13" xfId="1" applyNumberFormat="1" applyFont="1" applyBorder="1" applyAlignment="1">
      <alignment vertical="center"/>
    </xf>
    <xf numFmtId="166" fontId="14" fillId="0" borderId="24" xfId="1" applyNumberFormat="1" applyFont="1" applyBorder="1" applyAlignment="1">
      <alignment vertical="center"/>
    </xf>
    <xf numFmtId="166" fontId="10" fillId="0" borderId="0" xfId="1" applyNumberFormat="1" applyFont="1" applyAlignment="1">
      <alignment vertical="top"/>
    </xf>
    <xf numFmtId="9" fontId="18" fillId="3" borderId="0" xfId="0" applyNumberFormat="1" applyFont="1" applyFill="1" applyBorder="1" applyAlignment="1">
      <alignment vertical="center"/>
    </xf>
    <xf numFmtId="168" fontId="14" fillId="0" borderId="12" xfId="0" applyNumberFormat="1" applyFont="1" applyBorder="1" applyAlignment="1">
      <alignment vertical="center"/>
    </xf>
    <xf numFmtId="164" fontId="8" fillId="0" borderId="10" xfId="0" applyFont="1" applyBorder="1" applyAlignment="1">
      <alignment horizontal="center" wrapText="1"/>
    </xf>
    <xf numFmtId="166" fontId="8" fillId="0" borderId="10" xfId="1" applyNumberFormat="1" applyFont="1" applyBorder="1" applyAlignment="1">
      <alignment horizontal="center" wrapText="1"/>
    </xf>
    <xf numFmtId="166" fontId="7" fillId="0" borderId="15" xfId="0" applyNumberFormat="1" applyFont="1" applyBorder="1"/>
    <xf numFmtId="166" fontId="7" fillId="0" borderId="25" xfId="0" applyNumberFormat="1" applyFont="1" applyBorder="1"/>
    <xf numFmtId="166" fontId="7" fillId="0" borderId="2" xfId="0" applyNumberFormat="1" applyFont="1" applyBorder="1"/>
    <xf numFmtId="164" fontId="7" fillId="0" borderId="15" xfId="0" applyNumberFormat="1" applyFont="1" applyBorder="1"/>
    <xf numFmtId="164" fontId="7" fillId="0" borderId="2" xfId="0" applyNumberFormat="1" applyFont="1" applyBorder="1"/>
    <xf numFmtId="3" fontId="7" fillId="0" borderId="0" xfId="1" applyNumberFormat="1" applyFont="1" applyAlignment="1" applyProtection="1"/>
    <xf numFmtId="3" fontId="7" fillId="0" borderId="4" xfId="1" applyNumberFormat="1" applyFont="1" applyBorder="1" applyAlignment="1" applyProtection="1"/>
    <xf numFmtId="167" fontId="7" fillId="0" borderId="0" xfId="0" applyNumberFormat="1" applyFont="1" applyAlignment="1" applyProtection="1"/>
    <xf numFmtId="37" fontId="8" fillId="0" borderId="27" xfId="0" applyNumberFormat="1" applyFont="1" applyBorder="1" applyAlignment="1" applyProtection="1">
      <alignment horizontal="centerContinuous"/>
    </xf>
    <xf numFmtId="164" fontId="8" fillId="0" borderId="28" xfId="0" applyFont="1" applyBorder="1" applyAlignment="1" applyProtection="1">
      <alignment horizontal="center"/>
    </xf>
    <xf numFmtId="164" fontId="0" fillId="0" borderId="0" xfId="0" applyBorder="1"/>
    <xf numFmtId="3" fontId="7" fillId="0" borderId="14" xfId="0" applyNumberFormat="1" applyFont="1" applyBorder="1" applyAlignment="1" applyProtection="1">
      <alignment horizontal="right"/>
    </xf>
    <xf numFmtId="3" fontId="7" fillId="0" borderId="29" xfId="0" applyNumberFormat="1" applyFont="1" applyBorder="1" applyAlignment="1" applyProtection="1">
      <alignment horizontal="right"/>
    </xf>
    <xf numFmtId="3" fontId="7" fillId="0" borderId="0" xfId="0" applyNumberFormat="1" applyFont="1" applyBorder="1" applyAlignment="1" applyProtection="1">
      <alignment horizontal="right"/>
    </xf>
    <xf numFmtId="0" fontId="7" fillId="0" borderId="0" xfId="0" applyNumberFormat="1" applyFont="1" applyBorder="1" applyAlignment="1" applyProtection="1">
      <alignment horizontal="right"/>
    </xf>
    <xf numFmtId="37" fontId="8" fillId="0" borderId="0" xfId="0" applyNumberFormat="1" applyFont="1" applyBorder="1" applyAlignment="1" applyProtection="1">
      <alignment horizontal="centerContinuous"/>
    </xf>
    <xf numFmtId="164" fontId="8" fillId="0" borderId="0" xfId="0" applyFont="1" applyBorder="1" applyAlignment="1" applyProtection="1">
      <alignment horizontal="centerContinuous"/>
    </xf>
    <xf numFmtId="164" fontId="8" fillId="0" borderId="0" xfId="0" applyFont="1" applyBorder="1" applyAlignment="1" applyProtection="1">
      <alignment horizontal="right"/>
    </xf>
    <xf numFmtId="164" fontId="8" fillId="0" borderId="28" xfId="0" applyFont="1" applyBorder="1" applyAlignment="1" applyProtection="1">
      <alignment horizontal="right"/>
    </xf>
    <xf numFmtId="164" fontId="0" fillId="0" borderId="0" xfId="0" applyAlignment="1">
      <alignment horizontal="centerContinuous"/>
    </xf>
    <xf numFmtId="3" fontId="7" fillId="0" borderId="0" xfId="1" applyNumberFormat="1" applyFont="1" applyAlignment="1" applyProtection="1">
      <alignment horizontal="right"/>
    </xf>
    <xf numFmtId="3" fontId="7" fillId="0" borderId="4" xfId="1" applyNumberFormat="1" applyFont="1" applyBorder="1" applyAlignment="1" applyProtection="1">
      <alignment horizontal="right"/>
    </xf>
    <xf numFmtId="3" fontId="7" fillId="0" borderId="0" xfId="0" applyNumberFormat="1" applyFont="1" applyAlignment="1" applyProtection="1">
      <alignment horizontal="left"/>
    </xf>
    <xf numFmtId="167" fontId="7" fillId="0" borderId="0" xfId="0" applyNumberFormat="1" applyFont="1" applyBorder="1" applyAlignment="1" applyProtection="1">
      <alignment horizontal="right"/>
    </xf>
    <xf numFmtId="37" fontId="7" fillId="0" borderId="0" xfId="0" applyNumberFormat="1" applyFont="1" applyBorder="1" applyAlignment="1" applyProtection="1">
      <alignment horizontal="right"/>
    </xf>
    <xf numFmtId="37" fontId="8" fillId="0" borderId="2" xfId="0" applyNumberFormat="1" applyFont="1" applyBorder="1" applyAlignment="1" applyProtection="1">
      <alignment horizontal="centerContinuous" wrapText="1"/>
    </xf>
    <xf numFmtId="164" fontId="8" fillId="0" borderId="2" xfId="0" applyFont="1" applyBorder="1" applyAlignment="1" applyProtection="1">
      <alignment horizontal="centerContinuous" wrapText="1"/>
    </xf>
    <xf numFmtId="164" fontId="7" fillId="0" borderId="0" xfId="0" applyFont="1" applyBorder="1" applyAlignment="1" applyProtection="1">
      <alignment horizontal="centerContinuous"/>
    </xf>
    <xf numFmtId="3" fontId="7" fillId="0" borderId="0" xfId="1" applyNumberFormat="1" applyFont="1"/>
    <xf numFmtId="3" fontId="7" fillId="0" borderId="14" xfId="1" applyNumberFormat="1" applyFont="1" applyBorder="1"/>
    <xf numFmtId="3" fontId="7" fillId="0" borderId="4" xfId="1" applyNumberFormat="1" applyFont="1" applyBorder="1"/>
    <xf numFmtId="3" fontId="7" fillId="0" borderId="29" xfId="1" applyNumberFormat="1" applyFont="1" applyBorder="1"/>
    <xf numFmtId="3" fontId="7" fillId="0" borderId="0" xfId="0" applyNumberFormat="1" applyFont="1"/>
    <xf numFmtId="3" fontId="7" fillId="0" borderId="14" xfId="0" applyNumberFormat="1" applyFont="1" applyBorder="1"/>
    <xf numFmtId="3" fontId="7" fillId="0" borderId="29" xfId="0" applyNumberFormat="1" applyFont="1" applyBorder="1"/>
    <xf numFmtId="3" fontId="7" fillId="0" borderId="0" xfId="0" applyNumberFormat="1" applyFont="1" applyFill="1" applyBorder="1"/>
    <xf numFmtId="164" fontId="5" fillId="0" borderId="0" xfId="0" applyFont="1"/>
    <xf numFmtId="168" fontId="14" fillId="0" borderId="8" xfId="0" applyNumberFormat="1" applyFont="1" applyBorder="1" applyAlignment="1">
      <alignment vertical="center"/>
    </xf>
    <xf numFmtId="164" fontId="7" fillId="0" borderId="2" xfId="0" applyFont="1" applyBorder="1" applyAlignment="1" applyProtection="1">
      <alignment horizontal="left" vertical="center"/>
    </xf>
    <xf numFmtId="37" fontId="8" fillId="0" borderId="3" xfId="0" applyNumberFormat="1" applyFont="1" applyBorder="1" applyAlignment="1" applyProtection="1">
      <alignment horizontal="centerContinuous" vertical="center" wrapText="1"/>
    </xf>
    <xf numFmtId="164" fontId="8" fillId="0" borderId="3" xfId="0" applyFont="1" applyBorder="1" applyAlignment="1" applyProtection="1">
      <alignment horizontal="centerContinuous" vertical="center" wrapText="1"/>
    </xf>
    <xf numFmtId="164" fontId="0" fillId="0" borderId="0" xfId="0" applyAlignment="1">
      <alignment vertical="center"/>
    </xf>
    <xf numFmtId="37" fontId="8" fillId="0" borderId="0" xfId="0" applyNumberFormat="1" applyFont="1" applyBorder="1" applyAlignment="1" applyProtection="1">
      <alignment horizontal="centerContinuous" vertical="center"/>
    </xf>
    <xf numFmtId="164" fontId="20" fillId="0" borderId="0" xfId="0" applyFont="1"/>
    <xf numFmtId="164" fontId="5" fillId="0" borderId="0" xfId="0" applyFont="1" applyFill="1" applyAlignment="1" applyProtection="1">
      <alignment horizontal="centerContinuous"/>
    </xf>
    <xf numFmtId="164" fontId="7" fillId="0" borderId="0" xfId="0" applyFont="1" applyFill="1" applyAlignment="1" applyProtection="1">
      <alignment horizontal="centerContinuous"/>
    </xf>
    <xf numFmtId="37" fontId="8" fillId="0" borderId="2" xfId="0" applyNumberFormat="1" applyFont="1" applyFill="1" applyBorder="1" applyAlignment="1" applyProtection="1">
      <alignment horizontal="center" vertical="center"/>
    </xf>
    <xf numFmtId="37" fontId="8" fillId="0" borderId="1" xfId="0" applyNumberFormat="1" applyFont="1" applyFill="1" applyBorder="1" applyAlignment="1" applyProtection="1">
      <alignment horizontal="center" vertical="center"/>
    </xf>
    <xf numFmtId="167" fontId="7" fillId="0" borderId="0" xfId="0" applyNumberFormat="1" applyFont="1" applyFill="1" applyAlignment="1" applyProtection="1"/>
    <xf numFmtId="3" fontId="7" fillId="0" borderId="0" xfId="1" applyNumberFormat="1" applyFont="1" applyFill="1" applyAlignment="1" applyProtection="1"/>
    <xf numFmtId="3" fontId="7" fillId="0" borderId="4" xfId="1" applyNumberFormat="1" applyFont="1" applyFill="1" applyBorder="1" applyAlignment="1" applyProtection="1"/>
    <xf numFmtId="164" fontId="10" fillId="0" borderId="0" xfId="0" applyFont="1" applyFill="1"/>
    <xf numFmtId="164" fontId="4" fillId="0" borderId="0" xfId="0" applyFont="1" applyFill="1" applyAlignment="1" applyProtection="1"/>
    <xf numFmtId="164" fontId="4" fillId="0" borderId="0" xfId="0" applyFont="1" applyAlignment="1" applyProtection="1"/>
    <xf numFmtId="37" fontId="7" fillId="0" borderId="0" xfId="0" applyNumberFormat="1" applyFont="1" applyAlignment="1" applyProtection="1">
      <alignment horizontal="left" vertical="center"/>
    </xf>
    <xf numFmtId="167" fontId="7" fillId="0" borderId="0" xfId="0" applyNumberFormat="1" applyFont="1" applyBorder="1" applyAlignment="1" applyProtection="1">
      <alignment horizontal="right" vertical="center"/>
    </xf>
    <xf numFmtId="167" fontId="7" fillId="0" borderId="14" xfId="0" applyNumberFormat="1" applyFont="1" applyBorder="1" applyAlignment="1" applyProtection="1">
      <alignment horizontal="right" vertical="center"/>
    </xf>
    <xf numFmtId="166" fontId="7" fillId="0" borderId="0" xfId="1" applyNumberFormat="1" applyFont="1" applyAlignment="1">
      <alignment vertical="center"/>
    </xf>
    <xf numFmtId="167" fontId="7" fillId="0" borderId="0" xfId="0" applyNumberFormat="1" applyFont="1" applyAlignment="1" applyProtection="1">
      <alignment horizontal="right" vertical="center"/>
    </xf>
    <xf numFmtId="167" fontId="7" fillId="0" borderId="31" xfId="0" applyNumberFormat="1" applyFont="1" applyBorder="1" applyAlignment="1" applyProtection="1">
      <alignment horizontal="right" vertical="center"/>
    </xf>
    <xf numFmtId="164" fontId="0" fillId="0" borderId="0" xfId="0" applyBorder="1" applyAlignment="1">
      <alignment vertical="center"/>
    </xf>
    <xf numFmtId="167" fontId="7" fillId="0" borderId="32" xfId="0" applyNumberFormat="1" applyFont="1" applyBorder="1" applyAlignment="1" applyProtection="1">
      <alignment horizontal="right" vertical="center"/>
    </xf>
    <xf numFmtId="3" fontId="7" fillId="0" borderId="0" xfId="0" applyNumberFormat="1" applyFont="1" applyAlignment="1" applyProtection="1">
      <alignment horizontal="right" vertical="center"/>
    </xf>
    <xf numFmtId="0" fontId="7" fillId="0" borderId="0" xfId="0" applyNumberFormat="1" applyFont="1" applyAlignment="1" applyProtection="1">
      <alignment horizontal="right" vertical="center"/>
    </xf>
    <xf numFmtId="164" fontId="6" fillId="0" borderId="0" xfId="0" applyFont="1" applyAlignment="1" applyProtection="1"/>
    <xf numFmtId="37" fontId="21" fillId="0" borderId="0" xfId="0" applyNumberFormat="1" applyFont="1" applyBorder="1" applyAlignment="1" applyProtection="1">
      <alignment horizontal="centerContinuous"/>
    </xf>
    <xf numFmtId="37" fontId="8" fillId="0" borderId="3" xfId="0" applyNumberFormat="1" applyFont="1" applyBorder="1" applyAlignment="1" applyProtection="1">
      <alignment horizontal="centerContinuous" wrapText="1"/>
    </xf>
    <xf numFmtId="164" fontId="8" fillId="0" borderId="3" xfId="0" applyFont="1" applyBorder="1" applyAlignment="1" applyProtection="1">
      <alignment horizontal="centerContinuous" wrapText="1"/>
    </xf>
    <xf numFmtId="37" fontId="8" fillId="0" borderId="27" xfId="0" applyNumberFormat="1" applyFont="1" applyBorder="1" applyAlignment="1" applyProtection="1">
      <alignment horizontal="centerContinuous" wrapText="1"/>
    </xf>
    <xf numFmtId="164" fontId="15" fillId="0" borderId="0" xfId="0" applyFont="1"/>
    <xf numFmtId="164" fontId="0" fillId="0" borderId="0" xfId="0" applyBorder="1" applyAlignment="1"/>
    <xf numFmtId="10" fontId="14" fillId="0" borderId="6" xfId="0" applyNumberFormat="1" applyFont="1" applyBorder="1" applyAlignment="1">
      <alignment vertical="center"/>
    </xf>
    <xf numFmtId="10" fontId="14" fillId="0" borderId="0" xfId="0" applyNumberFormat="1" applyFont="1" applyBorder="1" applyAlignment="1">
      <alignment vertical="center"/>
    </xf>
    <xf numFmtId="166" fontId="7" fillId="0" borderId="0" xfId="1" applyNumberFormat="1" applyFont="1" applyFill="1" applyBorder="1"/>
    <xf numFmtId="164" fontId="0" fillId="0" borderId="0" xfId="0" applyFill="1" applyBorder="1"/>
    <xf numFmtId="164" fontId="7" fillId="0" borderId="33" xfId="0" applyFont="1" applyBorder="1"/>
    <xf numFmtId="164" fontId="7" fillId="0" borderId="26" xfId="0" applyFont="1" applyBorder="1"/>
    <xf numFmtId="37" fontId="5" fillId="0" borderId="0" xfId="0" applyNumberFormat="1" applyFont="1" applyAlignment="1" applyProtection="1">
      <alignment horizontal="right"/>
    </xf>
    <xf numFmtId="37" fontId="5" fillId="0" borderId="4" xfId="0" applyNumberFormat="1" applyFont="1" applyBorder="1" applyAlignment="1" applyProtection="1">
      <alignment horizontal="right"/>
    </xf>
    <xf numFmtId="166" fontId="23" fillId="0" borderId="0" xfId="1" applyNumberFormat="1" applyFont="1" applyAlignment="1">
      <alignment horizontal="centerContinuous"/>
    </xf>
    <xf numFmtId="37" fontId="14" fillId="0" borderId="4" xfId="0" applyNumberFormat="1" applyFont="1" applyBorder="1" applyAlignment="1" applyProtection="1">
      <alignment vertical="center"/>
    </xf>
    <xf numFmtId="37" fontId="14" fillId="0" borderId="13" xfId="0" applyNumberFormat="1" applyFont="1" applyBorder="1" applyAlignment="1" applyProtection="1">
      <alignment vertical="center"/>
    </xf>
    <xf numFmtId="164" fontId="7" fillId="0" borderId="0" xfId="0" applyFont="1" applyAlignment="1">
      <alignment vertical="center"/>
    </xf>
    <xf numFmtId="166" fontId="17" fillId="0" borderId="4" xfId="1" applyNumberFormat="1" applyFont="1" applyFill="1" applyBorder="1" applyAlignment="1" applyProtection="1">
      <alignment horizontal="left"/>
    </xf>
    <xf numFmtId="166" fontId="14" fillId="0" borderId="4" xfId="1" applyNumberFormat="1" applyFont="1" applyFill="1" applyBorder="1" applyAlignment="1" applyProtection="1">
      <alignment horizontal="left"/>
    </xf>
    <xf numFmtId="166" fontId="19" fillId="0" borderId="4" xfId="1" applyNumberFormat="1" applyFont="1" applyFill="1" applyBorder="1" applyAlignment="1">
      <alignment horizontal="left"/>
    </xf>
    <xf numFmtId="166" fontId="7" fillId="0" borderId="0" xfId="1" applyNumberFormat="1" applyFont="1" applyFill="1" applyBorder="1" applyAlignment="1">
      <alignment horizontal="left"/>
    </xf>
    <xf numFmtId="166" fontId="7" fillId="4" borderId="0" xfId="1" applyNumberFormat="1" applyFont="1" applyFill="1" applyBorder="1"/>
    <xf numFmtId="166" fontId="14" fillId="5" borderId="11" xfId="1" applyNumberFormat="1" applyFont="1" applyFill="1" applyBorder="1"/>
    <xf numFmtId="166" fontId="19" fillId="0" borderId="0" xfId="1" applyNumberFormat="1" applyFont="1" applyFill="1" applyBorder="1" applyAlignment="1">
      <alignment horizontal="left"/>
    </xf>
    <xf numFmtId="166" fontId="19" fillId="0" borderId="0" xfId="1" applyNumberFormat="1" applyFont="1" applyFill="1" applyBorder="1" applyAlignment="1">
      <alignment horizontal="center"/>
    </xf>
    <xf numFmtId="166" fontId="19" fillId="0" borderId="5" xfId="1" applyNumberFormat="1" applyFont="1" applyFill="1" applyBorder="1" applyAlignment="1">
      <alignment horizontal="center"/>
    </xf>
    <xf numFmtId="166" fontId="5" fillId="4" borderId="0" xfId="1" applyNumberFormat="1" applyFont="1" applyFill="1" applyBorder="1" applyAlignment="1">
      <alignment horizontal="left"/>
    </xf>
    <xf numFmtId="166" fontId="5" fillId="0" borderId="0" xfId="1" applyNumberFormat="1" applyFont="1" applyFill="1" applyBorder="1" applyAlignment="1">
      <alignment horizontal="left"/>
    </xf>
    <xf numFmtId="166" fontId="14" fillId="4" borderId="5" xfId="1" applyNumberFormat="1" applyFont="1" applyFill="1" applyBorder="1" applyAlignment="1">
      <alignment horizontal="center"/>
    </xf>
    <xf numFmtId="166" fontId="14" fillId="5" borderId="11" xfId="1" applyNumberFormat="1" applyFont="1" applyFill="1" applyBorder="1" applyAlignment="1">
      <alignment horizontal="center"/>
    </xf>
    <xf numFmtId="166" fontId="7" fillId="0" borderId="0" xfId="1" applyNumberFormat="1" applyFont="1" applyFill="1" applyBorder="1" applyAlignment="1">
      <alignment wrapText="1"/>
    </xf>
    <xf numFmtId="164" fontId="0" fillId="0" borderId="0" xfId="0" applyFill="1" applyAlignment="1">
      <alignment horizontal="centerContinuous"/>
    </xf>
    <xf numFmtId="164" fontId="0" fillId="0" borderId="0" xfId="0" applyFill="1"/>
    <xf numFmtId="164" fontId="8" fillId="0" borderId="3" xfId="0" applyFont="1" applyFill="1" applyBorder="1" applyAlignment="1" applyProtection="1">
      <alignment horizontal="centerContinuous"/>
    </xf>
    <xf numFmtId="37" fontId="8" fillId="0" borderId="1" xfId="0" applyNumberFormat="1" applyFont="1" applyFill="1" applyBorder="1" applyAlignment="1" applyProtection="1">
      <alignment horizontal="center"/>
    </xf>
    <xf numFmtId="0" fontId="7"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right"/>
    </xf>
    <xf numFmtId="0" fontId="7" fillId="0" borderId="4" xfId="0" applyNumberFormat="1" applyFont="1" applyFill="1" applyBorder="1" applyAlignment="1" applyProtection="1">
      <alignment horizontal="right"/>
    </xf>
    <xf numFmtId="164" fontId="8" fillId="0" borderId="0" xfId="0" applyFont="1" applyFill="1" applyBorder="1" applyAlignment="1" applyProtection="1">
      <alignment horizontal="centerContinuous"/>
    </xf>
    <xf numFmtId="37" fontId="8" fillId="0" borderId="0" xfId="0" applyNumberFormat="1" applyFont="1" applyFill="1" applyBorder="1" applyAlignment="1" applyProtection="1">
      <alignment horizontal="right"/>
    </xf>
    <xf numFmtId="164" fontId="0" fillId="0" borderId="0" xfId="0" applyFill="1" applyBorder="1" applyAlignment="1">
      <alignment vertical="center"/>
    </xf>
    <xf numFmtId="167" fontId="7" fillId="0" borderId="0" xfId="0" applyNumberFormat="1" applyFont="1" applyFill="1" applyAlignment="1" applyProtection="1">
      <alignment horizontal="right"/>
    </xf>
    <xf numFmtId="3" fontId="7" fillId="0" borderId="0" xfId="1" applyNumberFormat="1" applyFont="1" applyFill="1" applyAlignment="1" applyProtection="1">
      <alignment horizontal="right"/>
    </xf>
    <xf numFmtId="164" fontId="0" fillId="0" borderId="0" xfId="0" applyFill="1" applyBorder="1" applyAlignment="1"/>
    <xf numFmtId="3" fontId="7" fillId="0" borderId="0" xfId="0" applyNumberFormat="1" applyFont="1" applyFill="1" applyAlignment="1" applyProtection="1">
      <alignment horizontal="right"/>
    </xf>
    <xf numFmtId="3" fontId="7" fillId="0" borderId="0" xfId="1" applyNumberFormat="1" applyFont="1" applyFill="1" applyAlignment="1" applyProtection="1">
      <alignment horizontal="right" vertical="center"/>
    </xf>
    <xf numFmtId="164" fontId="6" fillId="0" borderId="0" xfId="0" applyFont="1" applyFill="1" applyAlignment="1" applyProtection="1"/>
    <xf numFmtId="0" fontId="7" fillId="0" borderId="0" xfId="0" applyNumberFormat="1" applyFont="1" applyFill="1" applyAlignment="1" applyProtection="1">
      <alignment horizontal="right"/>
    </xf>
    <xf numFmtId="37" fontId="7" fillId="0" borderId="0" xfId="0" applyNumberFormat="1" applyFont="1" applyFill="1" applyAlignment="1" applyProtection="1">
      <alignment horizontal="right"/>
    </xf>
    <xf numFmtId="164" fontId="15" fillId="0" borderId="0" xfId="0" applyFont="1" applyFill="1" applyAlignment="1">
      <alignment wrapText="1"/>
    </xf>
    <xf numFmtId="164" fontId="7" fillId="0" borderId="0" xfId="0" applyFont="1" applyFill="1" applyAlignment="1" applyProtection="1">
      <alignment horizontal="left"/>
    </xf>
    <xf numFmtId="5" fontId="7" fillId="0" borderId="0" xfId="0" applyNumberFormat="1" applyFont="1" applyFill="1" applyAlignment="1" applyProtection="1">
      <alignment horizontal="right" vertical="center"/>
    </xf>
    <xf numFmtId="5" fontId="7" fillId="0" borderId="0" xfId="0" applyNumberFormat="1" applyFont="1" applyFill="1" applyAlignment="1" applyProtection="1">
      <alignment horizontal="right"/>
    </xf>
    <xf numFmtId="166" fontId="7" fillId="0" borderId="0" xfId="0" applyNumberFormat="1" applyFont="1" applyFill="1" applyAlignment="1" applyProtection="1">
      <alignment horizontal="right"/>
    </xf>
    <xf numFmtId="164" fontId="7" fillId="0" borderId="0" xfId="0" applyFont="1" applyFill="1" applyBorder="1" applyAlignment="1" applyProtection="1">
      <alignment horizontal="centerContinuous"/>
    </xf>
    <xf numFmtId="37" fontId="8" fillId="0" borderId="0" xfId="0" applyNumberFormat="1" applyFont="1" applyFill="1" applyBorder="1" applyAlignment="1" applyProtection="1">
      <alignment horizontal="centerContinuous"/>
    </xf>
    <xf numFmtId="5" fontId="7" fillId="0" borderId="0" xfId="0" applyNumberFormat="1" applyFont="1" applyFill="1" applyBorder="1" applyAlignment="1" applyProtection="1">
      <alignment horizontal="right" vertical="center"/>
    </xf>
    <xf numFmtId="5" fontId="7" fillId="0" borderId="0" xfId="0" applyNumberFormat="1" applyFont="1" applyFill="1" applyBorder="1" applyAlignment="1" applyProtection="1">
      <alignment horizontal="right"/>
    </xf>
    <xf numFmtId="3" fontId="7" fillId="0" borderId="0" xfId="0" applyNumberFormat="1" applyFont="1" applyFill="1" applyAlignment="1" applyProtection="1">
      <alignment horizontal="right" vertical="center"/>
    </xf>
    <xf numFmtId="0" fontId="7" fillId="0" borderId="0" xfId="0" applyNumberFormat="1" applyFont="1" applyFill="1" applyAlignment="1" applyProtection="1">
      <alignment horizontal="right" vertical="center"/>
    </xf>
    <xf numFmtId="164" fontId="8" fillId="0" borderId="2" xfId="0" applyFont="1" applyFill="1" applyBorder="1" applyAlignment="1" applyProtection="1">
      <alignment horizontal="centerContinuous"/>
    </xf>
    <xf numFmtId="37" fontId="8" fillId="0" borderId="3" xfId="0" applyNumberFormat="1" applyFont="1" applyFill="1" applyBorder="1" applyAlignment="1" applyProtection="1">
      <alignment horizontal="centerContinuous"/>
    </xf>
    <xf numFmtId="167" fontId="7" fillId="0" borderId="0" xfId="0" applyNumberFormat="1" applyFont="1" applyFill="1" applyBorder="1" applyAlignment="1" applyProtection="1">
      <alignment horizontal="right" vertical="center"/>
    </xf>
    <xf numFmtId="37" fontId="8" fillId="0" borderId="1" xfId="0" applyNumberFormat="1" applyFont="1" applyFill="1" applyBorder="1" applyAlignment="1" applyProtection="1">
      <alignment horizontal="right"/>
    </xf>
    <xf numFmtId="167" fontId="7" fillId="0" borderId="0" xfId="0" applyNumberFormat="1" applyFont="1" applyFill="1" applyAlignment="1" applyProtection="1">
      <alignment horizontal="right" vertical="center"/>
    </xf>
    <xf numFmtId="164" fontId="7" fillId="0" borderId="0" xfId="0" applyFont="1" applyFill="1"/>
    <xf numFmtId="164" fontId="8" fillId="0" borderId="0" xfId="0" applyFont="1" applyFill="1" applyBorder="1" applyAlignment="1" applyProtection="1">
      <alignment horizontal="centerContinuous" vertical="center"/>
    </xf>
    <xf numFmtId="164" fontId="7" fillId="0" borderId="0" xfId="0" applyFont="1" applyFill="1" applyAlignment="1" applyProtection="1">
      <alignment horizontal="right" vertical="center"/>
    </xf>
    <xf numFmtId="164" fontId="7" fillId="0" borderId="0" xfId="0" applyFont="1" applyFill="1" applyAlignment="1" applyProtection="1">
      <alignment horizontal="right"/>
    </xf>
    <xf numFmtId="167" fontId="7" fillId="0" borderId="2" xfId="0" applyNumberFormat="1" applyFont="1" applyFill="1" applyBorder="1" applyAlignment="1" applyProtection="1">
      <alignment horizontal="right" vertical="center"/>
    </xf>
    <xf numFmtId="168" fontId="14" fillId="0" borderId="5" xfId="0" applyNumberFormat="1" applyFont="1" applyBorder="1" applyAlignment="1">
      <alignment vertical="center"/>
    </xf>
    <xf numFmtId="168" fontId="14" fillId="0" borderId="0" xfId="0" applyNumberFormat="1" applyFont="1" applyBorder="1" applyAlignment="1">
      <alignment vertical="center"/>
    </xf>
    <xf numFmtId="168" fontId="14" fillId="0" borderId="6" xfId="0" applyNumberFormat="1" applyFont="1" applyBorder="1" applyAlignment="1">
      <alignment vertical="center"/>
    </xf>
    <xf numFmtId="10" fontId="14" fillId="0" borderId="12" xfId="0" applyNumberFormat="1" applyFont="1" applyBorder="1" applyAlignment="1">
      <alignment vertical="center"/>
    </xf>
    <xf numFmtId="164" fontId="7" fillId="0" borderId="0" xfId="0" applyFont="1" applyAlignment="1">
      <alignment horizontal="left"/>
    </xf>
    <xf numFmtId="166" fontId="19" fillId="0" borderId="7" xfId="1" applyNumberFormat="1" applyFont="1" applyFill="1" applyBorder="1" applyAlignment="1">
      <alignment horizontal="left"/>
    </xf>
    <xf numFmtId="166" fontId="7" fillId="4" borderId="35" xfId="1" applyNumberFormat="1" applyFont="1" applyFill="1" applyBorder="1"/>
    <xf numFmtId="166" fontId="19" fillId="6" borderId="5" xfId="1" applyNumberFormat="1" applyFont="1" applyFill="1" applyBorder="1" applyAlignment="1">
      <alignment horizontal="center"/>
    </xf>
    <xf numFmtId="166" fontId="7" fillId="4" borderId="36" xfId="1" applyNumberFormat="1" applyFont="1" applyFill="1" applyBorder="1" applyAlignment="1">
      <alignment horizontal="left"/>
    </xf>
    <xf numFmtId="166" fontId="14" fillId="5" borderId="12" xfId="1" applyNumberFormat="1" applyFont="1" applyFill="1" applyBorder="1" applyAlignment="1">
      <alignment horizontal="center"/>
    </xf>
    <xf numFmtId="166" fontId="24" fillId="6" borderId="12" xfId="1" applyNumberFormat="1" applyFont="1" applyFill="1" applyBorder="1" applyAlignment="1">
      <alignment horizontal="center"/>
    </xf>
    <xf numFmtId="166" fontId="14" fillId="4" borderId="35" xfId="1" applyNumberFormat="1" applyFont="1" applyFill="1" applyBorder="1" applyAlignment="1">
      <alignment horizontal="center"/>
    </xf>
    <xf numFmtId="166" fontId="14" fillId="4" borderId="36" xfId="1" applyNumberFormat="1" applyFont="1" applyFill="1" applyBorder="1" applyAlignment="1">
      <alignment horizontal="center"/>
    </xf>
    <xf numFmtId="166" fontId="14" fillId="4" borderId="0" xfId="1" applyNumberFormat="1" applyFont="1" applyFill="1" applyBorder="1" applyAlignment="1">
      <alignment horizontal="center"/>
    </xf>
    <xf numFmtId="166" fontId="19" fillId="6" borderId="0" xfId="1" applyNumberFormat="1" applyFont="1" applyFill="1" applyBorder="1" applyAlignment="1">
      <alignment horizontal="center"/>
    </xf>
    <xf numFmtId="166" fontId="7" fillId="7" borderId="0" xfId="1" applyNumberFormat="1" applyFont="1" applyFill="1" applyBorder="1" applyAlignment="1" applyProtection="1">
      <alignment horizontal="center" wrapText="1"/>
    </xf>
    <xf numFmtId="49" fontId="3" fillId="0" borderId="0" xfId="0" quotePrefix="1" applyNumberFormat="1" applyFont="1" applyFill="1" applyAlignment="1">
      <alignment horizontal="right"/>
    </xf>
    <xf numFmtId="164" fontId="24" fillId="0" borderId="0" xfId="0" applyFont="1"/>
    <xf numFmtId="168" fontId="24" fillId="0" borderId="0" xfId="12" applyNumberFormat="1" applyFont="1" applyAlignment="1">
      <alignment vertical="center"/>
    </xf>
    <xf numFmtId="168" fontId="24" fillId="0" borderId="0" xfId="12" applyNumberFormat="1" applyFont="1"/>
    <xf numFmtId="49" fontId="7" fillId="0" borderId="4" xfId="1" applyNumberFormat="1" applyFont="1" applyFill="1" applyBorder="1" applyAlignment="1">
      <alignment horizontal="center"/>
    </xf>
    <xf numFmtId="49" fontId="7" fillId="0" borderId="4" xfId="1" applyNumberFormat="1" applyFont="1" applyFill="1" applyBorder="1" applyAlignment="1" applyProtection="1">
      <alignment horizontal="left"/>
    </xf>
    <xf numFmtId="49" fontId="7" fillId="0" borderId="4" xfId="1" applyNumberFormat="1" applyFont="1" applyFill="1" applyBorder="1" applyAlignment="1" applyProtection="1">
      <alignment horizontal="center"/>
    </xf>
    <xf numFmtId="49" fontId="7" fillId="0" borderId="13" xfId="1" applyNumberFormat="1" applyFont="1" applyFill="1" applyBorder="1" applyAlignment="1" applyProtection="1">
      <alignment horizontal="center"/>
    </xf>
    <xf numFmtId="49" fontId="20" fillId="0" borderId="0" xfId="1" applyNumberFormat="1" applyFont="1" applyFill="1" applyBorder="1" applyAlignment="1">
      <alignment horizontal="center"/>
    </xf>
    <xf numFmtId="49" fontId="20" fillId="0" borderId="5" xfId="0" applyNumberFormat="1" applyFont="1" applyFill="1" applyBorder="1" applyAlignment="1">
      <alignment horizontal="left"/>
    </xf>
    <xf numFmtId="49" fontId="7" fillId="0" borderId="0" xfId="1" applyNumberFormat="1" applyFont="1" applyFill="1" applyBorder="1" applyAlignment="1" applyProtection="1">
      <alignment horizontal="center"/>
    </xf>
    <xf numFmtId="164" fontId="7" fillId="0" borderId="36" xfId="0" applyFont="1" applyBorder="1"/>
    <xf numFmtId="49" fontId="20" fillId="0" borderId="0" xfId="0" applyNumberFormat="1" applyFont="1" applyFill="1" applyBorder="1" applyAlignment="1">
      <alignment horizontal="left"/>
    </xf>
    <xf numFmtId="49" fontId="5" fillId="0" borderId="0" xfId="1" applyNumberFormat="1" applyFont="1" applyFill="1" applyBorder="1" applyAlignment="1">
      <alignment horizontal="center"/>
    </xf>
    <xf numFmtId="49" fontId="5" fillId="0" borderId="0" xfId="1" applyNumberFormat="1" applyFont="1" applyFill="1" applyBorder="1" applyAlignment="1" applyProtection="1">
      <alignment horizontal="left"/>
    </xf>
    <xf numFmtId="49" fontId="5" fillId="0" borderId="0" xfId="1" applyNumberFormat="1" applyFont="1" applyFill="1" applyBorder="1" applyAlignment="1" applyProtection="1">
      <alignment horizontal="center"/>
    </xf>
    <xf numFmtId="166" fontId="26" fillId="5" borderId="12" xfId="1" applyNumberFormat="1" applyFont="1" applyFill="1" applyBorder="1" applyAlignment="1">
      <alignment horizontal="left"/>
    </xf>
    <xf numFmtId="166" fontId="26" fillId="6" borderId="0" xfId="1" applyNumberFormat="1" applyFont="1" applyFill="1" applyBorder="1" applyAlignment="1">
      <alignment horizontal="left"/>
    </xf>
    <xf numFmtId="49" fontId="5" fillId="8" borderId="5" xfId="1" applyNumberFormat="1" applyFont="1" applyFill="1" applyBorder="1" applyAlignment="1">
      <alignment horizontal="center"/>
    </xf>
    <xf numFmtId="49" fontId="5" fillId="8" borderId="5" xfId="1" applyNumberFormat="1" applyFont="1" applyFill="1" applyBorder="1" applyAlignment="1" applyProtection="1">
      <alignment horizontal="left"/>
    </xf>
    <xf numFmtId="49" fontId="5" fillId="8" borderId="5" xfId="1" applyNumberFormat="1" applyFont="1" applyFill="1" applyBorder="1" applyAlignment="1" applyProtection="1">
      <alignment horizontal="center"/>
    </xf>
    <xf numFmtId="49" fontId="5" fillId="8" borderId="0" xfId="1" applyNumberFormat="1" applyFont="1" applyFill="1" applyBorder="1" applyAlignment="1" applyProtection="1">
      <alignment horizontal="center"/>
    </xf>
    <xf numFmtId="49" fontId="5" fillId="8" borderId="0" xfId="1" applyNumberFormat="1" applyFont="1" applyFill="1" applyBorder="1" applyAlignment="1" applyProtection="1">
      <alignment horizontal="left"/>
    </xf>
    <xf numFmtId="49" fontId="7" fillId="7" borderId="0" xfId="1" applyNumberFormat="1" applyFont="1" applyFill="1" applyBorder="1" applyAlignment="1" applyProtection="1">
      <alignment horizontal="center"/>
    </xf>
    <xf numFmtId="49" fontId="7" fillId="7" borderId="0" xfId="1" applyNumberFormat="1" applyFont="1" applyFill="1" applyBorder="1" applyAlignment="1" applyProtection="1">
      <alignment horizontal="left"/>
    </xf>
    <xf numFmtId="49" fontId="7" fillId="9" borderId="0" xfId="1" applyNumberFormat="1" applyFont="1" applyFill="1" applyBorder="1" applyAlignment="1">
      <alignment horizontal="center"/>
    </xf>
    <xf numFmtId="49" fontId="7" fillId="9" borderId="0" xfId="1" applyNumberFormat="1" applyFont="1" applyFill="1" applyBorder="1" applyAlignment="1" applyProtection="1">
      <alignment horizontal="left"/>
    </xf>
    <xf numFmtId="49" fontId="7" fillId="9" borderId="0" xfId="1" applyNumberFormat="1" applyFont="1" applyFill="1" applyBorder="1" applyAlignment="1" applyProtection="1">
      <alignment horizontal="center"/>
    </xf>
    <xf numFmtId="49" fontId="7" fillId="10" borderId="0" xfId="1" applyNumberFormat="1" applyFont="1" applyFill="1" applyBorder="1" applyAlignment="1" applyProtection="1">
      <alignment horizontal="center"/>
    </xf>
    <xf numFmtId="3" fontId="7" fillId="4" borderId="36" xfId="1" applyNumberFormat="1" applyFont="1" applyFill="1" applyBorder="1" applyAlignment="1">
      <alignment horizontal="right"/>
    </xf>
    <xf numFmtId="3" fontId="7" fillId="4" borderId="0" xfId="1" applyNumberFormat="1" applyFont="1" applyFill="1" applyBorder="1" applyAlignment="1">
      <alignment horizontal="right"/>
    </xf>
    <xf numFmtId="3" fontId="7" fillId="5" borderId="12" xfId="1" applyNumberFormat="1" applyFont="1" applyFill="1" applyBorder="1" applyAlignment="1">
      <alignment horizontal="right"/>
    </xf>
    <xf numFmtId="3" fontId="19" fillId="0" borderId="6" xfId="0" applyNumberFormat="1" applyFont="1" applyFill="1" applyBorder="1" applyAlignment="1">
      <alignment horizontal="right"/>
    </xf>
    <xf numFmtId="3" fontId="19" fillId="0" borderId="0" xfId="0" applyNumberFormat="1" applyFont="1" applyFill="1" applyBorder="1" applyAlignment="1">
      <alignment horizontal="right"/>
    </xf>
    <xf numFmtId="3" fontId="19" fillId="6" borderId="12" xfId="1" applyNumberFormat="1" applyFont="1" applyFill="1" applyBorder="1" applyAlignment="1">
      <alignment horizontal="right"/>
    </xf>
    <xf numFmtId="49" fontId="7" fillId="4" borderId="0" xfId="1" applyNumberFormat="1" applyFont="1" applyFill="1" applyBorder="1" applyAlignment="1">
      <alignment horizontal="center"/>
    </xf>
    <xf numFmtId="49" fontId="7" fillId="4" borderId="0" xfId="1" applyNumberFormat="1" applyFont="1" applyFill="1" applyBorder="1" applyAlignment="1">
      <alignment horizontal="left"/>
    </xf>
    <xf numFmtId="49" fontId="7" fillId="4" borderId="0" xfId="1" applyNumberFormat="1" applyFont="1" applyFill="1" applyBorder="1" applyAlignment="1" applyProtection="1">
      <alignment horizontal="center"/>
    </xf>
    <xf numFmtId="3" fontId="19" fillId="0" borderId="6" xfId="0" quotePrefix="1" applyNumberFormat="1" applyFont="1" applyFill="1" applyBorder="1" applyAlignment="1">
      <alignment horizontal="right"/>
    </xf>
    <xf numFmtId="49" fontId="7" fillId="4" borderId="0" xfId="4" applyNumberFormat="1" applyFont="1" applyFill="1" applyBorder="1" applyAlignment="1">
      <alignment horizontal="left"/>
    </xf>
    <xf numFmtId="49" fontId="7" fillId="4" borderId="0" xfId="1" applyNumberFormat="1" applyFont="1" applyFill="1" applyBorder="1" applyAlignment="1" applyProtection="1">
      <alignment horizontal="left"/>
    </xf>
    <xf numFmtId="49" fontId="7" fillId="11" borderId="0" xfId="1" applyNumberFormat="1" applyFont="1" applyFill="1" applyBorder="1" applyAlignment="1" applyProtection="1">
      <alignment horizontal="center"/>
    </xf>
    <xf numFmtId="49" fontId="7" fillId="12" borderId="0" xfId="1" applyNumberFormat="1" applyFont="1" applyFill="1" applyBorder="1" applyAlignment="1" applyProtection="1">
      <alignment horizontal="center"/>
    </xf>
    <xf numFmtId="49" fontId="7" fillId="12" borderId="0" xfId="1" applyNumberFormat="1" applyFont="1" applyFill="1" applyBorder="1" applyAlignment="1" applyProtection="1">
      <alignment horizontal="left"/>
    </xf>
    <xf numFmtId="49" fontId="7" fillId="12" borderId="0" xfId="1" applyNumberFormat="1" applyFont="1" applyFill="1" applyBorder="1" applyAlignment="1">
      <alignment horizontal="left"/>
    </xf>
    <xf numFmtId="49" fontId="7" fillId="12" borderId="0" xfId="1" applyNumberFormat="1" applyFont="1" applyFill="1" applyBorder="1" applyAlignment="1">
      <alignment horizontal="center"/>
    </xf>
    <xf numFmtId="49" fontId="7" fillId="13" borderId="0" xfId="1" applyNumberFormat="1" applyFont="1" applyFill="1" applyBorder="1" applyAlignment="1">
      <alignment horizontal="center"/>
    </xf>
    <xf numFmtId="49" fontId="7" fillId="13" borderId="0" xfId="1" applyNumberFormat="1" applyFont="1" applyFill="1" applyBorder="1" applyAlignment="1">
      <alignment horizontal="left"/>
    </xf>
    <xf numFmtId="49" fontId="7" fillId="14" borderId="0" xfId="1" applyNumberFormat="1" applyFont="1" applyFill="1" applyBorder="1" applyAlignment="1" applyProtection="1">
      <alignment horizontal="center"/>
    </xf>
    <xf numFmtId="0" fontId="19" fillId="0" borderId="6" xfId="0" applyNumberFormat="1" applyFont="1" applyFill="1" applyBorder="1" applyAlignment="1"/>
    <xf numFmtId="167" fontId="19" fillId="0" borderId="0" xfId="0" applyNumberFormat="1" applyFont="1" applyFill="1" applyBorder="1" applyAlignment="1">
      <alignment horizontal="right"/>
    </xf>
    <xf numFmtId="0" fontId="19" fillId="0" borderId="6" xfId="0" applyNumberFormat="1" applyFont="1" applyFill="1" applyBorder="1" applyAlignment="1">
      <alignment horizontal="right"/>
    </xf>
    <xf numFmtId="0" fontId="19" fillId="0" borderId="0" xfId="0" applyNumberFormat="1" applyFont="1" applyFill="1" applyBorder="1" applyAlignment="1">
      <alignment horizontal="right"/>
    </xf>
    <xf numFmtId="49" fontId="7" fillId="9" borderId="0" xfId="1" applyNumberFormat="1" applyFont="1" applyFill="1" applyBorder="1" applyAlignment="1">
      <alignment horizontal="left"/>
    </xf>
    <xf numFmtId="49" fontId="7" fillId="5" borderId="0" xfId="1" applyNumberFormat="1" applyFont="1" applyFill="1" applyBorder="1" applyAlignment="1">
      <alignment horizontal="center"/>
    </xf>
    <xf numFmtId="49" fontId="7" fillId="5" borderId="0" xfId="1" applyNumberFormat="1" applyFont="1" applyFill="1" applyBorder="1" applyAlignment="1">
      <alignment horizontal="left"/>
    </xf>
    <xf numFmtId="49" fontId="7" fillId="15" borderId="0" xfId="1" applyNumberFormat="1" applyFont="1" applyFill="1" applyBorder="1" applyAlignment="1" applyProtection="1">
      <alignment horizontal="center"/>
    </xf>
    <xf numFmtId="49" fontId="7" fillId="4" borderId="0" xfId="5" applyNumberFormat="1" applyFont="1" applyFill="1" applyBorder="1" applyAlignment="1">
      <alignment horizontal="left"/>
    </xf>
    <xf numFmtId="49" fontId="7" fillId="16" borderId="0" xfId="1" applyNumberFormat="1" applyFont="1" applyFill="1" applyBorder="1" applyAlignment="1">
      <alignment horizontal="center"/>
    </xf>
    <xf numFmtId="49" fontId="7" fillId="16" borderId="0" xfId="1" applyNumberFormat="1" applyFont="1" applyFill="1" applyBorder="1" applyAlignment="1">
      <alignment horizontal="left"/>
    </xf>
    <xf numFmtId="49" fontId="7" fillId="17" borderId="0" xfId="1" applyNumberFormat="1" applyFont="1" applyFill="1" applyBorder="1" applyAlignment="1" applyProtection="1">
      <alignment horizontal="center"/>
    </xf>
    <xf numFmtId="49" fontId="7" fillId="16" borderId="0" xfId="5" applyNumberFormat="1" applyFont="1" applyFill="1" applyBorder="1" applyAlignment="1">
      <alignment horizontal="left"/>
    </xf>
    <xf numFmtId="49" fontId="7" fillId="13" borderId="0" xfId="1" applyNumberFormat="1" applyFont="1" applyFill="1" applyBorder="1" applyAlignment="1" applyProtection="1">
      <alignment horizontal="center"/>
    </xf>
    <xf numFmtId="49" fontId="7" fillId="13" borderId="0" xfId="1" applyNumberFormat="1" applyFont="1" applyFill="1" applyBorder="1" applyAlignment="1" applyProtection="1">
      <alignment horizontal="left"/>
    </xf>
    <xf numFmtId="49" fontId="7" fillId="13" borderId="0" xfId="5" applyNumberFormat="1" applyFont="1" applyFill="1" applyBorder="1" applyAlignment="1">
      <alignment horizontal="left"/>
    </xf>
    <xf numFmtId="3" fontId="19" fillId="7" borderId="6" xfId="0" applyNumberFormat="1" applyFont="1" applyFill="1" applyBorder="1" applyAlignment="1">
      <alignment horizontal="right"/>
    </xf>
    <xf numFmtId="3" fontId="19" fillId="7" borderId="0" xfId="0" applyNumberFormat="1" applyFont="1" applyFill="1" applyBorder="1" applyAlignment="1">
      <alignment horizontal="right"/>
    </xf>
    <xf numFmtId="49" fontId="7" fillId="18" borderId="0" xfId="1" applyNumberFormat="1" applyFont="1" applyFill="1" applyBorder="1" applyAlignment="1">
      <alignment horizontal="center"/>
    </xf>
    <xf numFmtId="49" fontId="7" fillId="18" borderId="0" xfId="1" applyNumberFormat="1" applyFont="1" applyFill="1" applyBorder="1" applyAlignment="1" applyProtection="1">
      <alignment horizontal="left"/>
    </xf>
    <xf numFmtId="49" fontId="7" fillId="18" borderId="0" xfId="1" applyNumberFormat="1" applyFont="1" applyFill="1" applyBorder="1" applyAlignment="1" applyProtection="1">
      <alignment horizontal="center"/>
    </xf>
    <xf numFmtId="49" fontId="7" fillId="19" borderId="0" xfId="1" applyNumberFormat="1" applyFont="1" applyFill="1" applyBorder="1" applyAlignment="1" applyProtection="1">
      <alignment horizontal="center"/>
    </xf>
    <xf numFmtId="3" fontId="19" fillId="0" borderId="6" xfId="2" applyNumberFormat="1" applyFont="1" applyFill="1" applyBorder="1" applyAlignment="1">
      <alignment horizontal="right"/>
    </xf>
    <xf numFmtId="3" fontId="19" fillId="0" borderId="0" xfId="2" applyNumberFormat="1" applyFont="1" applyFill="1" applyBorder="1" applyAlignment="1">
      <alignment horizontal="right"/>
    </xf>
    <xf numFmtId="49" fontId="7" fillId="18" borderId="0" xfId="1" applyNumberFormat="1" applyFont="1" applyFill="1" applyBorder="1" applyAlignment="1">
      <alignment horizontal="left"/>
    </xf>
    <xf numFmtId="49" fontId="7" fillId="18" borderId="0" xfId="6" applyNumberFormat="1" applyFont="1" applyFill="1" applyBorder="1" applyAlignment="1">
      <alignment horizontal="left"/>
    </xf>
    <xf numFmtId="49" fontId="7" fillId="20" borderId="0" xfId="1" applyNumberFormat="1" applyFont="1" applyFill="1" applyBorder="1" applyAlignment="1">
      <alignment horizontal="center"/>
    </xf>
    <xf numFmtId="49" fontId="7" fillId="20" borderId="0" xfId="1" applyNumberFormat="1" applyFont="1" applyFill="1" applyBorder="1" applyAlignment="1">
      <alignment horizontal="left"/>
    </xf>
    <xf numFmtId="49" fontId="7" fillId="21" borderId="0" xfId="1" applyNumberFormat="1" applyFont="1" applyFill="1" applyBorder="1" applyAlignment="1" applyProtection="1">
      <alignment horizontal="center"/>
    </xf>
    <xf numFmtId="49" fontId="7" fillId="20" borderId="0" xfId="5" applyNumberFormat="1" applyFont="1" applyFill="1" applyBorder="1" applyAlignment="1">
      <alignment horizontal="left"/>
    </xf>
    <xf numFmtId="1" fontId="19" fillId="0" borderId="0" xfId="0" applyNumberFormat="1" applyFont="1" applyFill="1" applyBorder="1" applyAlignment="1">
      <alignment horizontal="right"/>
    </xf>
    <xf numFmtId="49" fontId="7" fillId="20" borderId="0" xfId="1" applyNumberFormat="1" applyFont="1" applyFill="1" applyBorder="1" applyAlignment="1" applyProtection="1">
      <alignment horizontal="left"/>
    </xf>
    <xf numFmtId="49" fontId="7" fillId="20" borderId="0" xfId="1" applyNumberFormat="1" applyFont="1" applyFill="1" applyBorder="1" applyAlignment="1" applyProtection="1">
      <alignment horizontal="center"/>
    </xf>
    <xf numFmtId="49" fontId="7" fillId="12" borderId="0" xfId="5" applyNumberFormat="1" applyFont="1" applyFill="1" applyBorder="1" applyAlignment="1">
      <alignment horizontal="left"/>
    </xf>
    <xf numFmtId="49" fontId="7" fillId="0" borderId="0" xfId="1" applyNumberFormat="1" applyFont="1" applyFill="1" applyBorder="1" applyAlignment="1">
      <alignment horizontal="center"/>
    </xf>
    <xf numFmtId="49" fontId="7" fillId="0" borderId="0" xfId="1" applyNumberFormat="1" applyFont="1" applyFill="1" applyBorder="1" applyAlignment="1">
      <alignment horizontal="left"/>
    </xf>
    <xf numFmtId="49" fontId="7" fillId="22" borderId="0" xfId="1" applyNumberFormat="1" applyFont="1" applyFill="1" applyBorder="1" applyAlignment="1" applyProtection="1">
      <alignment horizontal="center"/>
    </xf>
    <xf numFmtId="3" fontId="7" fillId="23" borderId="0" xfId="1" applyNumberFormat="1" applyFont="1" applyFill="1" applyBorder="1" applyAlignment="1">
      <alignment horizontal="right"/>
    </xf>
    <xf numFmtId="166" fontId="28" fillId="0" borderId="0" xfId="1" applyNumberFormat="1" applyFont="1" applyFill="1" applyBorder="1"/>
    <xf numFmtId="49" fontId="7" fillId="4" borderId="0" xfId="8" applyNumberFormat="1" applyFont="1" applyFill="1" applyBorder="1" applyAlignment="1">
      <alignment horizontal="left"/>
    </xf>
    <xf numFmtId="3" fontId="19" fillId="0" borderId="6" xfId="7" applyNumberFormat="1" applyFont="1" applyFill="1" applyBorder="1" applyAlignment="1">
      <alignment horizontal="right"/>
    </xf>
    <xf numFmtId="3" fontId="19" fillId="0" borderId="0" xfId="7" applyNumberFormat="1" applyFont="1" applyFill="1" applyBorder="1" applyAlignment="1">
      <alignment horizontal="right"/>
    </xf>
    <xf numFmtId="164" fontId="7" fillId="0" borderId="0" xfId="7" applyFont="1"/>
    <xf numFmtId="49" fontId="7" fillId="16" borderId="0" xfId="8" applyNumberFormat="1" applyFont="1" applyFill="1" applyBorder="1" applyAlignment="1">
      <alignment horizontal="left"/>
    </xf>
    <xf numFmtId="166" fontId="7" fillId="0" borderId="0" xfId="1" applyNumberFormat="1" applyFont="1" applyBorder="1" applyAlignment="1"/>
    <xf numFmtId="49" fontId="7" fillId="2" borderId="0" xfId="1" applyNumberFormat="1" applyFont="1" applyFill="1" applyBorder="1" applyAlignment="1">
      <alignment horizontal="center"/>
    </xf>
    <xf numFmtId="49" fontId="7" fillId="2" borderId="0" xfId="1" applyNumberFormat="1" applyFont="1" applyFill="1" applyBorder="1" applyAlignment="1">
      <alignment horizontal="left"/>
    </xf>
    <xf numFmtId="49" fontId="7" fillId="19" borderId="0" xfId="1" applyNumberFormat="1" applyFont="1" applyFill="1" applyBorder="1" applyAlignment="1">
      <alignment horizontal="center"/>
    </xf>
    <xf numFmtId="49" fontId="7" fillId="18" borderId="0" xfId="5" applyNumberFormat="1" applyFont="1" applyFill="1" applyBorder="1" applyAlignment="1">
      <alignment horizontal="left"/>
    </xf>
    <xf numFmtId="49" fontId="7" fillId="18" borderId="0" xfId="4" applyNumberFormat="1" applyFont="1" applyFill="1" applyBorder="1" applyAlignment="1">
      <alignment horizontal="left"/>
    </xf>
    <xf numFmtId="3" fontId="7" fillId="23" borderId="36" xfId="1" applyNumberFormat="1" applyFont="1" applyFill="1" applyBorder="1" applyAlignment="1">
      <alignment horizontal="right"/>
    </xf>
    <xf numFmtId="3" fontId="19" fillId="0" borderId="14" xfId="0" applyNumberFormat="1" applyFont="1" applyFill="1" applyBorder="1" applyAlignment="1">
      <alignment horizontal="right"/>
    </xf>
    <xf numFmtId="3" fontId="19" fillId="0" borderId="0" xfId="0" applyNumberFormat="1" applyFont="1" applyFill="1" applyAlignment="1">
      <alignment horizontal="right"/>
    </xf>
    <xf numFmtId="0" fontId="19" fillId="0" borderId="6" xfId="1" applyNumberFormat="1" applyFont="1" applyFill="1" applyBorder="1" applyAlignment="1"/>
    <xf numFmtId="166" fontId="19" fillId="0" borderId="6" xfId="1" applyNumberFormat="1" applyFont="1" applyFill="1" applyBorder="1" applyAlignment="1">
      <alignment horizontal="center"/>
    </xf>
    <xf numFmtId="164" fontId="7" fillId="0" borderId="0" xfId="7" applyFont="1" applyBorder="1"/>
    <xf numFmtId="49" fontId="5" fillId="24" borderId="0" xfId="1" applyNumberFormat="1" applyFont="1" applyFill="1" applyBorder="1" applyAlignment="1" applyProtection="1">
      <alignment horizontal="center"/>
    </xf>
    <xf numFmtId="3" fontId="14" fillId="0" borderId="6" xfId="0" applyNumberFormat="1" applyFont="1" applyBorder="1"/>
    <xf numFmtId="3" fontId="14" fillId="0" borderId="0" xfId="0" applyNumberFormat="1" applyFont="1"/>
    <xf numFmtId="0" fontId="7" fillId="0" borderId="0" xfId="3" applyFont="1" applyBorder="1"/>
    <xf numFmtId="1" fontId="7" fillId="0" borderId="0" xfId="3" applyNumberFormat="1" applyFont="1"/>
    <xf numFmtId="0" fontId="7" fillId="0" borderId="6" xfId="3" applyFont="1" applyBorder="1"/>
    <xf numFmtId="0" fontId="7" fillId="0" borderId="0" xfId="3" applyNumberFormat="1" applyFont="1" applyBorder="1"/>
    <xf numFmtId="0" fontId="7" fillId="0" borderId="6" xfId="3" applyNumberFormat="1" applyFont="1" applyBorder="1"/>
    <xf numFmtId="164" fontId="7" fillId="0" borderId="6" xfId="0" applyFont="1" applyBorder="1"/>
    <xf numFmtId="0" fontId="7" fillId="0" borderId="6" xfId="0" applyNumberFormat="1" applyFont="1" applyBorder="1"/>
    <xf numFmtId="0" fontId="7" fillId="0" borderId="0" xfId="0" applyNumberFormat="1" applyFont="1"/>
    <xf numFmtId="49" fontId="7" fillId="12" borderId="0" xfId="4" applyNumberFormat="1" applyFont="1" applyFill="1" applyBorder="1" applyAlignment="1">
      <alignment horizontal="left"/>
    </xf>
    <xf numFmtId="3" fontId="7" fillId="12" borderId="0" xfId="8" applyFont="1" applyFill="1" applyBorder="1" applyAlignment="1" applyProtection="1"/>
    <xf numFmtId="164" fontId="28" fillId="4" borderId="0" xfId="4" applyFont="1" applyFill="1" applyBorder="1"/>
    <xf numFmtId="49" fontId="7" fillId="4" borderId="0" xfId="4" applyNumberFormat="1" applyFont="1" applyFill="1" applyBorder="1" applyAlignment="1">
      <alignment horizontal="center"/>
    </xf>
    <xf numFmtId="1" fontId="28" fillId="4" borderId="0" xfId="4" applyNumberFormat="1" applyFont="1" applyFill="1" applyBorder="1" applyAlignment="1">
      <alignment horizontal="center"/>
    </xf>
    <xf numFmtId="164" fontId="7" fillId="4" borderId="0" xfId="4" applyFont="1" applyFill="1" applyBorder="1" applyAlignment="1"/>
    <xf numFmtId="49" fontId="28" fillId="18" borderId="0" xfId="4" applyNumberFormat="1" applyFont="1" applyFill="1" applyBorder="1" applyAlignment="1">
      <alignment horizontal="left"/>
    </xf>
    <xf numFmtId="49" fontId="7" fillId="18" borderId="0" xfId="4" applyNumberFormat="1" applyFont="1" applyFill="1" applyBorder="1" applyAlignment="1">
      <alignment horizontal="center"/>
    </xf>
    <xf numFmtId="1" fontId="28" fillId="18" borderId="0" xfId="4" applyNumberFormat="1" applyFont="1" applyFill="1" applyBorder="1" applyAlignment="1">
      <alignment horizontal="center"/>
    </xf>
    <xf numFmtId="3" fontId="7" fillId="20" borderId="0" xfId="8" applyFont="1" applyFill="1" applyBorder="1" applyAlignment="1" applyProtection="1"/>
    <xf numFmtId="49" fontId="7" fillId="9" borderId="0" xfId="4" applyNumberFormat="1" applyFont="1" applyFill="1" applyBorder="1" applyAlignment="1">
      <alignment horizontal="left"/>
    </xf>
    <xf numFmtId="3" fontId="28" fillId="9" borderId="0" xfId="8" applyFont="1" applyFill="1" applyBorder="1" applyAlignment="1" applyProtection="1"/>
    <xf numFmtId="49" fontId="7" fillId="9" borderId="0" xfId="8" applyNumberFormat="1" applyFont="1" applyFill="1" applyBorder="1" applyAlignment="1" applyProtection="1">
      <alignment horizontal="center"/>
    </xf>
    <xf numFmtId="1" fontId="28" fillId="10" borderId="0" xfId="11" applyNumberFormat="1" applyFont="1" applyFill="1" applyBorder="1" applyAlignment="1" applyProtection="1">
      <alignment horizontal="center"/>
    </xf>
    <xf numFmtId="3" fontId="7" fillId="9" borderId="0" xfId="8" applyFont="1" applyFill="1" applyBorder="1" applyAlignment="1" applyProtection="1"/>
    <xf numFmtId="164" fontId="7" fillId="9" borderId="0" xfId="4" applyFont="1" applyFill="1" applyBorder="1" applyAlignment="1"/>
    <xf numFmtId="3" fontId="7" fillId="12" borderId="0" xfId="8" applyFont="1" applyFill="1" applyBorder="1" applyAlignment="1"/>
    <xf numFmtId="49" fontId="28" fillId="4" borderId="0" xfId="5" applyNumberFormat="1" applyFont="1" applyFill="1" applyBorder="1" applyAlignment="1">
      <alignment horizontal="left"/>
    </xf>
    <xf numFmtId="49" fontId="7" fillId="4" borderId="0" xfId="5" applyNumberFormat="1" applyFont="1" applyFill="1" applyBorder="1" applyAlignment="1">
      <alignment horizontal="center"/>
    </xf>
    <xf numFmtId="3" fontId="28" fillId="4" borderId="0" xfId="8" applyFont="1" applyFill="1" applyBorder="1"/>
    <xf numFmtId="49" fontId="7" fillId="4" borderId="0" xfId="8" applyNumberFormat="1" applyFont="1" applyFill="1" applyBorder="1" applyAlignment="1">
      <alignment horizontal="center"/>
    </xf>
    <xf numFmtId="1" fontId="28" fillId="22" borderId="0" xfId="11" applyNumberFormat="1" applyFont="1" applyFill="1" applyBorder="1" applyAlignment="1" applyProtection="1">
      <alignment horizontal="center"/>
    </xf>
    <xf numFmtId="49" fontId="7" fillId="16" borderId="0" xfId="5" applyNumberFormat="1" applyFont="1" applyFill="1" applyBorder="1" applyAlignment="1">
      <alignment horizontal="center"/>
    </xf>
    <xf numFmtId="3" fontId="7" fillId="16" borderId="0" xfId="8" applyFont="1" applyFill="1" applyBorder="1" applyAlignment="1"/>
    <xf numFmtId="49" fontId="28" fillId="13" borderId="0" xfId="5" applyNumberFormat="1" applyFont="1" applyFill="1" applyBorder="1" applyAlignment="1">
      <alignment horizontal="left"/>
    </xf>
    <xf numFmtId="49" fontId="7" fillId="13" borderId="0" xfId="5" applyNumberFormat="1" applyFont="1" applyFill="1" applyBorder="1" applyAlignment="1">
      <alignment horizontal="center"/>
    </xf>
    <xf numFmtId="1" fontId="28" fillId="13" borderId="0" xfId="4" applyNumberFormat="1" applyFont="1" applyFill="1" applyBorder="1" applyAlignment="1">
      <alignment horizontal="center"/>
    </xf>
    <xf numFmtId="164" fontId="7" fillId="13" borderId="0" xfId="5" applyFont="1" applyFill="1" applyBorder="1"/>
    <xf numFmtId="3" fontId="7" fillId="20" borderId="0" xfId="8" applyFont="1" applyFill="1" applyBorder="1" applyAlignment="1"/>
    <xf numFmtId="49" fontId="7" fillId="5" borderId="0" xfId="5" applyNumberFormat="1" applyFont="1" applyFill="1" applyBorder="1" applyAlignment="1">
      <alignment horizontal="left"/>
    </xf>
    <xf numFmtId="3" fontId="7" fillId="9" borderId="0" xfId="8" applyFont="1" applyFill="1" applyBorder="1" applyAlignment="1"/>
    <xf numFmtId="3" fontId="28" fillId="9" borderId="0" xfId="8" applyFont="1" applyFill="1" applyBorder="1" applyAlignment="1"/>
    <xf numFmtId="49" fontId="7" fillId="9" borderId="0" xfId="8" applyNumberFormat="1" applyFont="1" applyFill="1" applyBorder="1" applyAlignment="1">
      <alignment horizontal="center"/>
    </xf>
    <xf numFmtId="3" fontId="28" fillId="12" borderId="0" xfId="8" applyFont="1" applyFill="1" applyBorder="1" applyAlignment="1"/>
    <xf numFmtId="49" fontId="7" fillId="12" borderId="0" xfId="8" applyNumberFormat="1" applyFont="1" applyFill="1" applyBorder="1" applyAlignment="1">
      <alignment horizontal="center"/>
    </xf>
    <xf numFmtId="1" fontId="28" fillId="11" borderId="0" xfId="11" applyNumberFormat="1" applyFont="1" applyFill="1" applyBorder="1" applyAlignment="1" applyProtection="1">
      <alignment horizontal="center"/>
    </xf>
    <xf numFmtId="164" fontId="7" fillId="4" borderId="0" xfId="5" applyFont="1" applyFill="1" applyBorder="1"/>
    <xf numFmtId="49" fontId="28" fillId="18" borderId="0" xfId="5" applyNumberFormat="1" applyFont="1" applyFill="1" applyBorder="1" applyAlignment="1">
      <alignment horizontal="left"/>
    </xf>
    <xf numFmtId="49" fontId="7" fillId="18" borderId="0" xfId="5" applyNumberFormat="1" applyFont="1" applyFill="1" applyBorder="1" applyAlignment="1">
      <alignment horizontal="center"/>
    </xf>
    <xf numFmtId="0" fontId="28" fillId="18" borderId="0" xfId="4" applyNumberFormat="1" applyFont="1" applyFill="1" applyBorder="1" applyAlignment="1">
      <alignment horizontal="center"/>
    </xf>
    <xf numFmtId="3" fontId="7" fillId="18" borderId="0" xfId="8" applyFont="1" applyFill="1" applyBorder="1" applyAlignment="1"/>
    <xf numFmtId="49" fontId="28" fillId="20" borderId="0" xfId="5" applyNumberFormat="1" applyFont="1" applyFill="1" applyBorder="1" applyAlignment="1">
      <alignment horizontal="left"/>
    </xf>
    <xf numFmtId="49" fontId="7" fillId="20" borderId="0" xfId="5" applyNumberFormat="1" applyFont="1" applyFill="1" applyBorder="1" applyAlignment="1">
      <alignment horizontal="center"/>
    </xf>
    <xf numFmtId="1" fontId="28" fillId="20" borderId="0" xfId="4" applyNumberFormat="1" applyFont="1" applyFill="1" applyBorder="1" applyAlignment="1">
      <alignment horizontal="center"/>
    </xf>
    <xf numFmtId="164" fontId="28" fillId="20" borderId="0" xfId="5" applyFont="1" applyFill="1" applyBorder="1"/>
    <xf numFmtId="49" fontId="7" fillId="5" borderId="0" xfId="10" applyNumberFormat="1" applyFont="1" applyFill="1" applyBorder="1" applyAlignment="1" applyProtection="1">
      <alignment horizontal="left"/>
    </xf>
    <xf numFmtId="164" fontId="7" fillId="5" borderId="0" xfId="5" applyFont="1" applyFill="1" applyBorder="1"/>
    <xf numFmtId="3" fontId="28" fillId="20" borderId="0" xfId="8" applyFont="1" applyFill="1" applyBorder="1" applyAlignment="1" applyProtection="1"/>
    <xf numFmtId="49" fontId="7" fillId="20" borderId="0" xfId="8" applyNumberFormat="1" applyFont="1" applyFill="1" applyBorder="1" applyAlignment="1" applyProtection="1">
      <alignment horizontal="center"/>
    </xf>
    <xf numFmtId="1" fontId="28" fillId="21" borderId="0" xfId="11" applyNumberFormat="1" applyFont="1" applyFill="1" applyBorder="1" applyAlignment="1" applyProtection="1">
      <alignment horizontal="center"/>
    </xf>
    <xf numFmtId="1" fontId="7" fillId="11" borderId="0" xfId="1" applyNumberFormat="1" applyFont="1" applyFill="1" applyBorder="1" applyAlignment="1" applyProtection="1">
      <alignment horizontal="center"/>
    </xf>
    <xf numFmtId="1" fontId="7" fillId="4" borderId="0" xfId="1" applyNumberFormat="1" applyFont="1" applyFill="1" applyBorder="1" applyAlignment="1">
      <alignment horizontal="center"/>
    </xf>
    <xf numFmtId="1" fontId="7" fillId="22" borderId="0" xfId="1" applyNumberFormat="1" applyFont="1" applyFill="1" applyBorder="1" applyAlignment="1" applyProtection="1">
      <alignment horizontal="center"/>
    </xf>
    <xf numFmtId="3" fontId="7" fillId="25" borderId="36" xfId="1" applyNumberFormat="1" applyFont="1" applyFill="1" applyBorder="1" applyAlignment="1">
      <alignment horizontal="right"/>
    </xf>
    <xf numFmtId="3" fontId="19" fillId="25" borderId="6" xfId="0" applyNumberFormat="1" applyFont="1" applyFill="1" applyBorder="1" applyAlignment="1">
      <alignment horizontal="right"/>
    </xf>
    <xf numFmtId="49" fontId="7" fillId="13" borderId="0" xfId="9" applyNumberFormat="1" applyFont="1" applyFill="1" applyBorder="1" applyAlignment="1">
      <alignment horizontal="left"/>
    </xf>
    <xf numFmtId="3" fontId="19" fillId="26" borderId="0" xfId="0" applyNumberFormat="1" applyFont="1" applyFill="1" applyBorder="1" applyAlignment="1">
      <alignment horizontal="right"/>
    </xf>
    <xf numFmtId="164" fontId="7" fillId="0" borderId="25" xfId="0" applyNumberFormat="1" applyFont="1" applyBorder="1"/>
    <xf numFmtId="164" fontId="7" fillId="0" borderId="14" xfId="0" applyNumberFormat="1" applyFont="1" applyBorder="1"/>
    <xf numFmtId="164" fontId="7" fillId="0" borderId="30" xfId="0" applyNumberFormat="1" applyFont="1" applyBorder="1"/>
    <xf numFmtId="164" fontId="7" fillId="0" borderId="27" xfId="0" applyNumberFormat="1" applyFont="1" applyBorder="1"/>
    <xf numFmtId="164" fontId="7" fillId="0" borderId="3" xfId="0" applyNumberFormat="1" applyFont="1" applyBorder="1"/>
    <xf numFmtId="164" fontId="7" fillId="0" borderId="34" xfId="0" applyNumberFormat="1" applyFont="1" applyBorder="1"/>
    <xf numFmtId="166" fontId="7" fillId="0" borderId="14" xfId="0" applyNumberFormat="1" applyFont="1" applyBorder="1"/>
    <xf numFmtId="166" fontId="7" fillId="0" borderId="0" xfId="0" applyNumberFormat="1" applyFont="1"/>
    <xf numFmtId="166" fontId="7" fillId="0" borderId="30" xfId="0" applyNumberFormat="1" applyFont="1" applyBorder="1"/>
    <xf numFmtId="164" fontId="5" fillId="0" borderId="14" xfId="0" applyFont="1" applyBorder="1" applyAlignment="1">
      <alignment horizontal="right"/>
    </xf>
    <xf numFmtId="170" fontId="5" fillId="0" borderId="14" xfId="0" applyNumberFormat="1" applyFont="1" applyBorder="1" applyAlignment="1">
      <alignment horizontal="right"/>
    </xf>
    <xf numFmtId="170" fontId="5" fillId="0" borderId="0" xfId="0" applyNumberFormat="1" applyFont="1" applyAlignment="1">
      <alignment horizontal="right"/>
    </xf>
    <xf numFmtId="170" fontId="5" fillId="0" borderId="30" xfId="0" applyNumberFormat="1" applyFont="1" applyBorder="1" applyAlignment="1">
      <alignment horizontal="right"/>
    </xf>
    <xf numFmtId="164" fontId="5" fillId="0" borderId="15" xfId="0" applyNumberFormat="1" applyFont="1" applyBorder="1" applyAlignment="1">
      <alignment horizontal="right"/>
    </xf>
    <xf numFmtId="164" fontId="5" fillId="0" borderId="2" xfId="0" applyNumberFormat="1" applyFont="1" applyBorder="1" applyAlignment="1">
      <alignment horizontal="right"/>
    </xf>
    <xf numFmtId="164" fontId="5" fillId="0" borderId="25" xfId="0" applyNumberFormat="1" applyFont="1" applyBorder="1" applyAlignment="1">
      <alignment horizontal="right"/>
    </xf>
    <xf numFmtId="164" fontId="20" fillId="0" borderId="0" xfId="0" applyFont="1" applyBorder="1"/>
    <xf numFmtId="164" fontId="7" fillId="0" borderId="2" xfId="0" applyFont="1" applyBorder="1"/>
    <xf numFmtId="164" fontId="7" fillId="0" borderId="37" xfId="0" applyFont="1" applyBorder="1"/>
    <xf numFmtId="164" fontId="7" fillId="0" borderId="3" xfId="0" applyFont="1" applyBorder="1"/>
    <xf numFmtId="164" fontId="5" fillId="0" borderId="0" xfId="0" applyFont="1" applyBorder="1"/>
    <xf numFmtId="164" fontId="7" fillId="0" borderId="0" xfId="0" applyFont="1" applyBorder="1"/>
    <xf numFmtId="166" fontId="7" fillId="0" borderId="0" xfId="0" applyNumberFormat="1" applyFont="1" applyBorder="1"/>
    <xf numFmtId="164" fontId="7" fillId="0" borderId="38" xfId="0" applyFont="1" applyBorder="1"/>
    <xf numFmtId="164" fontId="5" fillId="0" borderId="29" xfId="0" applyFont="1" applyBorder="1" applyAlignment="1">
      <alignment horizontal="right"/>
    </xf>
    <xf numFmtId="170" fontId="5" fillId="0" borderId="29" xfId="0" applyNumberFormat="1" applyFont="1" applyBorder="1" applyAlignment="1">
      <alignment horizontal="right"/>
    </xf>
    <xf numFmtId="170" fontId="5" fillId="0" borderId="4" xfId="0" applyNumberFormat="1" applyFont="1" applyBorder="1" applyAlignment="1">
      <alignment horizontal="right"/>
    </xf>
    <xf numFmtId="170" fontId="5" fillId="0" borderId="39" xfId="0" applyNumberFormat="1" applyFont="1" applyBorder="1" applyAlignment="1">
      <alignment horizontal="right"/>
    </xf>
    <xf numFmtId="164" fontId="7" fillId="0" borderId="40" xfId="0" applyFont="1" applyBorder="1"/>
    <xf numFmtId="164" fontId="7" fillId="0" borderId="0" xfId="0" applyNumberFormat="1" applyFont="1" applyBorder="1"/>
    <xf numFmtId="164" fontId="7" fillId="0" borderId="5" xfId="0" applyFont="1" applyBorder="1"/>
    <xf numFmtId="164" fontId="7" fillId="0" borderId="41" xfId="0" applyFont="1" applyBorder="1"/>
    <xf numFmtId="164" fontId="7" fillId="0" borderId="42" xfId="0" applyFont="1" applyBorder="1"/>
    <xf numFmtId="164" fontId="7" fillId="0" borderId="43" xfId="0" applyFont="1" applyBorder="1"/>
    <xf numFmtId="167" fontId="19" fillId="27" borderId="0" xfId="0" applyNumberFormat="1" applyFont="1" applyFill="1" applyBorder="1" applyAlignment="1">
      <alignment horizontal="right"/>
    </xf>
    <xf numFmtId="49" fontId="3" fillId="0" borderId="0" xfId="0" applyNumberFormat="1" applyFont="1" applyFill="1" applyAlignment="1">
      <alignment horizontal="right"/>
    </xf>
    <xf numFmtId="164" fontId="5" fillId="0" borderId="15" xfId="0" applyFont="1" applyBorder="1"/>
    <xf numFmtId="164" fontId="5" fillId="0" borderId="16" xfId="0" applyFont="1" applyBorder="1"/>
    <xf numFmtId="164" fontId="7" fillId="0" borderId="15" xfId="0" pivotButton="1" applyFont="1" applyBorder="1"/>
    <xf numFmtId="164" fontId="7" fillId="0" borderId="16" xfId="0" pivotButton="1" applyFont="1" applyBorder="1"/>
    <xf numFmtId="164" fontId="5" fillId="0" borderId="17" xfId="0" applyFont="1" applyBorder="1"/>
    <xf numFmtId="164" fontId="5" fillId="0" borderId="18" xfId="0" applyFont="1" applyBorder="1"/>
    <xf numFmtId="164" fontId="7" fillId="0" borderId="25" xfId="0" applyFont="1" applyBorder="1"/>
    <xf numFmtId="164" fontId="5" fillId="0" borderId="15" xfId="0" pivotButton="1" applyFont="1" applyBorder="1"/>
    <xf numFmtId="164" fontId="7" fillId="0" borderId="0" xfId="0" applyNumberFormat="1" applyFont="1"/>
    <xf numFmtId="164" fontId="5" fillId="0" borderId="14" xfId="0" applyNumberFormat="1" applyFont="1" applyBorder="1"/>
    <xf numFmtId="164" fontId="5" fillId="0" borderId="0" xfId="0" applyNumberFormat="1" applyFont="1"/>
    <xf numFmtId="164" fontId="7" fillId="0" borderId="27" xfId="0" applyFont="1" applyBorder="1"/>
    <xf numFmtId="166" fontId="5" fillId="0" borderId="30" xfId="0" applyNumberFormat="1" applyFont="1" applyBorder="1"/>
    <xf numFmtId="166" fontId="7" fillId="0" borderId="34" xfId="0" applyNumberFormat="1" applyFont="1" applyBorder="1"/>
    <xf numFmtId="164" fontId="3" fillId="0" borderId="5" xfId="0" applyFont="1" applyBorder="1" applyAlignment="1" applyProtection="1">
      <alignment wrapText="1"/>
    </xf>
    <xf numFmtId="164" fontId="3" fillId="0" borderId="5" xfId="0" applyFont="1" applyBorder="1" applyAlignment="1">
      <alignment wrapText="1"/>
    </xf>
    <xf numFmtId="164" fontId="4" fillId="0" borderId="0" xfId="0" applyFont="1" applyAlignment="1" applyProtection="1">
      <alignment horizontal="center"/>
    </xf>
    <xf numFmtId="164" fontId="6" fillId="0" borderId="0" xfId="0" applyFont="1" applyAlignment="1" applyProtection="1">
      <alignment horizontal="center"/>
    </xf>
    <xf numFmtId="164" fontId="3" fillId="0" borderId="0" xfId="0" applyFont="1" applyAlignment="1" applyProtection="1">
      <alignment wrapText="1"/>
    </xf>
    <xf numFmtId="164" fontId="15" fillId="0" borderId="0" xfId="0" applyFont="1" applyAlignment="1">
      <alignment wrapText="1"/>
    </xf>
    <xf numFmtId="164" fontId="3" fillId="0" borderId="0" xfId="0" applyFont="1" applyAlignment="1" applyProtection="1">
      <alignment horizontal="left" wrapText="1"/>
    </xf>
    <xf numFmtId="164" fontId="0" fillId="0" borderId="0" xfId="0" applyAlignment="1">
      <alignment wrapText="1"/>
    </xf>
    <xf numFmtId="164" fontId="15" fillId="0" borderId="5" xfId="0" applyFont="1" applyBorder="1" applyAlignment="1">
      <alignment wrapText="1"/>
    </xf>
    <xf numFmtId="164" fontId="0" fillId="0" borderId="5" xfId="0" applyBorder="1" applyAlignment="1"/>
    <xf numFmtId="164" fontId="3" fillId="0" borderId="0" xfId="0" applyFont="1" applyBorder="1" applyAlignment="1" applyProtection="1">
      <alignment horizontal="left" wrapText="1"/>
    </xf>
  </cellXfs>
  <cellStyles count="13">
    <cellStyle name="Comma" xfId="1" builtinId="3"/>
    <cellStyle name="Normal" xfId="0" builtinId="0"/>
    <cellStyle name="Normal 2" xfId="2"/>
    <cellStyle name="Normal_9 Faculty Salary Data" xfId="3"/>
    <cellStyle name="Normal_Degree02 Form" xfId="4"/>
    <cellStyle name="Normal_Degrees02 Form" xfId="5"/>
    <cellStyle name="Normal_Degrees02 Form 2" xfId="6"/>
    <cellStyle name="Normal_LA_BOR09 final" xfId="7"/>
    <cellStyle name="Normal_SCH&amp;FTE02 Form" xfId="8"/>
    <cellStyle name="Normal_SCH&amp;FTE03 Form" xfId="9"/>
    <cellStyle name="Normal_StProg01B" xfId="10"/>
    <cellStyle name="Normal_StProg02 Form" xfId="11"/>
    <cellStyle name="Percent" xfId="12" builtinId="5"/>
  </cellStyles>
  <dxfs count="331">
    <dxf>
      <border>
        <left/>
        <right/>
      </border>
    </dxf>
    <dxf>
      <font>
        <sz val="10"/>
        <name val="Arial"/>
        <scheme val="none"/>
      </font>
      <numFmt numFmtId="166" formatCode="_(* #,##0_);_(* \(#,##0\);_(* &quot;-&quot;??_);_(@_)"/>
    </dxf>
    <dxf>
      <font>
        <sz val="10"/>
        <name val="Arial"/>
        <scheme val="none"/>
      </font>
      <numFmt numFmtId="166" formatCode="_(* #,##0_);_(* \(#,##0\);_(* &quot;-&quot;??_);_(@_)"/>
    </dxf>
    <dxf>
      <font>
        <sz val="10"/>
      </font>
    </dxf>
    <dxf>
      <font>
        <name val="Arial"/>
        <scheme val="none"/>
      </font>
    </dxf>
    <dxf>
      <font>
        <b/>
      </font>
    </dxf>
    <dxf>
      <font>
        <b/>
      </font>
    </dxf>
    <dxf>
      <font>
        <b/>
      </font>
    </dxf>
    <dxf>
      <font>
        <b/>
      </font>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marks" refreshedDate="40364.507807986112" createdVersion="3" refreshedVersion="3" recordCount="710">
  <cacheSource type="worksheet">
    <worksheetSource ref="A7:BX717" sheet="Faculty Salary Data"/>
  </cacheSource>
  <cacheFields count="108">
    <cacheField name="State" numFmtId="49">
      <sharedItems containsBlank="1" count="17">
        <s v="AL"/>
        <s v="AR"/>
        <s v="DE"/>
        <s v="FL"/>
        <s v="GA"/>
        <s v="KY"/>
        <s v="LA"/>
        <s v="MD"/>
        <s v="MS"/>
        <s v="NC"/>
        <s v="OK"/>
        <s v="SC"/>
        <s v="TN"/>
        <s v="TX"/>
        <s v="VA"/>
        <s v="WV"/>
        <m u="1"/>
      </sharedItems>
    </cacheField>
    <cacheField name="Institution" numFmtId="0">
      <sharedItems/>
    </cacheField>
    <cacheField name="ID #" numFmtId="49">
      <sharedItems containsBlank="1" containsMixedTypes="1" containsNumber="1" containsInteger="1" minValue="100654" maxValue="447582"/>
    </cacheField>
    <cacheField name="Category" numFmtId="0">
      <sharedItems containsSemiMixedTypes="0" containsString="0" containsNumber="1" containsInteger="1" minValue="1" maxValue="15" count="15">
        <n v="1"/>
        <n v="2"/>
        <n v="3"/>
        <n v="4"/>
        <n v="5"/>
        <n v="6"/>
        <n v="8"/>
        <n v="9"/>
        <n v="10"/>
        <n v="12"/>
        <n v="13"/>
        <n v="7"/>
        <n v="14"/>
        <n v="11"/>
        <n v="15" u="1"/>
      </sharedItems>
      <fieldGroup par="102"/>
    </cacheField>
    <cacheField name="Old # Prof9" numFmtId="3">
      <sharedItems containsString="0" containsBlank="1" containsNumber="1" containsInteger="1" minValue="0" maxValue="976"/>
    </cacheField>
    <cacheField name="Old Sal Prof9" numFmtId="3">
      <sharedItems containsString="0" containsBlank="1" containsNumber="1" minValue="0" maxValue="137585"/>
    </cacheField>
    <cacheField name="Old * Prof9" numFmtId="3">
      <sharedItems containsSemiMixedTypes="0" containsString="0" containsNumber="1" minValue="0" maxValue="122993568"/>
    </cacheField>
    <cacheField name="New # Prof9" numFmtId="0">
      <sharedItems containsString="0" containsBlank="1" containsNumber="1" containsInteger="1" minValue="0" maxValue="968"/>
    </cacheField>
    <cacheField name="New Sal Prof9" numFmtId="0">
      <sharedItems containsString="0" containsBlank="1" containsNumber="1" minValue="0" maxValue="143236"/>
    </cacheField>
    <cacheField name="New*Prof9" numFmtId="3">
      <sharedItems containsSemiMixedTypes="0" containsString="0" containsNumber="1" minValue="0" maxValue="128021254.00000001"/>
    </cacheField>
    <cacheField name="Old # Asc9" numFmtId="3">
      <sharedItems containsString="0" containsBlank="1" containsNumber="1" containsInteger="1" minValue="0" maxValue="615"/>
    </cacheField>
    <cacheField name="Old Sal Asc9" numFmtId="3">
      <sharedItems containsString="0" containsBlank="1" containsNumber="1" minValue="0" maxValue="99214"/>
    </cacheField>
    <cacheField name="Old*Asc9" numFmtId="3">
      <sharedItems containsSemiMixedTypes="0" containsString="0" containsNumber="1" minValue="0" maxValue="36814857"/>
    </cacheField>
    <cacheField name="New # Asc9" numFmtId="0">
      <sharedItems containsString="0" containsBlank="1" containsNumber="1" containsInteger="1" minValue="0" maxValue="575"/>
    </cacheField>
    <cacheField name="New Sal Asc9" numFmtId="0">
      <sharedItems containsString="0" containsBlank="1" containsNumber="1" minValue="0" maxValue="103830"/>
    </cacheField>
    <cacheField name="New*Asc9" numFmtId="3">
      <sharedItems containsSemiMixedTypes="0" containsString="0" containsNumber="1" minValue="0" maxValue="45084538.999999993"/>
    </cacheField>
    <cacheField name="Old # Ast9" numFmtId="3">
      <sharedItems containsString="0" containsBlank="1" containsNumber="1" containsInteger="1" minValue="0" maxValue="643"/>
    </cacheField>
    <cacheField name="Old Sal Ast9" numFmtId="3">
      <sharedItems containsString="0" containsBlank="1" containsNumber="1" minValue="0" maxValue="88366"/>
    </cacheField>
    <cacheField name="Old*Ast9" numFmtId="3">
      <sharedItems containsSemiMixedTypes="0" containsString="0" containsNumber="1" minValue="0" maxValue="38915478"/>
    </cacheField>
    <cacheField name="New # Ast9" numFmtId="0">
      <sharedItems containsString="0" containsBlank="1" containsNumber="1" minValue="0" maxValue="664"/>
    </cacheField>
    <cacheField name="New Sal Ast9" numFmtId="0">
      <sharedItems containsString="0" containsBlank="1" containsNumber="1" minValue="0" maxValue="91258"/>
    </cacheField>
    <cacheField name="New*Ast9" numFmtId="3">
      <sharedItems containsSemiMixedTypes="0" containsString="0" containsNumber="1" minValue="0" maxValue="45398525"/>
    </cacheField>
    <cacheField name="Old # Inst9" numFmtId="3">
      <sharedItems containsString="0" containsBlank="1" containsNumber="1" containsInteger="1" minValue="0" maxValue="530"/>
    </cacheField>
    <cacheField name="Old Sal Inst9" numFmtId="3">
      <sharedItems containsString="0" containsBlank="1" containsNumber="1" minValue="0" maxValue="122271"/>
    </cacheField>
    <cacheField name="Old*Inst9" numFmtId="3">
      <sharedItems containsString="0" containsBlank="1" containsNumber="1" minValue="0" maxValue="26060630"/>
    </cacheField>
    <cacheField name="New # Inst9" numFmtId="0">
      <sharedItems containsString="0" containsBlank="1" containsNumber="1" containsInteger="1" minValue="0" maxValue="526"/>
    </cacheField>
    <cacheField name="New Sal Inst9" numFmtId="0">
      <sharedItems containsString="0" containsBlank="1" containsNumber="1" minValue="0" maxValue="131545"/>
    </cacheField>
    <cacheField name="New*Inst9" numFmtId="3">
      <sharedItems containsString="0" containsBlank="1" containsNumber="1" minValue="0" maxValue="27301214"/>
    </cacheField>
    <cacheField name="Old # Undsg9" numFmtId="3">
      <sharedItems containsString="0" containsBlank="1" containsNumber="1" containsInteger="1" minValue="0" maxValue="561"/>
    </cacheField>
    <cacheField name="Old Sal Undsg9" numFmtId="3">
      <sharedItems containsString="0" containsBlank="1" containsNumber="1" minValue="0" maxValue="146760"/>
    </cacheField>
    <cacheField name="Old*Undsg9" numFmtId="3">
      <sharedItems containsSemiMixedTypes="0" containsString="0" containsNumber="1" minValue="0" maxValue="30493155"/>
    </cacheField>
    <cacheField name="New # Undsg9" numFmtId="0">
      <sharedItems containsString="0" containsBlank="1" containsNumber="1" containsInteger="1" minValue="0" maxValue="596"/>
    </cacheField>
    <cacheField name="New Sal Undsg9" numFmtId="0">
      <sharedItems containsString="0" containsBlank="1" containsNumber="1" minValue="0" maxValue="98586.666666666672"/>
    </cacheField>
    <cacheField name="Nrw*Undsg9" numFmtId="3">
      <sharedItems containsSemiMixedTypes="0" containsString="0" containsNumber="1" minValue="0" maxValue="34000711"/>
    </cacheField>
    <cacheField name="Old # SR9" numFmtId="3">
      <sharedItems containsString="0" containsBlank="1" containsNumber="1" minValue="0" maxValue="701"/>
    </cacheField>
    <cacheField name="Old Sal SR9" numFmtId="3">
      <sharedItems containsString="0" containsBlank="1" containsNumber="1" minValue="0" maxValue="64253"/>
    </cacheField>
    <cacheField name="Old*SR9" numFmtId="3">
      <sharedItems containsString="0" containsBlank="1" containsNumber="1" minValue="0" maxValue="41900172"/>
    </cacheField>
    <cacheField name="New # SR9" numFmtId="0">
      <sharedItems containsString="0" containsBlank="1" containsNumber="1" minValue="0" maxValue="689"/>
    </cacheField>
    <cacheField name="New Sal SR9" numFmtId="0">
      <sharedItems containsString="0" containsBlank="1" containsNumber="1" minValue="0" maxValue="64835.095890410958"/>
    </cacheField>
    <cacheField name="New*SR9" numFmtId="3">
      <sharedItems containsString="0" containsBlank="1" containsNumber="1" minValue="0" maxValue="41494336"/>
    </cacheField>
    <cacheField name="Old # Prof11" numFmtId="3">
      <sharedItems containsString="0" containsBlank="1" containsNumber="1" containsInteger="1" minValue="0" maxValue="352"/>
    </cacheField>
    <cacheField name="Old Sal Prof11" numFmtId="3">
      <sharedItems containsString="0" containsBlank="1" containsNumber="1" minValue="0" maxValue="201817"/>
    </cacheField>
    <cacheField name="Old * Prof11" numFmtId="3">
      <sharedItems containsSemiMixedTypes="0" containsString="0" containsNumber="1" minValue="0" maxValue="34593580.274599999"/>
    </cacheField>
    <cacheField name="New # Prof11" numFmtId="0">
      <sharedItems containsString="0" containsBlank="1" containsNumber="1" containsInteger="1" minValue="0" maxValue="295"/>
    </cacheField>
    <cacheField name="New Sal Prof11" numFmtId="0">
      <sharedItems containsString="0" containsBlank="1" containsNumber="1" minValue="0" maxValue="211736"/>
    </cacheField>
    <cacheField name="New*Prof11" numFmtId="3">
      <sharedItems containsSemiMixedTypes="0" containsString="0" containsNumber="1" minValue="0" maxValue="37462028.2892"/>
    </cacheField>
    <cacheField name="Old # Asc11" numFmtId="3">
      <sharedItems containsString="0" containsBlank="1" containsNumber="1" containsInteger="1" minValue="0" maxValue="267"/>
    </cacheField>
    <cacheField name="Old Sal Asc11" numFmtId="3">
      <sharedItems containsString="0" containsBlank="1" containsNumber="1" minValue="0" maxValue="127953"/>
    </cacheField>
    <cacheField name="Old*Asc11" numFmtId="3">
      <sharedItems containsSemiMixedTypes="0" containsString="0" containsNumber="1" minValue="0" maxValue="16718042.503800001"/>
    </cacheField>
    <cacheField name="New # Asc11" numFmtId="0">
      <sharedItems containsString="0" containsBlank="1" containsNumber="1" containsInteger="1" minValue="0" maxValue="155"/>
    </cacheField>
    <cacheField name="New Sal Asc11" numFmtId="0">
      <sharedItems containsString="0" containsBlank="1" containsNumber="1" minValue="0" maxValue="142176"/>
    </cacheField>
    <cacheField name="New*Asc11" numFmtId="3">
      <sharedItems containsSemiMixedTypes="0" containsString="0" containsNumber="1" minValue="0" maxValue="11583123.108834002"/>
    </cacheField>
    <cacheField name="Old # Ast11" numFmtId="3">
      <sharedItems containsString="0" containsBlank="1" containsNumber="1" containsInteger="1" minValue="0" maxValue="189"/>
    </cacheField>
    <cacheField name="Old Sal Ast11" numFmtId="3">
      <sharedItems containsString="0" containsBlank="1" containsNumber="1" minValue="0" maxValue="110410.5"/>
    </cacheField>
    <cacheField name="Old*Ast11" numFmtId="3">
      <sharedItems containsSemiMixedTypes="0" containsString="0" containsNumber="1" minValue="0" maxValue="10953512.980536001"/>
    </cacheField>
    <cacheField name="New # Ast11" numFmtId="0">
      <sharedItems containsString="0" containsBlank="1" containsNumber="1" containsInteger="1" minValue="0" maxValue="197"/>
    </cacheField>
    <cacheField name="New Sal Ast11" numFmtId="0">
      <sharedItems containsString="0" containsBlank="1" containsNumber="1" minValue="0" maxValue="163800"/>
    </cacheField>
    <cacheField name="New*Ast11" numFmtId="3">
      <sharedItems containsSemiMixedTypes="0" containsString="0" containsNumber="1" minValue="0" maxValue="11690809.650906002"/>
    </cacheField>
    <cacheField name="Old # Inst11" numFmtId="3">
      <sharedItems containsString="0" containsBlank="1" containsNumber="1" containsInteger="1" minValue="0" maxValue="291"/>
    </cacheField>
    <cacheField name="Old Sal Inst11" numFmtId="3">
      <sharedItems containsString="0" containsBlank="1" containsNumber="1" minValue="0" maxValue="123927"/>
    </cacheField>
    <cacheField name="Old*Inst11" numFmtId="3">
      <sharedItems containsString="0" containsBlank="1" containsNumber="1" minValue="0" maxValue="15900302.3322"/>
    </cacheField>
    <cacheField name="New # Inst11" numFmtId="0">
      <sharedItems containsString="0" containsBlank="1" containsNumber="1" containsInteger="1" minValue="0" maxValue="303"/>
    </cacheField>
    <cacheField name="New Sal Inst11" numFmtId="0">
      <sharedItems containsString="0" containsBlank="1" containsNumber="1" minValue="0" maxValue="115984"/>
    </cacheField>
    <cacheField name="New*Inst11" numFmtId="3">
      <sharedItems containsString="0" containsBlank="1" containsNumber="1" minValue="0" maxValue="17116827.4564"/>
    </cacheField>
    <cacheField name="Old # Undsg11" numFmtId="3">
      <sharedItems containsString="0" containsBlank="1" containsNumber="1" containsInteger="1" minValue="0" maxValue="92"/>
    </cacheField>
    <cacheField name="Old Sal Undsg11" numFmtId="3">
      <sharedItems containsString="0" containsBlank="1" containsNumber="1" minValue="0" maxValue="124169"/>
    </cacheField>
    <cacheField name="Old*Undsg11" numFmtId="3">
      <sharedItems containsSemiMixedTypes="0" containsString="0" containsNumber="1" minValue="0" maxValue="7602789.6743999999"/>
    </cacheField>
    <cacheField name="New # Undsg11" numFmtId="0">
      <sharedItems containsString="0" containsBlank="1" containsNumber="1" containsInteger="1" minValue="0" maxValue="111"/>
    </cacheField>
    <cacheField name="New Sal Undsg11" numFmtId="0">
      <sharedItems containsString="0" containsBlank="1" containsNumber="1" minValue="0" maxValue="146320"/>
    </cacheField>
    <cacheField name="Nrw*Undsg11" numFmtId="3">
      <sharedItems containsSemiMixedTypes="0" containsString="0" containsNumber="1" minValue="0" maxValue="9715672.5354000013"/>
    </cacheField>
    <cacheField name="Old # SR11" numFmtId="3">
      <sharedItems containsString="0" containsBlank="1" containsNumber="1" minValue="0" maxValue="406"/>
    </cacheField>
    <cacheField name="Old Sal SR11" numFmtId="3">
      <sharedItems containsString="0" containsBlank="1" containsNumber="1" minValue="0" maxValue="87083"/>
    </cacheField>
    <cacheField name="Old*SR11" numFmtId="3">
      <sharedItems containsString="0" containsBlank="1" containsNumber="1" minValue="0" maxValue="13226801.367169481"/>
    </cacheField>
    <cacheField name="New # SR11" numFmtId="0">
      <sharedItems containsString="0" containsBlank="1" containsNumber="1" minValue="0" maxValue="441"/>
    </cacheField>
    <cacheField name="New Sal SR11" numFmtId="0">
      <sharedItems containsString="0" containsBlank="1" containsNumber="1" minValue="0" maxValue="89824"/>
    </cacheField>
    <cacheField name="New*SR11" numFmtId="3">
      <sharedItems containsString="0" containsBlank="1" containsNumber="1" minValue="0" maxValue="14821096.14797328"/>
    </cacheField>
    <cacheField name="Tot # Single Rnk New" numFmtId="0" formula="'New # SR9'+'New # SR11'" databaseField="0"/>
    <cacheField name="All Ranks # New" numFmtId="0" formula="'Total # Prof New'+'Tot # Asc. Prof New'+'Tot # Ast. Prof New'+'Tot # Instr. New'+'Tot # Undes. New'+'Tot # Single Rnk New'" databaseField="0"/>
    <cacheField name="All Ranks # Old" numFmtId="0" formula=" ('Old # Prof9'+'Old # Prof11'+'Old # Asc9'+'Old # Asc11'+'Old # Ast9'+'Old # Ast11'+'Old # Inst9'+'Old # Inst11'+'Old # Undsg9'+'Old # Undsg11'+'Old # SR9'+'Old # SR11')" databaseField="0"/>
    <cacheField name="New Prof avg" numFmtId="0" formula="IF(('New # Prof11'+'New # Prof9')&gt;0, ('New*Prof9'+'New*Prof11')/('New # Prof11'+'New # Prof9'),0)" databaseField="0"/>
    <cacheField name="Old Prof avg" numFmtId="0" formula="IF(('Old # Prof11'+'Old # Prof9')&gt;0,('Old * Prof9'+'Old * Prof11')/('Old # Prof11'+'Old # Prof9'),0)" databaseField="0"/>
    <cacheField name="Old Asc. avg" numFmtId="0" formula="IF(('Old # Asc11'+'Old # Asc9')&gt;0,('Old*Asc9'+'Old*Asc11')/('Old # Asc11'+'Old # Asc9'),0)" databaseField="0"/>
    <cacheField name="New Asc. avg" numFmtId="0" formula="IF(('New # Asc9'+'New # Asc11')&gt;0,('New*Asc9'+'New*Asc11')/('New # Asc11'+'New # Asc9'),0)" databaseField="0"/>
    <cacheField name="Old Ast. avg" numFmtId="0" formula="IF(('Old # Ast11'+'Old # Ast9')&gt;0,('Old*Ast9'+'Old*Ast11')/('Old # Ast11'+'Old # Ast9'),0)" databaseField="0"/>
    <cacheField name="New Ast. avg" numFmtId="0" formula="IF(('New # Ast11'+'New # Ast9')&gt;0,('New*Ast9'+'New*Ast11')/('New # Ast11'+'New # Ast9'),0)" databaseField="0"/>
    <cacheField name="Old Inst. avg" numFmtId="0" formula="IF(('Old # Inst11'+'Old # Inst9')&gt;0,('Old*Inst9'+'Old*Inst11')/('Old # Inst11'+'Old # Inst9'),0)" databaseField="0"/>
    <cacheField name="New Inst. avg" numFmtId="0" formula="IF(('New # Inst11'+'New # Inst9')&gt;0,('New*Inst9'+'New*Inst11')/('New # Inst11'+'New # Inst9'),0)" databaseField="0"/>
    <cacheField name="Old Undesg. avg" numFmtId="0" formula="IF(('Old # Undsg11'+'Old # Undsg9')&gt;0,('Old*Undsg9'+'Old*Undsg11')/('Old # Undsg11'+'Old # Undsg9'),0)" databaseField="0"/>
    <cacheField name="New Undesg. avg" numFmtId="0" formula="IF(('New # Undsg11'+'New # Undsg9')&gt;0,('Nrw*Undsg9'+'Nrw*Undsg11')/('New # Undsg11'+'New # Undsg9'),0)" databaseField="0"/>
    <cacheField name="Old Single Rnk avg" numFmtId="0" formula="IF(('Old # SR11'+'Old # SR9')&gt;0,('Old*SR9'+'Old*SR11')/('Old # SR11'+'Old # SR9'),0)" databaseField="0"/>
    <cacheField name="New Single Rnk avg" numFmtId="0" formula="IF(('New # SR11'+'New # SR9')&gt;0,('New*SR9'+'New*SR11')/('New # SR11'+'New # SR9'),0)" databaseField="0"/>
    <cacheField name="Old All Ranks *" numFmtId="0" formula=" ('Old * Prof9'+'Old*Asc9'+'Old*Ast9'+'Old*Inst9'+'Old*Undsg9'+'Old*SR9')+('Old * Prof11'+'Old*Asc11'+'Old*Ast11'+'Old*Inst11'+'Old*Undsg11'+'Old*SR11')" databaseField="0"/>
    <cacheField name="Old All Ranks avg" numFmtId="0" formula="IF('All Ranks # Old'&gt;0,('Old All Ranks *'/'All Ranks # Old'),0)" databaseField="0"/>
    <cacheField name="New All Ranks *" numFmtId="0" formula="('New*Prof9'+'New*Asc9'+'New*Ast9'+'New*Inst9'+'Nrw*Undsg9'+'New*SR9'+'New*Prof11'+'New*Asc11'+'New*Ast11'+'New*Inst11'+'Nrw*Undsg11'+'New*SR11')" databaseField="0"/>
    <cacheField name="New All Ranks avg" numFmtId="0" formula="IF('All Ranks # New'&gt;0,('New All Ranks *'/'All Ranks # New'),0)" databaseField="0"/>
    <cacheField name="% change Prof" numFmtId="0" formula="IF('Old Prof avg'&gt;0,((('New Prof avg'-'Old Prof avg')/'Old Prof avg')*100),0)" databaseField="0"/>
    <cacheField name="% change Asc. Prof" numFmtId="0" formula="IF('Old Asc. avg'&gt;0,((('New Asc. avg'-'Old Asc. avg')/'Old Asc. avg')*100),0)" databaseField="0"/>
    <cacheField name="% change Ast. Prof" numFmtId="0" formula="IF('Old Ast. avg'&gt;0,((('New Ast. avg'-'Old Ast. avg')/'Old Ast. avg')*100),0)" databaseField="0"/>
    <cacheField name="% change Instr avg" numFmtId="0" formula="IF('Old Inst. avg'&gt;0,((('New Inst. avg'-'Old Inst. avg')/'Old Inst. avg')*100),0)" databaseField="0"/>
    <cacheField name="% change Undesg avg" numFmtId="0" formula="IF('Old Inst. avg'&gt;0,((('New Inst. avg'-'Old Inst. avg')/'Old Inst. avg')*100),0)" databaseField="0"/>
    <cacheField name="% change Single Rnk avg" numFmtId="0" formula="IF('Old Single Rnk avg'&gt;0,((('New Single Rnk avg'-'Old Single Rnk avg')/'Old Single Rnk avg')*100),0)" databaseField="0"/>
    <cacheField name="% change All Ranks avg" numFmtId="0" formula="IF('Old All Ranks avg'&gt;0,((('New All Ranks avg'-'Old All Ranks avg')/'Old All Ranks avg')*100),0)" databaseField="0"/>
    <cacheField name="Category2" numFmtId="0" databaseField="0">
      <fieldGroup base="3">
        <discretePr count="15">
          <x v="0"/>
          <x v="0"/>
          <x v="0"/>
          <x v="0"/>
          <x v="0"/>
          <x v="0"/>
          <x v="2"/>
          <x v="2"/>
          <x v="2"/>
          <x v="3"/>
          <x v="3"/>
          <x v="2"/>
          <x v="3"/>
          <x v="2"/>
          <x v="1"/>
        </discretePr>
        <groupItems count="4">
          <s v="Group1"/>
          <s v="15"/>
          <s v="Group2"/>
          <s v="Group3"/>
        </groupItems>
      </fieldGroup>
    </cacheField>
    <cacheField name="Tot # Undes. New" numFmtId="0" formula="'New # Undsg9'+'New # Undsg11'" databaseField="0"/>
    <cacheField name="Tot # Instr. New" numFmtId="0" formula="'New # Inst9'+'New # Inst11'" databaseField="0"/>
    <cacheField name="Tot # Ast. Prof New" numFmtId="0" formula="'New # Ast9'+'New # Ast11'" databaseField="0"/>
    <cacheField name="Tot # Asc. Prof New" numFmtId="0" formula="'New # Asc9'+'New # Asc11'" databaseField="0"/>
    <cacheField name="Total # Prof New" numFmtId="0" formula="'New # Prof9'+'New # Prof11'" databaseField="0"/>
  </cacheFields>
</pivotCacheDefinition>
</file>

<file path=xl/pivotCache/pivotCacheDefinition2.xml><?xml version="1.0" encoding="utf-8"?>
<pivotCacheDefinition xmlns="http://schemas.openxmlformats.org/spreadsheetml/2006/main" xmlns:r="http://schemas.openxmlformats.org/officeDocument/2006/relationships" r:id="rId1" refreshedBy="jmarks" refreshedDate="40364.581820601852" createdVersion="3" refreshedVersion="3" recordCount="710">
  <cacheSource type="worksheet">
    <worksheetSource ref="A7:BX717" sheet="Faculty Salary Data"/>
  </cacheSource>
  <cacheFields count="108">
    <cacheField name="State" numFmtId="49">
      <sharedItems containsBlank="1" count="17">
        <s v="AL"/>
        <s v="AR"/>
        <s v="DE"/>
        <s v="FL"/>
        <s v="GA"/>
        <s v="KY"/>
        <s v="LA"/>
        <s v="MD"/>
        <s v="MS"/>
        <s v="NC"/>
        <s v="OK"/>
        <s v="SC"/>
        <s v="TN"/>
        <s v="TX"/>
        <s v="VA"/>
        <s v="WV"/>
        <m u="1"/>
      </sharedItems>
    </cacheField>
    <cacheField name="Institution" numFmtId="0">
      <sharedItems/>
    </cacheField>
    <cacheField name="ID #" numFmtId="49">
      <sharedItems containsBlank="1" containsMixedTypes="1" containsNumber="1" containsInteger="1" minValue="100654" maxValue="447582"/>
    </cacheField>
    <cacheField name="Category" numFmtId="0">
      <sharedItems containsSemiMixedTypes="0" containsString="0" containsNumber="1" containsInteger="1" minValue="1" maxValue="15" count="15">
        <n v="1"/>
        <n v="2"/>
        <n v="3"/>
        <n v="4"/>
        <n v="5"/>
        <n v="6"/>
        <n v="8"/>
        <n v="9"/>
        <n v="10"/>
        <n v="12"/>
        <n v="13"/>
        <n v="7"/>
        <n v="14"/>
        <n v="11"/>
        <n v="15" u="1"/>
      </sharedItems>
      <fieldGroup par="102"/>
    </cacheField>
    <cacheField name="Old # Prof9" numFmtId="3">
      <sharedItems containsString="0" containsBlank="1" containsNumber="1" containsInteger="1" minValue="0" maxValue="976"/>
    </cacheField>
    <cacheField name="Old Sal Prof9" numFmtId="3">
      <sharedItems containsString="0" containsBlank="1" containsNumber="1" minValue="0" maxValue="137585"/>
    </cacheField>
    <cacheField name="Old * Prof9" numFmtId="3">
      <sharedItems containsSemiMixedTypes="0" containsString="0" containsNumber="1" minValue="0" maxValue="122993568"/>
    </cacheField>
    <cacheField name="New # Prof9" numFmtId="0">
      <sharedItems containsString="0" containsBlank="1" containsNumber="1" containsInteger="1" minValue="0" maxValue="968"/>
    </cacheField>
    <cacheField name="New Sal Prof9" numFmtId="0">
      <sharedItems containsString="0" containsBlank="1" containsNumber="1" minValue="0" maxValue="143236"/>
    </cacheField>
    <cacheField name="New*Prof9" numFmtId="3">
      <sharedItems containsSemiMixedTypes="0" containsString="0" containsNumber="1" minValue="0" maxValue="128021254.00000001"/>
    </cacheField>
    <cacheField name="Old # Asc9" numFmtId="3">
      <sharedItems containsString="0" containsBlank="1" containsNumber="1" containsInteger="1" minValue="0" maxValue="615"/>
    </cacheField>
    <cacheField name="Old Sal Asc9" numFmtId="3">
      <sharedItems containsString="0" containsBlank="1" containsNumber="1" minValue="0" maxValue="99214"/>
    </cacheField>
    <cacheField name="Old*Asc9" numFmtId="3">
      <sharedItems containsSemiMixedTypes="0" containsString="0" containsNumber="1" minValue="0" maxValue="36814857"/>
    </cacheField>
    <cacheField name="New # Asc9" numFmtId="0">
      <sharedItems containsString="0" containsBlank="1" containsNumber="1" containsInteger="1" minValue="0" maxValue="575"/>
    </cacheField>
    <cacheField name="New Sal Asc9" numFmtId="0">
      <sharedItems containsString="0" containsBlank="1" containsNumber="1" minValue="0" maxValue="103830"/>
    </cacheField>
    <cacheField name="New*Asc9" numFmtId="3">
      <sharedItems containsSemiMixedTypes="0" containsString="0" containsNumber="1" minValue="0" maxValue="45084538.999999993"/>
    </cacheField>
    <cacheField name="Old # Ast9" numFmtId="3">
      <sharedItems containsString="0" containsBlank="1" containsNumber="1" containsInteger="1" minValue="0" maxValue="643"/>
    </cacheField>
    <cacheField name="Old Sal Ast9" numFmtId="3">
      <sharedItems containsString="0" containsBlank="1" containsNumber="1" minValue="0" maxValue="88366"/>
    </cacheField>
    <cacheField name="Old*Ast9" numFmtId="3">
      <sharedItems containsSemiMixedTypes="0" containsString="0" containsNumber="1" minValue="0" maxValue="38915478"/>
    </cacheField>
    <cacheField name="New # Ast9" numFmtId="0">
      <sharedItems containsString="0" containsBlank="1" containsNumber="1" minValue="0" maxValue="664"/>
    </cacheField>
    <cacheField name="New Sal Ast9" numFmtId="0">
      <sharedItems containsString="0" containsBlank="1" containsNumber="1" minValue="0" maxValue="91258"/>
    </cacheField>
    <cacheField name="New*Ast9" numFmtId="3">
      <sharedItems containsSemiMixedTypes="0" containsString="0" containsNumber="1" minValue="0" maxValue="45398525"/>
    </cacheField>
    <cacheField name="Old # Inst9" numFmtId="3">
      <sharedItems containsString="0" containsBlank="1" containsNumber="1" containsInteger="1" minValue="0" maxValue="530"/>
    </cacheField>
    <cacheField name="Old Sal Inst9" numFmtId="3">
      <sharedItems containsString="0" containsBlank="1" containsNumber="1" minValue="0" maxValue="122271"/>
    </cacheField>
    <cacheField name="Old*Inst9" numFmtId="3">
      <sharedItems containsString="0" containsBlank="1" containsNumber="1" minValue="0" maxValue="26060630"/>
    </cacheField>
    <cacheField name="New # Inst9" numFmtId="0">
      <sharedItems containsString="0" containsBlank="1" containsNumber="1" containsInteger="1" minValue="0" maxValue="526"/>
    </cacheField>
    <cacheField name="New Sal Inst9" numFmtId="0">
      <sharedItems containsString="0" containsBlank="1" containsNumber="1" minValue="0" maxValue="131545"/>
    </cacheField>
    <cacheField name="New*Inst9" numFmtId="3">
      <sharedItems containsString="0" containsBlank="1" containsNumber="1" minValue="0" maxValue="27301214"/>
    </cacheField>
    <cacheField name="Old # Undsg9" numFmtId="3">
      <sharedItems containsString="0" containsBlank="1" containsNumber="1" containsInteger="1" minValue="0" maxValue="561"/>
    </cacheField>
    <cacheField name="Old Sal Undsg9" numFmtId="3">
      <sharedItems containsString="0" containsBlank="1" containsNumber="1" minValue="0" maxValue="146760"/>
    </cacheField>
    <cacheField name="Old*Undsg9" numFmtId="3">
      <sharedItems containsSemiMixedTypes="0" containsString="0" containsNumber="1" minValue="0" maxValue="30493155"/>
    </cacheField>
    <cacheField name="New # Undsg9" numFmtId="0">
      <sharedItems containsString="0" containsBlank="1" containsNumber="1" containsInteger="1" minValue="0" maxValue="596"/>
    </cacheField>
    <cacheField name="New Sal Undsg9" numFmtId="0">
      <sharedItems containsString="0" containsBlank="1" containsNumber="1" minValue="0" maxValue="98586.666666666672"/>
    </cacheField>
    <cacheField name="Nrw*Undsg9" numFmtId="3">
      <sharedItems containsSemiMixedTypes="0" containsString="0" containsNumber="1" minValue="0" maxValue="34000711"/>
    </cacheField>
    <cacheField name="Old # SR9" numFmtId="3">
      <sharedItems containsString="0" containsBlank="1" containsNumber="1" minValue="0" maxValue="701"/>
    </cacheField>
    <cacheField name="Old Sal SR9" numFmtId="3">
      <sharedItems containsString="0" containsBlank="1" containsNumber="1" minValue="0" maxValue="64253"/>
    </cacheField>
    <cacheField name="Old*SR9" numFmtId="3">
      <sharedItems containsString="0" containsBlank="1" containsNumber="1" minValue="0" maxValue="41900172"/>
    </cacheField>
    <cacheField name="New # SR9" numFmtId="0">
      <sharedItems containsString="0" containsBlank="1" containsNumber="1" minValue="0" maxValue="689"/>
    </cacheField>
    <cacheField name="New Sal SR9" numFmtId="0">
      <sharedItems containsString="0" containsBlank="1" containsNumber="1" minValue="0" maxValue="64835.095890410958"/>
    </cacheField>
    <cacheField name="New*SR9" numFmtId="3">
      <sharedItems containsString="0" containsBlank="1" containsNumber="1" minValue="0" maxValue="41494336"/>
    </cacheField>
    <cacheField name="Old # Prof11" numFmtId="3">
      <sharedItems containsString="0" containsBlank="1" containsNumber="1" containsInteger="1" minValue="0" maxValue="352"/>
    </cacheField>
    <cacheField name="Old Sal Prof11" numFmtId="3">
      <sharedItems containsString="0" containsBlank="1" containsNumber="1" minValue="0" maxValue="201817"/>
    </cacheField>
    <cacheField name="Old * Prof11" numFmtId="3">
      <sharedItems containsSemiMixedTypes="0" containsString="0" containsNumber="1" minValue="0" maxValue="34593580.274599999"/>
    </cacheField>
    <cacheField name="New # Prof11" numFmtId="0">
      <sharedItems containsString="0" containsBlank="1" containsNumber="1" containsInteger="1" minValue="0" maxValue="295"/>
    </cacheField>
    <cacheField name="New Sal Prof11" numFmtId="0">
      <sharedItems containsString="0" containsBlank="1" containsNumber="1" minValue="0" maxValue="211736"/>
    </cacheField>
    <cacheField name="New*Prof11" numFmtId="3">
      <sharedItems containsSemiMixedTypes="0" containsString="0" containsNumber="1" minValue="0" maxValue="37462028.2892"/>
    </cacheField>
    <cacheField name="Old # Asc11" numFmtId="3">
      <sharedItems containsString="0" containsBlank="1" containsNumber="1" containsInteger="1" minValue="0" maxValue="267"/>
    </cacheField>
    <cacheField name="Old Sal Asc11" numFmtId="3">
      <sharedItems containsString="0" containsBlank="1" containsNumber="1" minValue="0" maxValue="127953"/>
    </cacheField>
    <cacheField name="Old*Asc11" numFmtId="3">
      <sharedItems containsSemiMixedTypes="0" containsString="0" containsNumber="1" minValue="0" maxValue="16718042.503800001"/>
    </cacheField>
    <cacheField name="New # Asc11" numFmtId="0">
      <sharedItems containsString="0" containsBlank="1" containsNumber="1" containsInteger="1" minValue="0" maxValue="155"/>
    </cacheField>
    <cacheField name="New Sal Asc11" numFmtId="0">
      <sharedItems containsString="0" containsBlank="1" containsNumber="1" minValue="0" maxValue="142176"/>
    </cacheField>
    <cacheField name="New*Asc11" numFmtId="3">
      <sharedItems containsSemiMixedTypes="0" containsString="0" containsNumber="1" minValue="0" maxValue="11583123.108834002"/>
    </cacheField>
    <cacheField name="Old # Ast11" numFmtId="3">
      <sharedItems containsString="0" containsBlank="1" containsNumber="1" containsInteger="1" minValue="0" maxValue="189"/>
    </cacheField>
    <cacheField name="Old Sal Ast11" numFmtId="3">
      <sharedItems containsString="0" containsBlank="1" containsNumber="1" minValue="0" maxValue="110410.5"/>
    </cacheField>
    <cacheField name="Old*Ast11" numFmtId="3">
      <sharedItems containsSemiMixedTypes="0" containsString="0" containsNumber="1" minValue="0" maxValue="10953512.980536001"/>
    </cacheField>
    <cacheField name="New # Ast11" numFmtId="0">
      <sharedItems containsString="0" containsBlank="1" containsNumber="1" containsInteger="1" minValue="0" maxValue="197"/>
    </cacheField>
    <cacheField name="New Sal Ast11" numFmtId="0">
      <sharedItems containsString="0" containsBlank="1" containsNumber="1" minValue="0" maxValue="163800"/>
    </cacheField>
    <cacheField name="New*Ast11" numFmtId="3">
      <sharedItems containsSemiMixedTypes="0" containsString="0" containsNumber="1" minValue="0" maxValue="11690809.650906002"/>
    </cacheField>
    <cacheField name="Old # Inst11" numFmtId="3">
      <sharedItems containsString="0" containsBlank="1" containsNumber="1" containsInteger="1" minValue="0" maxValue="291"/>
    </cacheField>
    <cacheField name="Old Sal Inst11" numFmtId="3">
      <sharedItems containsString="0" containsBlank="1" containsNumber="1" minValue="0" maxValue="123927"/>
    </cacheField>
    <cacheField name="Old*Inst11" numFmtId="3">
      <sharedItems containsString="0" containsBlank="1" containsNumber="1" minValue="0" maxValue="15900302.3322"/>
    </cacheField>
    <cacheField name="New # Inst11" numFmtId="0">
      <sharedItems containsString="0" containsBlank="1" containsNumber="1" containsInteger="1" minValue="0" maxValue="303"/>
    </cacheField>
    <cacheField name="New Sal Inst11" numFmtId="0">
      <sharedItems containsString="0" containsBlank="1" containsNumber="1" minValue="0" maxValue="115984"/>
    </cacheField>
    <cacheField name="New*Inst11" numFmtId="3">
      <sharedItems containsString="0" containsBlank="1" containsNumber="1" minValue="0" maxValue="17116827.4564"/>
    </cacheField>
    <cacheField name="Old # Undsg11" numFmtId="3">
      <sharedItems containsString="0" containsBlank="1" containsNumber="1" containsInteger="1" minValue="0" maxValue="92"/>
    </cacheField>
    <cacheField name="Old Sal Undsg11" numFmtId="3">
      <sharedItems containsString="0" containsBlank="1" containsNumber="1" minValue="0" maxValue="124169"/>
    </cacheField>
    <cacheField name="Old*Undsg11" numFmtId="3">
      <sharedItems containsSemiMixedTypes="0" containsString="0" containsNumber="1" minValue="0" maxValue="7602789.6743999999"/>
    </cacheField>
    <cacheField name="New # Undsg11" numFmtId="0">
      <sharedItems containsString="0" containsBlank="1" containsNumber="1" containsInteger="1" minValue="0" maxValue="111"/>
    </cacheField>
    <cacheField name="New Sal Undsg11" numFmtId="0">
      <sharedItems containsString="0" containsBlank="1" containsNumber="1" minValue="0" maxValue="146320"/>
    </cacheField>
    <cacheField name="Nrw*Undsg11" numFmtId="3">
      <sharedItems containsSemiMixedTypes="0" containsString="0" containsNumber="1" minValue="0" maxValue="9715672.5354000013"/>
    </cacheField>
    <cacheField name="Old # SR11" numFmtId="3">
      <sharedItems containsString="0" containsBlank="1" containsNumber="1" minValue="0" maxValue="406"/>
    </cacheField>
    <cacheField name="Old Sal SR11" numFmtId="3">
      <sharedItems containsString="0" containsBlank="1" containsNumber="1" minValue="0" maxValue="87083"/>
    </cacheField>
    <cacheField name="Old*SR11" numFmtId="3">
      <sharedItems containsString="0" containsBlank="1" containsNumber="1" minValue="0" maxValue="13226801.367169481"/>
    </cacheField>
    <cacheField name="New # SR11" numFmtId="0">
      <sharedItems containsString="0" containsBlank="1" containsNumber="1" minValue="0" maxValue="441"/>
    </cacheField>
    <cacheField name="New Sal SR11" numFmtId="0">
      <sharedItems containsString="0" containsBlank="1" containsNumber="1" minValue="0" maxValue="89824"/>
    </cacheField>
    <cacheField name="New*SR11" numFmtId="3">
      <sharedItems containsString="0" containsBlank="1" containsNumber="1" minValue="0" maxValue="14821096.14797328"/>
    </cacheField>
    <cacheField name="Tot # Single Rnk New" numFmtId="0" formula="'New # SR9'+'New # SR11'" databaseField="0"/>
    <cacheField name="All Ranks # New" numFmtId="0" formula="'Total # Prof New'+'Tot # Asc. Prof New'+'Tot # Ast. Prof New'+'Tot # Instr. New'+'Tot # Undes. New'+'Tot # Single Rnk New'" databaseField="0"/>
    <cacheField name="All Ranks # Old" numFmtId="0" formula=" ('Old # Prof9'+'Old # Prof11'+'Old # Asc9'+'Old # Asc11'+'Old # Ast9'+'Old # Ast11'+'Old # Inst9'+'Old # Inst11'+'Old # Undsg9'+'Old # Undsg11'+'Old # SR9'+'Old # SR11')" databaseField="0"/>
    <cacheField name="New Prof avg" numFmtId="0" formula="IF(('New # Prof11'+'New # Prof9')&gt;0, ('New*Prof9'+'New*Prof11')/('New # Prof11'+'New # Prof9'),0)" databaseField="0"/>
    <cacheField name="Old Prof avg" numFmtId="0" formula="IF(('Old # Prof11'+'Old # Prof9')&gt;0,('Old * Prof9'+'Old * Prof11')/('Old # Prof11'+'Old # Prof9'),0)" databaseField="0"/>
    <cacheField name="Old Asc. avg" numFmtId="0" formula="IF(('Old # Asc11'+'Old # Asc9')&gt;0,('Old*Asc9'+'Old*Asc11')/('Old # Asc11'+'Old # Asc9'),0)" databaseField="0"/>
    <cacheField name="New Asc. avg" numFmtId="0" formula="IF(('New # Asc9'+'New # Asc11')&gt;0,('New*Asc9'+'New*Asc11')/('New # Asc11'+'New # Asc9'),0)" databaseField="0"/>
    <cacheField name="Old Ast. avg" numFmtId="0" formula="IF(('Old # Ast11'+'Old # Ast9')&gt;0,('Old*Ast9'+'Old*Ast11')/('Old # Ast11'+'Old # Ast9'),0)" databaseField="0"/>
    <cacheField name="New Ast. avg" numFmtId="0" formula="IF(('New # Ast11'+'New # Ast9')&gt;0,('New*Ast9'+'New*Ast11')/('New # Ast11'+'New # Ast9'),0)" databaseField="0"/>
    <cacheField name="Old Inst. avg" numFmtId="0" formula="IF(('Old # Inst11'+'Old # Inst9')&gt;0,('Old*Inst9'+'Old*Inst11')/('Old # Inst11'+'Old # Inst9'),0)" databaseField="0"/>
    <cacheField name="New Inst. avg" numFmtId="0" formula="IF(('New # Inst11'+'New # Inst9')&gt;0,('New*Inst9'+'New*Inst11')/('New # Inst11'+'New # Inst9'),0)" databaseField="0"/>
    <cacheField name="Old Undesg. avg" numFmtId="0" formula="IF(('Old # Undsg11'+'Old # Undsg9')&gt;0,('Old*Undsg9'+'Old*Undsg11')/('Old # Undsg11'+'Old # Undsg9'),0)" databaseField="0"/>
    <cacheField name="New Undesg. avg" numFmtId="0" formula="IF(('New # Undsg11'+'New # Undsg9')&gt;0,('Nrw*Undsg9'+'Nrw*Undsg11')/('New # Undsg11'+'New # Undsg9'),0)" databaseField="0"/>
    <cacheField name="Old Single Rnk avg" numFmtId="0" formula="IF(('Old # SR11'+'Old # SR9')&gt;0,('Old*SR9'+'Old*SR11')/('Old # SR11'+'Old # SR9'),0)" databaseField="0"/>
    <cacheField name="New Single Rnk avg" numFmtId="0" formula="IF(('New # SR11'+'New # SR9')&gt;0,('New*SR9'+'New*SR11')/('New # SR11'+'New # SR9'),0)" databaseField="0"/>
    <cacheField name="Old All Ranks *" numFmtId="0" formula=" ('Old * Prof9'+'Old*Asc9'+'Old*Ast9'+'Old*Inst9'+'Old*Undsg9'+'Old*SR9')+('Old * Prof11'+'Old*Asc11'+'Old*Ast11'+'Old*Inst11'+'Old*Undsg11'+'Old*SR11')" databaseField="0"/>
    <cacheField name="Old All Ranks avg" numFmtId="0" formula="IF('All Ranks # Old'&gt;0,('Old All Ranks *'/'All Ranks # Old'),0)" databaseField="0"/>
    <cacheField name="New All Ranks *" numFmtId="0" formula="('New*Prof9'+'New*Asc9'+'New*Ast9'+'New*Inst9'+'Nrw*Undsg9'+'New*SR9'+'New*Prof11'+'New*Asc11'+'New*Ast11'+'New*Inst11'+'Nrw*Undsg11'+'New*SR11')" databaseField="0"/>
    <cacheField name="New All Ranks avg" numFmtId="0" formula="IF('All Ranks # New'&gt;0,('New All Ranks *'/'All Ranks # New'),0)" databaseField="0"/>
    <cacheField name="% change Prof" numFmtId="0" formula="IF('Old Prof avg'&gt;0,((('New Prof avg'-'Old Prof avg')/'Old Prof avg')*100),0)" databaseField="0"/>
    <cacheField name="% change Asc. Prof" numFmtId="0" formula="IF('Old Asc. avg'&gt;0,((('New Asc. avg'-'Old Asc. avg')/'Old Asc. avg')*100),0)" databaseField="0"/>
    <cacheField name="% change Ast. Prof" numFmtId="0" formula="IF('Old Ast. avg'&gt;0,((('New Ast. avg'-'Old Ast. avg')/'Old Ast. avg')*100),0)" databaseField="0"/>
    <cacheField name="% change Instr avg" numFmtId="0" formula="IF('Old Inst. avg'&gt;0,((('New Inst. avg'-'Old Inst. avg')/'Old Inst. avg')*100),0)" databaseField="0"/>
    <cacheField name="% change Undesg avg" numFmtId="0" formula="IF('Old Undesg. avg'&gt;0,((('New Undesg. avg'-'Old Undesg. avg')/'Old Undesg. avg')*100),0)" databaseField="0"/>
    <cacheField name="% change Single Rnk avg" numFmtId="0" formula="IF('Old Single Rnk avg'&gt;0,((('New Single Rnk avg'-'Old Single Rnk avg')/'Old Single Rnk avg')*100),0)" databaseField="0"/>
    <cacheField name="% change All Ranks avg" numFmtId="0" formula="IF('Old All Ranks avg'&gt;0,((('New All Ranks avg'-'Old All Ranks avg')/'Old All Ranks avg')*100),0)" databaseField="0"/>
    <cacheField name="Category2" numFmtId="0" databaseField="0">
      <fieldGroup base="3">
        <discretePr count="15">
          <x v="0"/>
          <x v="0"/>
          <x v="0"/>
          <x v="0"/>
          <x v="0"/>
          <x v="0"/>
          <x v="2"/>
          <x v="2"/>
          <x v="2"/>
          <x v="3"/>
          <x v="3"/>
          <x v="2"/>
          <x v="3"/>
          <x v="2"/>
          <x v="1"/>
        </discretePr>
        <groupItems count="4">
          <s v="Group1"/>
          <s v="15"/>
          <s v="Group2"/>
          <s v="Group3"/>
        </groupItems>
      </fieldGroup>
    </cacheField>
    <cacheField name="Tot # Undes. New" numFmtId="0" formula="'New # Undsg9'+'New # Undsg11'" databaseField="0"/>
    <cacheField name="Tot # Instr. New" numFmtId="0" formula="'New # Inst9'+'New # Inst11'" databaseField="0"/>
    <cacheField name="Tot # Ast. Prof New" numFmtId="0" formula="'New # Ast9'+'New # Ast11'" databaseField="0"/>
    <cacheField name="Tot # Asc. Prof New" numFmtId="0" formula="'New # Asc9'+'New # Asc11'" databaseField="0"/>
    <cacheField name="Total # Prof New" numFmtId="0" formula="'New # Prof9'+'New # Prof11'" databaseField="0"/>
  </cacheFields>
</pivotCacheDefinition>
</file>

<file path=xl/pivotCache/pivotCacheRecords1.xml><?xml version="1.0" encoding="utf-8"?>
<pivotCacheRecords xmlns="http://schemas.openxmlformats.org/spreadsheetml/2006/main" xmlns:r="http://schemas.openxmlformats.org/officeDocument/2006/relationships" count="710">
  <r>
    <x v="0"/>
    <s v="Auburn University"/>
    <n v="100858"/>
    <x v="0"/>
    <n v="304"/>
    <n v="103413.60197368421"/>
    <n v="31437735"/>
    <n v="286"/>
    <n v="104554.12237762238"/>
    <n v="29902479"/>
    <n v="251"/>
    <n v="73402.673306772907"/>
    <n v="18424071"/>
    <n v="265"/>
    <n v="73360.758490566033"/>
    <n v="19440601"/>
    <n v="198"/>
    <n v="63801.111111111109"/>
    <n v="12632620"/>
    <n v="239"/>
    <n v="62633.585774058578"/>
    <n v="14969427"/>
    <n v="73"/>
    <n v="34346.219178082189"/>
    <n v="2507274"/>
    <n v="84"/>
    <n v="34055.297619047618"/>
    <n v="2860645"/>
    <n v="15"/>
    <n v="51647.333333333336"/>
    <n v="774710"/>
    <n v="13"/>
    <n v="52311.538461538461"/>
    <n v="680050"/>
    <m/>
    <m/>
    <n v="0"/>
    <m/>
    <m/>
    <n v="0"/>
    <n v="170"/>
    <n v="131996.98823529412"/>
    <n v="18359989.081599999"/>
    <n v="170"/>
    <n v="131215"/>
    <n v="18251219.210000001"/>
    <n v="83"/>
    <n v="95657.084337349399"/>
    <n v="6496129.9916000003"/>
    <n v="77"/>
    <n v="93267.58441558441"/>
    <n v="5875988.3928000005"/>
    <n v="32"/>
    <n v="81940"/>
    <n v="2145385.8560000001"/>
    <n v="35"/>
    <n v="82435.71428571429"/>
    <n v="2360711.5500000003"/>
    <n v="4"/>
    <n v="56609.25"/>
    <n v="185270.75340000002"/>
    <n v="7"/>
    <n v="47672"/>
    <n v="273036.6128"/>
    <n v="2"/>
    <n v="69115"/>
    <n v="113099.78600000001"/>
    <n v="0"/>
    <m/>
    <n v="0"/>
    <m/>
    <m/>
    <n v="0"/>
    <m/>
    <m/>
    <n v="0"/>
  </r>
  <r>
    <x v="0"/>
    <s v="University of Alabama "/>
    <n v="100751"/>
    <x v="0"/>
    <n v="284"/>
    <n v="115726.57746478873"/>
    <n v="32866348"/>
    <n v="291"/>
    <n v="115508.5498281787"/>
    <n v="33612988"/>
    <n v="216"/>
    <n v="79385.388888888891"/>
    <n v="17147244"/>
    <n v="233"/>
    <n v="80559.896995708157"/>
    <n v="18770456"/>
    <n v="224"/>
    <n v="65093.455357142855"/>
    <n v="14580934"/>
    <n v="241"/>
    <n v="62879.282157676345"/>
    <n v="15153907"/>
    <n v="132"/>
    <n v="40678.121212121216"/>
    <n v="5369512"/>
    <n v="144"/>
    <n v="38601.631944444445"/>
    <n v="5558635"/>
    <m/>
    <m/>
    <n v="0"/>
    <n v="9"/>
    <n v="63354.333333333336"/>
    <n v="570189"/>
    <m/>
    <m/>
    <n v="0"/>
    <m/>
    <m/>
    <n v="0"/>
    <n v="22"/>
    <n v="145999.81818181818"/>
    <n v="2628055.1272"/>
    <n v="32"/>
    <n v="131434.75"/>
    <n v="3441277.1984000001"/>
    <n v="8"/>
    <n v="87542.125"/>
    <n v="573015.73340000003"/>
    <n v="34"/>
    <n v="83709.205882352937"/>
    <n v="2328689.6566000003"/>
    <n v="10"/>
    <n v="79971.199999999997"/>
    <n v="654324.35840000003"/>
    <n v="53"/>
    <n v="67333.905660377364"/>
    <n v="2919907.8854000005"/>
    <n v="8"/>
    <n v="55872.75"/>
    <n v="365720.67240000004"/>
    <n v="24"/>
    <n v="45370.875"/>
    <n v="890938.79820000008"/>
    <m/>
    <m/>
    <n v="0"/>
    <n v="6"/>
    <n v="83731.833333333328"/>
    <n v="411056.3162"/>
    <m/>
    <m/>
    <n v="0"/>
    <m/>
    <m/>
    <n v="0"/>
  </r>
  <r>
    <x v="0"/>
    <s v="University of Alabama at Birmingham"/>
    <n v="100663"/>
    <x v="0"/>
    <n v="95"/>
    <n v="95463.031578947368"/>
    <n v="9068988"/>
    <n v="99"/>
    <n v="97118.727272727279"/>
    <n v="9614754"/>
    <n v="131"/>
    <n v="71418.435114503824"/>
    <n v="9355815"/>
    <n v="137"/>
    <n v="71593.598540145991"/>
    <n v="9808323"/>
    <n v="116"/>
    <n v="58528.801724137928"/>
    <n v="6789341"/>
    <n v="118"/>
    <n v="58306.466101694918"/>
    <n v="6880163"/>
    <n v="37"/>
    <n v="39446.567567567567"/>
    <n v="1459523"/>
    <n v="29"/>
    <n v="41833.068965517239"/>
    <n v="1213159"/>
    <n v="1"/>
    <n v="36000"/>
    <n v="36000"/>
    <n v="1"/>
    <n v="36000"/>
    <n v="36000"/>
    <m/>
    <m/>
    <n v="0"/>
    <m/>
    <m/>
    <n v="0"/>
    <n v="140"/>
    <n v="157055.53571428571"/>
    <n v="17990397.505000003"/>
    <n v="132"/>
    <n v="156960.92424242425"/>
    <n v="16952156.5244"/>
    <n v="119"/>
    <n v="109210.83193277312"/>
    <n v="10633400.0198"/>
    <n v="120"/>
    <n v="107880.15833333334"/>
    <n v="10592105.4658"/>
    <n v="156"/>
    <n v="84179.698717948719"/>
    <n v="10744629.400600001"/>
    <n v="156"/>
    <n v="82482.217948717953"/>
    <n v="10527964.313200001"/>
    <n v="57"/>
    <n v="66328.859649122809"/>
    <n v="3093405.5590000004"/>
    <n v="57"/>
    <n v="67857.105263157893"/>
    <n v="3164678.9610000001"/>
    <m/>
    <m/>
    <n v="0"/>
    <m/>
    <m/>
    <n v="0"/>
    <m/>
    <m/>
    <n v="0"/>
    <m/>
    <m/>
    <n v="0"/>
  </r>
  <r>
    <x v="0"/>
    <s v="University of Alabama in Huntsville"/>
    <n v="100706"/>
    <x v="1"/>
    <n v="55"/>
    <n v="100857.94545454545"/>
    <n v="5547187"/>
    <n v="55"/>
    <n v="102396.54545454546"/>
    <n v="5631810"/>
    <n v="79"/>
    <n v="77606.139240506323"/>
    <n v="6130885"/>
    <n v="82"/>
    <n v="77488.487804878052"/>
    <n v="6354056"/>
    <n v="80"/>
    <n v="62484.387499999997"/>
    <n v="4998751"/>
    <n v="85"/>
    <n v="62656.117647058825"/>
    <n v="5325770"/>
    <n v="4"/>
    <n v="49150"/>
    <n v="196600"/>
    <n v="7"/>
    <n v="57942.857142857145"/>
    <n v="405600"/>
    <n v="26"/>
    <n v="41389.961538461539"/>
    <n v="1076139"/>
    <n v="27"/>
    <n v="41994.222222222219"/>
    <n v="1133844"/>
    <m/>
    <m/>
    <n v="0"/>
    <m/>
    <m/>
    <n v="0"/>
    <n v="19"/>
    <n v="129609.84210526316"/>
    <n v="2014888.6834"/>
    <n v="20"/>
    <n v="125772.05"/>
    <n v="2058133.8262"/>
    <n v="8"/>
    <n v="84429.75"/>
    <n v="552643.37160000007"/>
    <n v="10"/>
    <n v="93942.8"/>
    <n v="768639.98960000009"/>
    <n v="2"/>
    <n v="65068.5"/>
    <n v="106478.0934"/>
    <n v="3"/>
    <n v="65013.666666666664"/>
    <n v="159582.54620000001"/>
    <m/>
    <m/>
    <n v="0"/>
    <m/>
    <m/>
    <n v="0"/>
    <n v="16"/>
    <n v="52036.0625"/>
    <n v="681214.50140000007"/>
    <n v="13"/>
    <n v="48540.461538461539"/>
    <n v="516305.47320000001"/>
    <m/>
    <m/>
    <n v="0"/>
    <m/>
    <m/>
    <n v="0"/>
  </r>
  <r>
    <x v="0"/>
    <s v="Alabama Agricultural &amp; Mechanical University"/>
    <n v="100654"/>
    <x v="2"/>
    <n v="37"/>
    <n v="80286.351351351346"/>
    <n v="2970595"/>
    <n v="40"/>
    <n v="88290.175000000003"/>
    <n v="3531607"/>
    <n v="65"/>
    <n v="60425.092307692306"/>
    <n v="3927631"/>
    <n v="63"/>
    <n v="65840.365079365074"/>
    <n v="4147942.9999999995"/>
    <n v="122"/>
    <n v="50181.737704918036"/>
    <n v="6122172"/>
    <n v="123"/>
    <n v="53604.536585365851"/>
    <n v="6593358"/>
    <n v="49"/>
    <n v="37287.469387755104"/>
    <n v="1827086"/>
    <n v="49"/>
    <n v="38540.938775510207"/>
    <n v="1888506.0000000002"/>
    <m/>
    <m/>
    <n v="0"/>
    <m/>
    <m/>
    <n v="0"/>
    <m/>
    <m/>
    <n v="0"/>
    <m/>
    <m/>
    <n v="0"/>
    <n v="21"/>
    <n v="99407.857142857145"/>
    <n v="1708045.6830000002"/>
    <n v="16"/>
    <n v="111155.5625"/>
    <n v="1455159.6998000001"/>
    <n v="7"/>
    <n v="80372.71428571429"/>
    <n v="460326.6838"/>
    <n v="7"/>
    <n v="78716.857142857145"/>
    <n v="450842.9276"/>
    <n v="9"/>
    <n v="69232.111111111109"/>
    <n v="509811.41980000003"/>
    <n v="10"/>
    <n v="72579.199999999997"/>
    <n v="593843.01439999999"/>
    <n v="1"/>
    <n v="64415"/>
    <n v="52704.353000000003"/>
    <n v="1"/>
    <n v="68924"/>
    <n v="56393.616800000003"/>
    <m/>
    <m/>
    <n v="0"/>
    <m/>
    <m/>
    <n v="0"/>
    <m/>
    <m/>
    <n v="0"/>
    <m/>
    <m/>
    <n v="0"/>
  </r>
  <r>
    <x v="0"/>
    <s v="Jacksonville State University "/>
    <n v="101480"/>
    <x v="2"/>
    <n v="51"/>
    <n v="77189.823529411762"/>
    <n v="3936681"/>
    <n v="56"/>
    <n v="79768.017857142855"/>
    <n v="4467009"/>
    <n v="54"/>
    <n v="65471.851851851854"/>
    <n v="3535480"/>
    <n v="59"/>
    <n v="63554.847457627118"/>
    <n v="3749736"/>
    <n v="86"/>
    <n v="53258.023255813954"/>
    <n v="4580190"/>
    <n v="84"/>
    <n v="52900.345238095237"/>
    <n v="4443629"/>
    <n v="96"/>
    <n v="44657.770833333336"/>
    <n v="4287146"/>
    <n v="91"/>
    <n v="44451.109890109889"/>
    <n v="4045051"/>
    <m/>
    <m/>
    <n v="0"/>
    <m/>
    <m/>
    <n v="0"/>
    <m/>
    <m/>
    <n v="0"/>
    <m/>
    <m/>
    <n v="0"/>
    <n v="31"/>
    <n v="91847.419354838712"/>
    <n v="2329636.3140000002"/>
    <n v="29"/>
    <n v="93331.758620689652"/>
    <n v="2214557.3022000003"/>
    <n v="1"/>
    <n v="68495"/>
    <n v="56042.609000000004"/>
    <n v="1"/>
    <n v="71000"/>
    <n v="58092.200000000004"/>
    <m/>
    <m/>
    <n v="0"/>
    <n v="1"/>
    <n v="85113"/>
    <n v="69639.456600000005"/>
    <n v="2"/>
    <n v="82747.5"/>
    <n v="135408.00900000002"/>
    <n v="1"/>
    <n v="88382"/>
    <n v="72314.152400000006"/>
    <m/>
    <m/>
    <n v="0"/>
    <m/>
    <m/>
    <n v="0"/>
    <m/>
    <m/>
    <n v="0"/>
    <m/>
    <m/>
    <n v="0"/>
  </r>
  <r>
    <x v="0"/>
    <s v="Troy University"/>
    <n v="102368"/>
    <x v="2"/>
    <n v="39"/>
    <n v="70259.666666666672"/>
    <n v="2740127"/>
    <n v="42"/>
    <n v="73918.523809523816"/>
    <n v="3104578.0000000005"/>
    <n v="58"/>
    <n v="60078.241379310348"/>
    <n v="3484538"/>
    <n v="71"/>
    <n v="61462.366197183095"/>
    <n v="4363828"/>
    <n v="111"/>
    <n v="52933.369369369371"/>
    <n v="5875604"/>
    <n v="98"/>
    <n v="53346.571428571428"/>
    <n v="5227964"/>
    <n v="9"/>
    <n v="42750.111111111109"/>
    <n v="384751"/>
    <n v="8"/>
    <n v="43728"/>
    <n v="349824"/>
    <n v="26"/>
    <n v="36340"/>
    <n v="944840"/>
    <n v="26"/>
    <n v="38383.153846153844"/>
    <n v="997962"/>
    <m/>
    <m/>
    <n v="0"/>
    <m/>
    <m/>
    <n v="0"/>
    <n v="30"/>
    <n v="88352.433333333334"/>
    <n v="2168698.8286000001"/>
    <n v="29"/>
    <n v="91791.034482758623"/>
    <n v="2177999.3080000002"/>
    <n v="35"/>
    <n v="74917.485714285707"/>
    <n v="2145412.0383999995"/>
    <n v="34"/>
    <n v="77801.705882352937"/>
    <n v="2164350.0956000001"/>
    <n v="24"/>
    <n v="60247.708333333336"/>
    <n v="1183072.199"/>
    <n v="28"/>
    <n v="62350.035714285717"/>
    <n v="1428414.3782000002"/>
    <n v="10"/>
    <n v="47426"/>
    <n v="388039.53200000001"/>
    <n v="7"/>
    <n v="48661.571428571428"/>
    <n v="278704.28419999999"/>
    <n v="7"/>
    <n v="43143.857142857145"/>
    <n v="247102.1274"/>
    <n v="8"/>
    <n v="42745.875"/>
    <n v="279797.39939999999"/>
    <m/>
    <m/>
    <n v="0"/>
    <m/>
    <m/>
    <n v="0"/>
  </r>
  <r>
    <x v="0"/>
    <s v="University of South Alabama"/>
    <n v="102094"/>
    <x v="2"/>
    <n v="66"/>
    <n v="90010.727272727279"/>
    <n v="5940708"/>
    <n v="72"/>
    <n v="90232.819444444438"/>
    <n v="6496763"/>
    <n v="78"/>
    <n v="68191.935897435891"/>
    <n v="5318970.9999999991"/>
    <n v="77"/>
    <n v="67411.610389610389"/>
    <n v="5190694"/>
    <n v="115"/>
    <n v="54718.782608695656"/>
    <n v="6292660"/>
    <n v="123"/>
    <n v="56095.83739837398"/>
    <n v="6899788"/>
    <n v="64"/>
    <n v="46230.46875"/>
    <n v="2958750"/>
    <n v="79"/>
    <n v="45468.177215189877"/>
    <n v="3591986.0000000005"/>
    <n v="2"/>
    <n v="56440.5"/>
    <n v="112881"/>
    <n v="1"/>
    <n v="47881"/>
    <n v="47881"/>
    <m/>
    <m/>
    <n v="0"/>
    <m/>
    <m/>
    <n v="0"/>
    <n v="52"/>
    <n v="97625.711538461532"/>
    <n v="4153622.5734000001"/>
    <n v="40"/>
    <n v="102412.52499999999"/>
    <n v="3351757.1182000004"/>
    <n v="36"/>
    <n v="82032.722222222219"/>
    <n v="2416290.2396"/>
    <n v="29"/>
    <n v="86117.448275862072"/>
    <n v="2043377.5892"/>
    <n v="57"/>
    <n v="72642.263157894733"/>
    <n v="3387846.2838000003"/>
    <n v="52"/>
    <n v="75404.25"/>
    <n v="3208179.3822000003"/>
    <n v="56"/>
    <n v="57977.464285714283"/>
    <n v="2656481.0316000003"/>
    <n v="61"/>
    <n v="56098"/>
    <n v="2799862.3996000001"/>
    <n v="1"/>
    <n v="44386"/>
    <n v="36316.625200000002"/>
    <n v="1"/>
    <n v="67156"/>
    <n v="54947.039199999999"/>
    <m/>
    <m/>
    <n v="0"/>
    <m/>
    <m/>
    <n v="0"/>
  </r>
  <r>
    <x v="0"/>
    <s v="Alabama State University "/>
    <n v="100724"/>
    <x v="3"/>
    <n v="53"/>
    <n v="83854.415094339623"/>
    <n v="4444284"/>
    <n v="57"/>
    <n v="81244.438596491222"/>
    <n v="4630933"/>
    <n v="59"/>
    <n v="64859.830508474573"/>
    <n v="3826730"/>
    <n v="55"/>
    <n v="64036.4"/>
    <n v="3522002"/>
    <n v="64"/>
    <n v="54525.28125"/>
    <n v="3489618"/>
    <n v="62"/>
    <n v="53824.016129032258"/>
    <n v="3337089"/>
    <n v="57"/>
    <n v="43679.807017543862"/>
    <n v="2489749"/>
    <n v="55"/>
    <n v="43794.127272727274"/>
    <n v="2408677"/>
    <m/>
    <m/>
    <n v="0"/>
    <m/>
    <m/>
    <n v="0"/>
    <m/>
    <m/>
    <n v="0"/>
    <m/>
    <m/>
    <n v="0"/>
    <n v="1"/>
    <n v="114645"/>
    <n v="93802.539000000004"/>
    <n v="3"/>
    <n v="93112.666666666672"/>
    <n v="228554.35160000002"/>
    <n v="2"/>
    <n v="78490"/>
    <n v="128441.03600000001"/>
    <n v="4"/>
    <n v="84922.5"/>
    <n v="277934.35800000001"/>
    <n v="2"/>
    <n v="52325"/>
    <n v="85624.63"/>
    <n v="3"/>
    <n v="54913"/>
    <n v="134789.4498"/>
    <n v="1"/>
    <n v="48851"/>
    <n v="39969.888200000001"/>
    <n v="4"/>
    <n v="48427"/>
    <n v="158491.88560000001"/>
    <m/>
    <m/>
    <n v="0"/>
    <m/>
    <m/>
    <n v="0"/>
    <m/>
    <m/>
    <n v="0"/>
    <m/>
    <m/>
    <n v="0"/>
  </r>
  <r>
    <x v="0"/>
    <s v="Auburn University at Montgomery"/>
    <n v="100830"/>
    <x v="3"/>
    <n v="39"/>
    <n v="81221.282051282047"/>
    <n v="3167630"/>
    <n v="37"/>
    <n v="78562.972972972973"/>
    <n v="2906830"/>
    <n v="42"/>
    <n v="67167.380952380947"/>
    <n v="2821030"/>
    <n v="45"/>
    <n v="66771.777777777781"/>
    <n v="3004730"/>
    <n v="61"/>
    <n v="54596.229508196724"/>
    <n v="3330370"/>
    <n v="55"/>
    <n v="52760.727272727272"/>
    <n v="2901840"/>
    <n v="11"/>
    <n v="43656.36363636364"/>
    <n v="480220.00000000006"/>
    <n v="11"/>
    <n v="42546.63636363636"/>
    <n v="468012.99999999994"/>
    <n v="4"/>
    <n v="22036.25"/>
    <n v="88145"/>
    <n v="2"/>
    <n v="87970"/>
    <n v="175940"/>
    <m/>
    <m/>
    <n v="0"/>
    <m/>
    <m/>
    <n v="0"/>
    <n v="1"/>
    <n v="146320"/>
    <n v="119719.024"/>
    <n v="10"/>
    <n v="99647"/>
    <n v="815311.75400000007"/>
    <m/>
    <m/>
    <n v="0"/>
    <n v="9"/>
    <n v="93750"/>
    <n v="690356.25"/>
    <m/>
    <m/>
    <n v="0"/>
    <n v="3"/>
    <n v="60816"/>
    <n v="149278.95360000001"/>
    <n v="3"/>
    <n v="63703.333333333336"/>
    <n v="156366.20200000002"/>
    <n v="3"/>
    <n v="65036.666666666664"/>
    <n v="159639.00200000001"/>
    <n v="4"/>
    <n v="83165"/>
    <n v="272182.41200000001"/>
    <n v="1"/>
    <n v="146320"/>
    <n v="119719.024"/>
    <m/>
    <m/>
    <n v="0"/>
    <m/>
    <m/>
    <n v="0"/>
  </r>
  <r>
    <x v="0"/>
    <s v="University of North Alabama"/>
    <n v="101879"/>
    <x v="3"/>
    <n v="63"/>
    <n v="76428"/>
    <n v="4814964"/>
    <n v="67"/>
    <n v="76377.746268656716"/>
    <n v="5117309"/>
    <n v="59"/>
    <n v="66158.779661016946"/>
    <n v="3903368"/>
    <n v="55"/>
    <n v="66188.872727272726"/>
    <n v="3640388"/>
    <n v="72"/>
    <n v="54726.736111111109"/>
    <n v="3940325"/>
    <n v="79"/>
    <n v="52825.189873417723"/>
    <n v="4173190"/>
    <n v="30"/>
    <n v="47527.466666666667"/>
    <n v="1425824"/>
    <n v="32"/>
    <n v="46288.875"/>
    <n v="1481244"/>
    <m/>
    <m/>
    <n v="0"/>
    <m/>
    <m/>
    <n v="0"/>
    <m/>
    <m/>
    <n v="0"/>
    <m/>
    <m/>
    <n v="0"/>
    <n v="3"/>
    <n v="92172.666666666672"/>
    <n v="226247.0276"/>
    <n v="5"/>
    <n v="91721.8"/>
    <n v="375233.88380000001"/>
    <n v="1"/>
    <n v="87647"/>
    <n v="71712.775399999999"/>
    <m/>
    <m/>
    <n v="0"/>
    <n v="2"/>
    <n v="69122.5"/>
    <n v="113112.05900000001"/>
    <n v="4"/>
    <n v="66254.75"/>
    <n v="216838.54580000002"/>
    <n v="1"/>
    <n v="66300"/>
    <n v="54246.66"/>
    <m/>
    <m/>
    <n v="0"/>
    <m/>
    <m/>
    <n v="0"/>
    <n v="0"/>
    <m/>
    <n v="0"/>
    <m/>
    <m/>
    <n v="0"/>
    <m/>
    <m/>
    <n v="0"/>
  </r>
  <r>
    <x v="0"/>
    <s v="University of Montevallo"/>
    <n v="101709"/>
    <x v="4"/>
    <n v="34"/>
    <n v="75152.647058823524"/>
    <n v="2555190"/>
    <n v="33"/>
    <n v="78610.606060606064"/>
    <n v="2594150"/>
    <n v="37"/>
    <n v="60906.891891891893"/>
    <n v="2253555"/>
    <n v="38"/>
    <n v="64100.92105263158"/>
    <n v="2435835"/>
    <n v="47"/>
    <n v="49005.851063829788"/>
    <n v="2303275"/>
    <n v="49"/>
    <n v="51384.244897959186"/>
    <n v="2517828"/>
    <n v="18"/>
    <n v="38315.444444444445"/>
    <n v="689678"/>
    <n v="18"/>
    <n v="38559.5"/>
    <n v="694071"/>
    <m/>
    <m/>
    <n v="0"/>
    <m/>
    <m/>
    <n v="0"/>
    <m/>
    <m/>
    <n v="0"/>
    <m/>
    <m/>
    <n v="0"/>
    <m/>
    <m/>
    <n v="0"/>
    <m/>
    <m/>
    <n v="0"/>
    <m/>
    <m/>
    <n v="0"/>
    <m/>
    <m/>
    <n v="0"/>
    <m/>
    <m/>
    <n v="0"/>
    <m/>
    <m/>
    <n v="0"/>
    <m/>
    <m/>
    <n v="0"/>
    <m/>
    <m/>
    <n v="0"/>
    <m/>
    <m/>
    <n v="0"/>
    <m/>
    <m/>
    <n v="0"/>
    <m/>
    <m/>
    <n v="0"/>
    <m/>
    <m/>
    <n v="0"/>
  </r>
  <r>
    <x v="0"/>
    <s v="University of West Alabama"/>
    <n v="101587"/>
    <x v="4"/>
    <n v="18"/>
    <n v="64138"/>
    <n v="1154484"/>
    <n v="16"/>
    <n v="67639.5"/>
    <n v="1082232"/>
    <n v="25"/>
    <n v="62476.4"/>
    <n v="1561910"/>
    <n v="21"/>
    <n v="61547.047619047618"/>
    <n v="1292488"/>
    <n v="33"/>
    <n v="47201.63636363636"/>
    <n v="1557654"/>
    <n v="43"/>
    <n v="51200.604651162794"/>
    <n v="2201626"/>
    <n v="5"/>
    <n v="44113.8"/>
    <n v="220569"/>
    <n v="10"/>
    <n v="40704.5"/>
    <n v="407045"/>
    <n v="11"/>
    <n v="32680.909090909092"/>
    <n v="359490"/>
    <n v="7"/>
    <n v="31300.142857142859"/>
    <n v="219101"/>
    <m/>
    <m/>
    <n v="0"/>
    <m/>
    <m/>
    <n v="0"/>
    <m/>
    <m/>
    <n v="0"/>
    <m/>
    <m/>
    <n v="0"/>
    <m/>
    <m/>
    <n v="0"/>
    <m/>
    <m/>
    <n v="0"/>
    <m/>
    <m/>
    <n v="0"/>
    <m/>
    <m/>
    <n v="0"/>
    <m/>
    <m/>
    <n v="0"/>
    <m/>
    <m/>
    <n v="0"/>
    <m/>
    <m/>
    <n v="0"/>
    <n v="6"/>
    <n v="28263"/>
    <n v="138748.71960000001"/>
    <m/>
    <m/>
    <n v="0"/>
    <m/>
    <m/>
    <n v="0"/>
  </r>
  <r>
    <x v="0"/>
    <s v="Athens State University"/>
    <n v="100812"/>
    <x v="5"/>
    <n v="20"/>
    <n v="83262.5"/>
    <n v="1665250"/>
    <n v="18"/>
    <n v="84069.111111111109"/>
    <n v="1513244"/>
    <n v="21"/>
    <n v="68274.047619047618"/>
    <n v="1433755"/>
    <n v="20"/>
    <n v="72068"/>
    <n v="1441360"/>
    <n v="38"/>
    <n v="59697.684210526313"/>
    <n v="2268512"/>
    <n v="36"/>
    <n v="58922.166666666664"/>
    <n v="2121198"/>
    <n v="3"/>
    <n v="43317.333333333336"/>
    <n v="129952"/>
    <n v="1"/>
    <n v="59858"/>
    <n v="59858"/>
    <m/>
    <m/>
    <n v="0"/>
    <n v="3"/>
    <n v="65257.333333333336"/>
    <n v="195772"/>
    <m/>
    <m/>
    <n v="0"/>
    <m/>
    <m/>
    <n v="0"/>
    <n v="2"/>
    <n v="108820"/>
    <n v="178073.04800000001"/>
    <n v="3"/>
    <n v="101906"/>
    <n v="250138.4676"/>
    <m/>
    <m/>
    <n v="0"/>
    <m/>
    <m/>
    <n v="0"/>
    <m/>
    <m/>
    <n v="0"/>
    <m/>
    <m/>
    <n v="0"/>
    <n v="2"/>
    <n v="66633"/>
    <n v="109038.2412"/>
    <n v="2"/>
    <n v="35547"/>
    <n v="58169.110800000002"/>
    <m/>
    <m/>
    <n v="0"/>
    <m/>
    <m/>
    <n v="0"/>
    <m/>
    <m/>
    <n v="0"/>
    <m/>
    <m/>
    <n v="0"/>
  </r>
  <r>
    <x v="0"/>
    <s v="Jefferson State Community College"/>
    <n v="101505"/>
    <x v="6"/>
    <m/>
    <m/>
    <n v="0"/>
    <m/>
    <m/>
    <n v="0"/>
    <m/>
    <m/>
    <n v="0"/>
    <m/>
    <m/>
    <n v="0"/>
    <m/>
    <m/>
    <n v="0"/>
    <m/>
    <m/>
    <n v="0"/>
    <m/>
    <m/>
    <n v="0"/>
    <m/>
    <m/>
    <n v="0"/>
    <m/>
    <m/>
    <n v="0"/>
    <m/>
    <m/>
    <n v="0"/>
    <n v="135"/>
    <n v="51193.925925925927"/>
    <n v="6911180"/>
    <n v="136"/>
    <n v="52469.38970588235"/>
    <n v="7135837"/>
    <m/>
    <m/>
    <n v="0"/>
    <m/>
    <m/>
    <n v="0"/>
    <m/>
    <m/>
    <n v="0"/>
    <m/>
    <m/>
    <n v="0"/>
    <m/>
    <m/>
    <n v="0"/>
    <m/>
    <m/>
    <n v="0"/>
    <m/>
    <m/>
    <n v="0"/>
    <m/>
    <m/>
    <n v="0"/>
    <m/>
    <m/>
    <n v="0"/>
    <m/>
    <n v="0"/>
    <n v="0"/>
    <n v="15"/>
    <n v="65673.066666666666"/>
    <n v="806005.54720000003"/>
    <n v="16"/>
    <n v="63871.6875"/>
    <n v="836157.03540000005"/>
  </r>
  <r>
    <x v="0"/>
    <s v="John C. Calhoun State Community College "/>
    <n v="101514"/>
    <x v="6"/>
    <m/>
    <m/>
    <n v="0"/>
    <m/>
    <m/>
    <n v="0"/>
    <m/>
    <m/>
    <n v="0"/>
    <m/>
    <m/>
    <n v="0"/>
    <m/>
    <m/>
    <n v="0"/>
    <m/>
    <m/>
    <n v="0"/>
    <m/>
    <m/>
    <n v="0"/>
    <m/>
    <m/>
    <n v="0"/>
    <m/>
    <m/>
    <n v="0"/>
    <m/>
    <m/>
    <n v="0"/>
    <n v="120"/>
    <n v="56593.616666666669"/>
    <n v="6791234"/>
    <n v="140"/>
    <n v="54483.5"/>
    <n v="7627690"/>
    <m/>
    <m/>
    <n v="0"/>
    <m/>
    <m/>
    <n v="0"/>
    <m/>
    <m/>
    <n v="0"/>
    <m/>
    <m/>
    <n v="0"/>
    <m/>
    <m/>
    <n v="0"/>
    <m/>
    <m/>
    <n v="0"/>
    <m/>
    <m/>
    <n v="0"/>
    <m/>
    <m/>
    <n v="0"/>
    <m/>
    <m/>
    <n v="0"/>
    <m/>
    <m/>
    <n v="0"/>
    <m/>
    <m/>
    <n v="0"/>
    <m/>
    <m/>
    <n v="0"/>
  </r>
  <r>
    <x v="0"/>
    <s v="Bevill State Community College"/>
    <n v="102429"/>
    <x v="7"/>
    <m/>
    <m/>
    <n v="0"/>
    <m/>
    <m/>
    <n v="0"/>
    <m/>
    <m/>
    <n v="0"/>
    <m/>
    <m/>
    <n v="0"/>
    <m/>
    <m/>
    <n v="0"/>
    <m/>
    <m/>
    <n v="0"/>
    <m/>
    <m/>
    <n v="0"/>
    <m/>
    <m/>
    <n v="0"/>
    <m/>
    <m/>
    <n v="0"/>
    <m/>
    <m/>
    <n v="0"/>
    <n v="115"/>
    <n v="54010.6"/>
    <n v="6211219"/>
    <n v="120"/>
    <n v="54418.583333333336"/>
    <n v="6530230"/>
    <m/>
    <m/>
    <n v="0"/>
    <m/>
    <m/>
    <n v="0"/>
    <m/>
    <m/>
    <n v="0"/>
    <m/>
    <m/>
    <n v="0"/>
    <m/>
    <m/>
    <n v="0"/>
    <m/>
    <m/>
    <n v="0"/>
    <m/>
    <m/>
    <n v="0"/>
    <m/>
    <m/>
    <n v="0"/>
    <m/>
    <m/>
    <n v="0"/>
    <m/>
    <m/>
    <n v="0"/>
    <m/>
    <m/>
    <n v="0"/>
    <m/>
    <m/>
    <n v="0"/>
  </r>
  <r>
    <x v="0"/>
    <s v="Bishop State Community College"/>
    <n v="102030"/>
    <x v="7"/>
    <m/>
    <m/>
    <n v="0"/>
    <m/>
    <m/>
    <n v="0"/>
    <m/>
    <m/>
    <n v="0"/>
    <m/>
    <m/>
    <n v="0"/>
    <m/>
    <m/>
    <n v="0"/>
    <m/>
    <m/>
    <n v="0"/>
    <m/>
    <m/>
    <n v="0"/>
    <m/>
    <m/>
    <n v="0"/>
    <m/>
    <m/>
    <n v="0"/>
    <m/>
    <m/>
    <n v="0"/>
    <n v="110"/>
    <n v="52491.8"/>
    <n v="5774098"/>
    <n v="93"/>
    <n v="53051.849462365593"/>
    <n v="4933822"/>
    <m/>
    <m/>
    <n v="0"/>
    <m/>
    <m/>
    <n v="0"/>
    <m/>
    <m/>
    <n v="0"/>
    <m/>
    <m/>
    <n v="0"/>
    <m/>
    <m/>
    <n v="0"/>
    <m/>
    <m/>
    <n v="0"/>
    <m/>
    <m/>
    <n v="0"/>
    <m/>
    <m/>
    <n v="0"/>
    <m/>
    <m/>
    <n v="0"/>
    <m/>
    <m/>
    <n v="0"/>
    <n v="2"/>
    <n v="57219.5"/>
    <n v="93633.98980000001"/>
    <n v="6"/>
    <n v="46157.166666666664"/>
    <n v="226594.76260000002"/>
  </r>
  <r>
    <x v="0"/>
    <s v="Gadsden State Community College"/>
    <n v="101240"/>
    <x v="7"/>
    <m/>
    <m/>
    <n v="0"/>
    <m/>
    <m/>
    <n v="0"/>
    <m/>
    <m/>
    <n v="0"/>
    <m/>
    <m/>
    <n v="0"/>
    <m/>
    <m/>
    <n v="0"/>
    <m/>
    <m/>
    <n v="0"/>
    <m/>
    <m/>
    <n v="0"/>
    <m/>
    <m/>
    <n v="0"/>
    <m/>
    <m/>
    <n v="0"/>
    <m/>
    <m/>
    <n v="0"/>
    <n v="146"/>
    <n v="53738.636986301368"/>
    <n v="7845841"/>
    <n v="150"/>
    <n v="53796.18"/>
    <n v="8069427"/>
    <m/>
    <m/>
    <n v="0"/>
    <m/>
    <m/>
    <n v="0"/>
    <m/>
    <m/>
    <n v="0"/>
    <m/>
    <m/>
    <n v="0"/>
    <m/>
    <m/>
    <n v="0"/>
    <m/>
    <m/>
    <n v="0"/>
    <m/>
    <m/>
    <n v="0"/>
    <m/>
    <m/>
    <n v="0"/>
    <m/>
    <m/>
    <n v="0"/>
    <m/>
    <m/>
    <n v="0"/>
    <m/>
    <m/>
    <n v="0"/>
    <m/>
    <m/>
    <n v="0"/>
  </r>
  <r>
    <x v="0"/>
    <s v="George C. Wallace Community College - Dothan"/>
    <n v="101286"/>
    <x v="7"/>
    <m/>
    <m/>
    <n v="0"/>
    <m/>
    <m/>
    <n v="0"/>
    <m/>
    <m/>
    <n v="0"/>
    <m/>
    <m/>
    <n v="0"/>
    <m/>
    <m/>
    <n v="0"/>
    <m/>
    <m/>
    <n v="0"/>
    <m/>
    <m/>
    <n v="0"/>
    <m/>
    <m/>
    <n v="0"/>
    <m/>
    <m/>
    <n v="0"/>
    <m/>
    <m/>
    <n v="0"/>
    <n v="124"/>
    <n v="51706.290322580644"/>
    <n v="6411580"/>
    <n v="123"/>
    <n v="51732.601626016258"/>
    <n v="6363110"/>
    <m/>
    <m/>
    <n v="0"/>
    <m/>
    <m/>
    <n v="0"/>
    <m/>
    <m/>
    <n v="0"/>
    <m/>
    <m/>
    <n v="0"/>
    <m/>
    <m/>
    <n v="0"/>
    <m/>
    <m/>
    <n v="0"/>
    <m/>
    <m/>
    <n v="0"/>
    <m/>
    <m/>
    <n v="0"/>
    <m/>
    <m/>
    <n v="0"/>
    <m/>
    <m/>
    <n v="0"/>
    <n v="2"/>
    <n v="61925.5"/>
    <n v="101334.8882"/>
    <n v="2"/>
    <n v="61925.5"/>
    <n v="101334.8882"/>
  </r>
  <r>
    <x v="0"/>
    <s v="James H. Faulkner State Community College"/>
    <n v="101161"/>
    <x v="7"/>
    <m/>
    <m/>
    <n v="0"/>
    <m/>
    <m/>
    <n v="0"/>
    <m/>
    <m/>
    <n v="0"/>
    <m/>
    <m/>
    <n v="0"/>
    <m/>
    <m/>
    <n v="0"/>
    <m/>
    <m/>
    <n v="0"/>
    <m/>
    <m/>
    <n v="0"/>
    <m/>
    <m/>
    <n v="0"/>
    <m/>
    <m/>
    <n v="0"/>
    <m/>
    <m/>
    <n v="0"/>
    <n v="57"/>
    <n v="51864.333333333336"/>
    <n v="2956267"/>
    <n v="59"/>
    <n v="54371.508474576272"/>
    <n v="3207919"/>
    <m/>
    <m/>
    <n v="0"/>
    <m/>
    <m/>
    <n v="0"/>
    <m/>
    <m/>
    <n v="0"/>
    <m/>
    <m/>
    <n v="0"/>
    <m/>
    <m/>
    <n v="0"/>
    <m/>
    <m/>
    <n v="0"/>
    <m/>
    <m/>
    <n v="0"/>
    <m/>
    <m/>
    <n v="0"/>
    <m/>
    <m/>
    <n v="0"/>
    <m/>
    <m/>
    <n v="0"/>
    <n v="12"/>
    <n v="77930.5"/>
    <n v="765152.82120000001"/>
    <n v="11"/>
    <n v="77309.272727272721"/>
    <n v="695798.91639999999"/>
  </r>
  <r>
    <x v="0"/>
    <s v="Lawson State Community College "/>
    <n v="101569"/>
    <x v="7"/>
    <m/>
    <m/>
    <n v="0"/>
    <m/>
    <m/>
    <n v="0"/>
    <m/>
    <m/>
    <n v="0"/>
    <m/>
    <m/>
    <n v="0"/>
    <m/>
    <m/>
    <n v="0"/>
    <m/>
    <m/>
    <n v="0"/>
    <m/>
    <m/>
    <n v="0"/>
    <m/>
    <m/>
    <n v="0"/>
    <m/>
    <m/>
    <n v="0"/>
    <m/>
    <m/>
    <n v="0"/>
    <n v="96"/>
    <n v="52788.833333333336"/>
    <n v="5067728"/>
    <n v="96"/>
    <n v="53480.177083333336"/>
    <n v="5134097"/>
    <m/>
    <m/>
    <n v="0"/>
    <m/>
    <m/>
    <n v="0"/>
    <m/>
    <m/>
    <n v="0"/>
    <m/>
    <m/>
    <n v="0"/>
    <m/>
    <m/>
    <n v="0"/>
    <m/>
    <m/>
    <n v="0"/>
    <m/>
    <m/>
    <n v="0"/>
    <m/>
    <m/>
    <n v="0"/>
    <m/>
    <m/>
    <n v="0"/>
    <m/>
    <m/>
    <n v="0"/>
    <m/>
    <m/>
    <n v="0"/>
    <m/>
    <m/>
    <n v="0"/>
  </r>
  <r>
    <x v="0"/>
    <s v="Northwest-Shoals Community College"/>
    <n v="101736"/>
    <x v="7"/>
    <m/>
    <m/>
    <n v="0"/>
    <m/>
    <m/>
    <n v="0"/>
    <m/>
    <m/>
    <n v="0"/>
    <m/>
    <m/>
    <n v="0"/>
    <m/>
    <m/>
    <n v="0"/>
    <m/>
    <m/>
    <n v="0"/>
    <m/>
    <m/>
    <n v="0"/>
    <m/>
    <m/>
    <n v="0"/>
    <m/>
    <m/>
    <n v="0"/>
    <m/>
    <m/>
    <n v="0"/>
    <n v="84"/>
    <n v="53484.857142857145"/>
    <n v="4492728"/>
    <n v="92"/>
    <n v="52451.065217391304"/>
    <n v="4825498"/>
    <m/>
    <m/>
    <n v="0"/>
    <m/>
    <m/>
    <n v="0"/>
    <m/>
    <m/>
    <n v="0"/>
    <m/>
    <m/>
    <n v="0"/>
    <m/>
    <m/>
    <n v="0"/>
    <m/>
    <m/>
    <n v="0"/>
    <m/>
    <m/>
    <n v="0"/>
    <m/>
    <m/>
    <n v="0"/>
    <m/>
    <m/>
    <n v="0"/>
    <m/>
    <m/>
    <n v="0"/>
    <n v="1"/>
    <n v="62524"/>
    <n v="51157.1368"/>
    <m/>
    <m/>
    <n v="0"/>
  </r>
  <r>
    <x v="0"/>
    <s v="Shelton State Community College"/>
    <n v="102067"/>
    <x v="7"/>
    <m/>
    <m/>
    <n v="0"/>
    <m/>
    <m/>
    <n v="0"/>
    <m/>
    <m/>
    <n v="0"/>
    <m/>
    <m/>
    <n v="0"/>
    <m/>
    <m/>
    <n v="0"/>
    <m/>
    <m/>
    <n v="0"/>
    <m/>
    <m/>
    <n v="0"/>
    <m/>
    <m/>
    <n v="0"/>
    <m/>
    <m/>
    <n v="0"/>
    <m/>
    <m/>
    <n v="0"/>
    <n v="74"/>
    <n v="55104.810810810814"/>
    <n v="4077756"/>
    <n v="81"/>
    <n v="54336.91358024691"/>
    <n v="4401290"/>
    <m/>
    <m/>
    <n v="0"/>
    <m/>
    <m/>
    <n v="0"/>
    <m/>
    <m/>
    <n v="0"/>
    <m/>
    <m/>
    <n v="0"/>
    <m/>
    <m/>
    <n v="0"/>
    <m/>
    <m/>
    <n v="0"/>
    <m/>
    <m/>
    <n v="0"/>
    <m/>
    <m/>
    <n v="0"/>
    <m/>
    <m/>
    <n v="0"/>
    <m/>
    <m/>
    <n v="0"/>
    <n v="4"/>
    <n v="63376.25"/>
    <n v="207417.791"/>
    <m/>
    <m/>
    <n v="0"/>
  </r>
  <r>
    <x v="0"/>
    <s v="Southern Union State Community College"/>
    <n v="251260"/>
    <x v="7"/>
    <m/>
    <m/>
    <n v="0"/>
    <m/>
    <m/>
    <n v="0"/>
    <m/>
    <m/>
    <n v="0"/>
    <m/>
    <m/>
    <n v="0"/>
    <m/>
    <m/>
    <n v="0"/>
    <m/>
    <m/>
    <n v="0"/>
    <m/>
    <m/>
    <n v="0"/>
    <m/>
    <m/>
    <n v="0"/>
    <m/>
    <m/>
    <n v="0"/>
    <m/>
    <m/>
    <n v="0"/>
    <n v="86"/>
    <n v="51279.186046511626"/>
    <n v="4410010"/>
    <n v="88"/>
    <n v="51725.965909090912"/>
    <n v="4551885"/>
    <m/>
    <m/>
    <n v="0"/>
    <m/>
    <m/>
    <n v="0"/>
    <m/>
    <m/>
    <n v="0"/>
    <m/>
    <m/>
    <n v="0"/>
    <m/>
    <m/>
    <n v="0"/>
    <m/>
    <m/>
    <n v="0"/>
    <m/>
    <m/>
    <n v="0"/>
    <m/>
    <m/>
    <n v="0"/>
    <m/>
    <m/>
    <n v="0"/>
    <m/>
    <m/>
    <n v="0"/>
    <m/>
    <m/>
    <n v="0"/>
    <m/>
    <m/>
    <n v="0"/>
  </r>
  <r>
    <x v="0"/>
    <s v="Wallace Community College - Hanceville"/>
    <n v="101295"/>
    <x v="7"/>
    <m/>
    <m/>
    <n v="0"/>
    <m/>
    <m/>
    <n v="0"/>
    <m/>
    <m/>
    <n v="0"/>
    <m/>
    <m/>
    <n v="0"/>
    <m/>
    <m/>
    <n v="0"/>
    <m/>
    <m/>
    <n v="0"/>
    <m/>
    <m/>
    <n v="0"/>
    <m/>
    <m/>
    <n v="0"/>
    <m/>
    <m/>
    <n v="0"/>
    <m/>
    <m/>
    <n v="0"/>
    <n v="117"/>
    <n v="52773.025641025641"/>
    <n v="6174444"/>
    <n v="123"/>
    <n v="51992.642276422761"/>
    <n v="6395095"/>
    <m/>
    <m/>
    <n v="0"/>
    <m/>
    <m/>
    <n v="0"/>
    <m/>
    <m/>
    <n v="0"/>
    <m/>
    <m/>
    <n v="0"/>
    <m/>
    <m/>
    <n v="0"/>
    <m/>
    <m/>
    <n v="0"/>
    <m/>
    <m/>
    <n v="0"/>
    <m/>
    <m/>
    <n v="0"/>
    <m/>
    <m/>
    <n v="0"/>
    <m/>
    <m/>
    <n v="0"/>
    <m/>
    <m/>
    <n v="0"/>
    <m/>
    <m/>
    <n v="0"/>
  </r>
  <r>
    <x v="0"/>
    <s v="Alabama Southern Community College"/>
    <n v="101949"/>
    <x v="8"/>
    <m/>
    <m/>
    <n v="0"/>
    <m/>
    <m/>
    <n v="0"/>
    <m/>
    <m/>
    <n v="0"/>
    <m/>
    <m/>
    <n v="0"/>
    <m/>
    <m/>
    <n v="0"/>
    <m/>
    <m/>
    <n v="0"/>
    <m/>
    <m/>
    <n v="0"/>
    <m/>
    <m/>
    <n v="0"/>
    <m/>
    <m/>
    <n v="0"/>
    <m/>
    <m/>
    <n v="0"/>
    <n v="38"/>
    <n v="51761.026315789473"/>
    <n v="1966919"/>
    <n v="37"/>
    <n v="52329.135135135133"/>
    <n v="1936178"/>
    <m/>
    <m/>
    <n v="0"/>
    <m/>
    <m/>
    <n v="0"/>
    <m/>
    <m/>
    <n v="0"/>
    <m/>
    <m/>
    <n v="0"/>
    <m/>
    <m/>
    <n v="0"/>
    <m/>
    <m/>
    <n v="0"/>
    <m/>
    <m/>
    <n v="0"/>
    <m/>
    <m/>
    <n v="0"/>
    <m/>
    <m/>
    <n v="0"/>
    <m/>
    <m/>
    <n v="0"/>
    <n v="20"/>
    <n v="43933.599999999999"/>
    <n v="718929.43040000007"/>
    <n v="21"/>
    <n v="46974.857142857145"/>
    <n v="807131.39040000003"/>
  </r>
  <r>
    <x v="0"/>
    <s v="Central Alabama Community College"/>
    <n v="100760"/>
    <x v="8"/>
    <m/>
    <m/>
    <n v="0"/>
    <m/>
    <m/>
    <n v="0"/>
    <m/>
    <m/>
    <n v="0"/>
    <m/>
    <m/>
    <n v="0"/>
    <m/>
    <m/>
    <n v="0"/>
    <m/>
    <m/>
    <n v="0"/>
    <m/>
    <m/>
    <n v="0"/>
    <m/>
    <m/>
    <n v="0"/>
    <m/>
    <m/>
    <n v="0"/>
    <m/>
    <m/>
    <n v="0"/>
    <n v="60"/>
    <n v="52557.26666666667"/>
    <n v="3153436"/>
    <n v="57"/>
    <n v="54774.894736842107"/>
    <n v="3122169"/>
    <m/>
    <m/>
    <n v="0"/>
    <m/>
    <m/>
    <n v="0"/>
    <m/>
    <m/>
    <n v="0"/>
    <m/>
    <m/>
    <n v="0"/>
    <m/>
    <m/>
    <n v="0"/>
    <m/>
    <m/>
    <n v="0"/>
    <m/>
    <m/>
    <n v="0"/>
    <m/>
    <m/>
    <n v="0"/>
    <m/>
    <m/>
    <n v="0"/>
    <m/>
    <m/>
    <n v="0"/>
    <m/>
    <m/>
    <n v="0"/>
    <m/>
    <m/>
    <n v="0"/>
  </r>
  <r>
    <x v="0"/>
    <s v="Chattahoochee Valley State Community College "/>
    <n v="101028"/>
    <x v="8"/>
    <m/>
    <m/>
    <n v="0"/>
    <m/>
    <m/>
    <n v="0"/>
    <m/>
    <m/>
    <n v="0"/>
    <m/>
    <m/>
    <n v="0"/>
    <m/>
    <m/>
    <n v="0"/>
    <m/>
    <m/>
    <n v="0"/>
    <m/>
    <m/>
    <n v="0"/>
    <m/>
    <m/>
    <n v="0"/>
    <m/>
    <m/>
    <n v="0"/>
    <m/>
    <m/>
    <n v="0"/>
    <n v="33"/>
    <n v="52256.878787878784"/>
    <n v="1724477"/>
    <n v="31"/>
    <n v="54890.870967741932"/>
    <n v="1701617"/>
    <m/>
    <m/>
    <n v="0"/>
    <m/>
    <m/>
    <n v="0"/>
    <m/>
    <m/>
    <n v="0"/>
    <m/>
    <m/>
    <n v="0"/>
    <m/>
    <m/>
    <n v="0"/>
    <m/>
    <m/>
    <n v="0"/>
    <m/>
    <m/>
    <n v="0"/>
    <m/>
    <m/>
    <n v="0"/>
    <m/>
    <m/>
    <n v="0"/>
    <m/>
    <m/>
    <n v="0"/>
    <m/>
    <m/>
    <n v="0"/>
    <m/>
    <m/>
    <n v="0"/>
  </r>
  <r>
    <x v="0"/>
    <s v="Enterprise-Ozark Community College "/>
    <n v="101143"/>
    <x v="8"/>
    <m/>
    <m/>
    <n v="0"/>
    <m/>
    <m/>
    <n v="0"/>
    <m/>
    <m/>
    <n v="0"/>
    <m/>
    <m/>
    <n v="0"/>
    <m/>
    <m/>
    <n v="0"/>
    <m/>
    <m/>
    <n v="0"/>
    <m/>
    <m/>
    <n v="0"/>
    <m/>
    <m/>
    <n v="0"/>
    <m/>
    <m/>
    <n v="0"/>
    <m/>
    <m/>
    <n v="0"/>
    <n v="55"/>
    <n v="58716.781818181815"/>
    <n v="3229423"/>
    <n v="62"/>
    <n v="51593.758064516129"/>
    <n v="3198813"/>
    <m/>
    <m/>
    <n v="0"/>
    <m/>
    <m/>
    <n v="0"/>
    <m/>
    <m/>
    <n v="0"/>
    <m/>
    <m/>
    <n v="0"/>
    <m/>
    <m/>
    <n v="0"/>
    <m/>
    <m/>
    <n v="0"/>
    <m/>
    <m/>
    <n v="0"/>
    <m/>
    <m/>
    <n v="0"/>
    <m/>
    <m/>
    <n v="0"/>
    <m/>
    <m/>
    <n v="0"/>
    <n v="3"/>
    <n v="40721.666666666664"/>
    <n v="99955.403000000006"/>
    <m/>
    <m/>
    <n v="0"/>
  </r>
  <r>
    <x v="0"/>
    <s v="George Corley Wallace State Community College - Selma"/>
    <n v="101301"/>
    <x v="8"/>
    <m/>
    <m/>
    <n v="0"/>
    <m/>
    <m/>
    <n v="0"/>
    <m/>
    <m/>
    <n v="0"/>
    <m/>
    <m/>
    <n v="0"/>
    <m/>
    <m/>
    <n v="0"/>
    <m/>
    <m/>
    <n v="0"/>
    <m/>
    <m/>
    <n v="0"/>
    <m/>
    <m/>
    <n v="0"/>
    <m/>
    <m/>
    <n v="0"/>
    <m/>
    <m/>
    <n v="0"/>
    <n v="40"/>
    <n v="52404.800000000003"/>
    <n v="2096192"/>
    <n v="45"/>
    <n v="51234.400000000001"/>
    <n v="2305548"/>
    <m/>
    <m/>
    <n v="0"/>
    <m/>
    <m/>
    <n v="0"/>
    <m/>
    <m/>
    <n v="0"/>
    <m/>
    <m/>
    <n v="0"/>
    <m/>
    <m/>
    <n v="0"/>
    <m/>
    <m/>
    <n v="0"/>
    <m/>
    <m/>
    <n v="0"/>
    <m/>
    <m/>
    <n v="0"/>
    <m/>
    <m/>
    <n v="0"/>
    <m/>
    <m/>
    <n v="0"/>
    <m/>
    <m/>
    <n v="0"/>
    <m/>
    <m/>
    <n v="0"/>
  </r>
  <r>
    <x v="0"/>
    <s v="Jefferson Davis Community College"/>
    <n v="101499"/>
    <x v="8"/>
    <m/>
    <m/>
    <n v="0"/>
    <m/>
    <m/>
    <n v="0"/>
    <m/>
    <m/>
    <n v="0"/>
    <m/>
    <m/>
    <n v="0"/>
    <m/>
    <m/>
    <n v="0"/>
    <m/>
    <m/>
    <n v="0"/>
    <m/>
    <m/>
    <n v="0"/>
    <m/>
    <m/>
    <n v="0"/>
    <m/>
    <m/>
    <n v="0"/>
    <m/>
    <m/>
    <n v="0"/>
    <n v="39"/>
    <n v="53384.307692307695"/>
    <n v="2081988"/>
    <n v="37"/>
    <n v="52106.486486486487"/>
    <n v="1927940"/>
    <m/>
    <m/>
    <n v="0"/>
    <m/>
    <m/>
    <n v="0"/>
    <m/>
    <m/>
    <n v="0"/>
    <m/>
    <m/>
    <n v="0"/>
    <m/>
    <m/>
    <n v="0"/>
    <m/>
    <m/>
    <n v="0"/>
    <m/>
    <m/>
    <n v="0"/>
    <m/>
    <m/>
    <n v="0"/>
    <m/>
    <m/>
    <n v="0"/>
    <m/>
    <m/>
    <n v="0"/>
    <n v="3"/>
    <n v="79758.666666666672"/>
    <n v="195775.6232"/>
    <n v="4"/>
    <n v="77185.5"/>
    <n v="252612.70440000002"/>
  </r>
  <r>
    <x v="0"/>
    <s v="Lurleen B. Wallace Community College "/>
    <n v="101602"/>
    <x v="8"/>
    <m/>
    <m/>
    <n v="0"/>
    <m/>
    <m/>
    <n v="0"/>
    <m/>
    <m/>
    <n v="0"/>
    <m/>
    <m/>
    <n v="0"/>
    <m/>
    <m/>
    <n v="0"/>
    <m/>
    <m/>
    <n v="0"/>
    <m/>
    <m/>
    <n v="0"/>
    <m/>
    <m/>
    <n v="0"/>
    <m/>
    <m/>
    <n v="0"/>
    <m/>
    <m/>
    <n v="0"/>
    <n v="53"/>
    <n v="52609.792452830188"/>
    <n v="2788319"/>
    <n v="51"/>
    <n v="51954.156862745098"/>
    <n v="2649662"/>
    <m/>
    <m/>
    <n v="0"/>
    <m/>
    <m/>
    <n v="0"/>
    <m/>
    <m/>
    <n v="0"/>
    <m/>
    <m/>
    <n v="0"/>
    <m/>
    <m/>
    <n v="0"/>
    <m/>
    <m/>
    <n v="0"/>
    <m/>
    <m/>
    <n v="0"/>
    <m/>
    <m/>
    <n v="0"/>
    <m/>
    <m/>
    <n v="0"/>
    <m/>
    <m/>
    <n v="0"/>
    <m/>
    <m/>
    <n v="0"/>
    <m/>
    <m/>
    <n v="0"/>
  </r>
  <r>
    <x v="0"/>
    <s v="Northeast Alabama State Community College "/>
    <n v="101897"/>
    <x v="8"/>
    <m/>
    <m/>
    <n v="0"/>
    <m/>
    <m/>
    <n v="0"/>
    <m/>
    <m/>
    <n v="0"/>
    <m/>
    <m/>
    <n v="0"/>
    <m/>
    <m/>
    <n v="0"/>
    <m/>
    <m/>
    <n v="0"/>
    <m/>
    <m/>
    <n v="0"/>
    <m/>
    <m/>
    <n v="0"/>
    <m/>
    <m/>
    <n v="0"/>
    <m/>
    <m/>
    <n v="0"/>
    <n v="38"/>
    <n v="53757.868421052633"/>
    <n v="2042799"/>
    <n v="40"/>
    <n v="53873.5"/>
    <n v="2154940"/>
    <m/>
    <m/>
    <n v="0"/>
    <m/>
    <m/>
    <n v="0"/>
    <m/>
    <m/>
    <n v="0"/>
    <m/>
    <m/>
    <n v="0"/>
    <m/>
    <m/>
    <n v="0"/>
    <m/>
    <m/>
    <n v="0"/>
    <m/>
    <m/>
    <n v="0"/>
    <m/>
    <m/>
    <n v="0"/>
    <m/>
    <m/>
    <n v="0"/>
    <m/>
    <m/>
    <n v="0"/>
    <n v="5"/>
    <n v="77663.399999999994"/>
    <n v="317720.9694"/>
    <n v="6"/>
    <n v="82703.166666666672"/>
    <n v="406006.38580000005"/>
  </r>
  <r>
    <x v="0"/>
    <s v="Snead State Community College "/>
    <n v="102076"/>
    <x v="8"/>
    <m/>
    <m/>
    <n v="0"/>
    <m/>
    <m/>
    <n v="0"/>
    <m/>
    <m/>
    <n v="0"/>
    <m/>
    <m/>
    <n v="0"/>
    <m/>
    <m/>
    <n v="0"/>
    <m/>
    <m/>
    <n v="0"/>
    <m/>
    <m/>
    <n v="0"/>
    <m/>
    <m/>
    <n v="0"/>
    <m/>
    <m/>
    <n v="0"/>
    <m/>
    <m/>
    <n v="0"/>
    <n v="19"/>
    <n v="55678.57894736842"/>
    <n v="1057893"/>
    <n v="18"/>
    <n v="55192.777777777781"/>
    <n v="993470"/>
    <m/>
    <m/>
    <n v="0"/>
    <m/>
    <m/>
    <n v="0"/>
    <m/>
    <m/>
    <n v="0"/>
    <m/>
    <m/>
    <n v="0"/>
    <m/>
    <m/>
    <n v="0"/>
    <m/>
    <m/>
    <n v="0"/>
    <m/>
    <m/>
    <n v="0"/>
    <m/>
    <m/>
    <n v="0"/>
    <m/>
    <m/>
    <n v="0"/>
    <m/>
    <m/>
    <n v="0"/>
    <n v="15"/>
    <n v="74345.8"/>
    <n v="912446.00340000005"/>
    <n v="17"/>
    <n v="74570.823529411762"/>
    <n v="1037235.4128"/>
  </r>
  <r>
    <x v="0"/>
    <s v="Trenholm State Technical College "/>
    <n v="102313"/>
    <x v="9"/>
    <m/>
    <m/>
    <n v="0"/>
    <m/>
    <m/>
    <n v="0"/>
    <m/>
    <m/>
    <n v="0"/>
    <m/>
    <m/>
    <n v="0"/>
    <m/>
    <m/>
    <n v="0"/>
    <m/>
    <m/>
    <n v="0"/>
    <m/>
    <m/>
    <n v="0"/>
    <m/>
    <m/>
    <n v="0"/>
    <m/>
    <m/>
    <n v="0"/>
    <m/>
    <m/>
    <n v="0"/>
    <n v="59"/>
    <n v="52380.423728813563"/>
    <n v="3090445"/>
    <n v="59"/>
    <n v="52848.08474576271"/>
    <n v="3118037"/>
    <m/>
    <m/>
    <n v="0"/>
    <m/>
    <m/>
    <n v="0"/>
    <m/>
    <m/>
    <n v="0"/>
    <m/>
    <m/>
    <n v="0"/>
    <m/>
    <m/>
    <n v="0"/>
    <m/>
    <m/>
    <n v="0"/>
    <m/>
    <m/>
    <n v="0"/>
    <m/>
    <m/>
    <n v="0"/>
    <m/>
    <m/>
    <n v="0"/>
    <m/>
    <m/>
    <n v="0"/>
    <n v="7"/>
    <n v="86137.71428571429"/>
    <n v="493345.14480000001"/>
    <n v="7"/>
    <n v="88165.142857142855"/>
    <n v="504957.0392"/>
  </r>
  <r>
    <x v="0"/>
    <s v="J.F. Drake State Technical College "/>
    <n v="101462"/>
    <x v="10"/>
    <m/>
    <m/>
    <n v="0"/>
    <m/>
    <m/>
    <n v="0"/>
    <m/>
    <m/>
    <n v="0"/>
    <m/>
    <m/>
    <n v="0"/>
    <m/>
    <m/>
    <n v="0"/>
    <m/>
    <m/>
    <n v="0"/>
    <m/>
    <m/>
    <n v="0"/>
    <m/>
    <m/>
    <n v="0"/>
    <m/>
    <m/>
    <n v="0"/>
    <m/>
    <m/>
    <n v="0"/>
    <n v="25"/>
    <n v="49659.24"/>
    <n v="1241481"/>
    <n v="29"/>
    <n v="63521.413793103449"/>
    <n v="1842121"/>
    <m/>
    <m/>
    <n v="0"/>
    <m/>
    <m/>
    <n v="0"/>
    <m/>
    <m/>
    <n v="0"/>
    <m/>
    <m/>
    <n v="0"/>
    <m/>
    <m/>
    <n v="0"/>
    <m/>
    <m/>
    <n v="0"/>
    <m/>
    <m/>
    <n v="0"/>
    <m/>
    <m/>
    <n v="0"/>
    <m/>
    <m/>
    <n v="0"/>
    <m/>
    <m/>
    <n v="0"/>
    <m/>
    <m/>
    <n v="0"/>
    <m/>
    <m/>
    <n v="0"/>
  </r>
  <r>
    <x v="0"/>
    <s v="J.F. Ingram State Technical College "/>
    <n v="101471"/>
    <x v="10"/>
    <m/>
    <m/>
    <n v="0"/>
    <m/>
    <m/>
    <n v="0"/>
    <m/>
    <m/>
    <n v="0"/>
    <m/>
    <m/>
    <n v="0"/>
    <m/>
    <m/>
    <n v="0"/>
    <m/>
    <m/>
    <n v="0"/>
    <m/>
    <m/>
    <n v="0"/>
    <m/>
    <m/>
    <n v="0"/>
    <m/>
    <m/>
    <n v="0"/>
    <m/>
    <m/>
    <n v="0"/>
    <n v="16"/>
    <n v="46068.0625"/>
    <n v="737089"/>
    <n v="17"/>
    <n v="47717.058823529413"/>
    <n v="811190"/>
    <m/>
    <m/>
    <n v="0"/>
    <m/>
    <m/>
    <n v="0"/>
    <m/>
    <m/>
    <n v="0"/>
    <m/>
    <m/>
    <n v="0"/>
    <m/>
    <m/>
    <n v="0"/>
    <m/>
    <m/>
    <n v="0"/>
    <m/>
    <m/>
    <n v="0"/>
    <m/>
    <m/>
    <n v="0"/>
    <m/>
    <m/>
    <n v="0"/>
    <m/>
    <m/>
    <n v="0"/>
    <n v="18"/>
    <n v="83973.111111111109"/>
    <n v="1236722.3912"/>
    <n v="18"/>
    <n v="81712.444444444438"/>
    <n v="1203428.1968"/>
  </r>
  <r>
    <x v="0"/>
    <s v="Reid State Technical College "/>
    <n v="101994"/>
    <x v="10"/>
    <m/>
    <m/>
    <n v="0"/>
    <m/>
    <m/>
    <n v="0"/>
    <m/>
    <m/>
    <n v="0"/>
    <m/>
    <m/>
    <n v="0"/>
    <m/>
    <m/>
    <n v="0"/>
    <m/>
    <m/>
    <n v="0"/>
    <m/>
    <m/>
    <n v="0"/>
    <m/>
    <m/>
    <n v="0"/>
    <m/>
    <m/>
    <n v="0"/>
    <m/>
    <m/>
    <n v="0"/>
    <n v="21"/>
    <n v="50273.142857142855"/>
    <n v="1055736"/>
    <n v="19"/>
    <n v="50639.052631578947"/>
    <n v="962142"/>
    <m/>
    <m/>
    <n v="0"/>
    <m/>
    <m/>
    <n v="0"/>
    <m/>
    <m/>
    <n v="0"/>
    <m/>
    <m/>
    <n v="0"/>
    <m/>
    <m/>
    <n v="0"/>
    <m/>
    <m/>
    <n v="0"/>
    <m/>
    <m/>
    <n v="0"/>
    <m/>
    <m/>
    <n v="0"/>
    <m/>
    <m/>
    <n v="0"/>
    <m/>
    <m/>
    <n v="0"/>
    <n v="5"/>
    <n v="63547.199999999997"/>
    <n v="259971.59520000001"/>
    <n v="6"/>
    <n v="53948.166666666664"/>
    <n v="264842.33980000002"/>
  </r>
  <r>
    <x v="1"/>
    <s v="University of Arkansas, Fayetteville"/>
    <n v="106397"/>
    <x v="0"/>
    <n v="204"/>
    <n v="100551"/>
    <n v="20512404"/>
    <n v="211"/>
    <n v="103195"/>
    <n v="21774145"/>
    <n v="152"/>
    <n v="73009"/>
    <n v="11097368"/>
    <n v="150"/>
    <n v="73928"/>
    <n v="11089200"/>
    <n v="127"/>
    <n v="64792"/>
    <n v="8228584"/>
    <n v="148.00065779856746"/>
    <n v="68410"/>
    <n v="10124725"/>
    <n v="71"/>
    <n v="40707"/>
    <n v="2890197"/>
    <n v="90"/>
    <n v="38816"/>
    <n v="3493440"/>
    <n v="60"/>
    <n v="40378"/>
    <n v="2422680"/>
    <m/>
    <m/>
    <n v="0"/>
    <m/>
    <m/>
    <n v="0"/>
    <m/>
    <m/>
    <n v="0"/>
    <n v="145"/>
    <n v="116675"/>
    <n v="13842205.325000001"/>
    <n v="140"/>
    <n v="122591"/>
    <n v="14042553.868000001"/>
    <n v="67"/>
    <n v="84660"/>
    <n v="4641010.4040000001"/>
    <n v="69"/>
    <n v="87790"/>
    <n v="4956254.682"/>
    <n v="8"/>
    <n v="78430"/>
    <n v="513371.408"/>
    <n v="16"/>
    <n v="75813"/>
    <n v="992483.14560000005"/>
    <n v="30"/>
    <n v="52707"/>
    <n v="1293746.0220000001"/>
    <n v="25"/>
    <n v="52908"/>
    <n v="1082233.1400000001"/>
    <n v="10"/>
    <n v="55955"/>
    <n v="457823.81"/>
    <m/>
    <m/>
    <n v="0"/>
    <m/>
    <m/>
    <n v="0"/>
    <m/>
    <m/>
    <n v="0"/>
  </r>
  <r>
    <x v="1"/>
    <s v="Arkansas State University"/>
    <n v="106458"/>
    <x v="2"/>
    <n v="75"/>
    <n v="72681"/>
    <n v="5451075"/>
    <n v="75"/>
    <n v="73739"/>
    <n v="5530425"/>
    <n v="89"/>
    <n v="58920"/>
    <n v="5243880"/>
    <n v="97"/>
    <n v="59975"/>
    <n v="5817575"/>
    <n v="136"/>
    <n v="53100"/>
    <n v="7221600"/>
    <n v="133.99981342935502"/>
    <n v="53599"/>
    <n v="7182255.9999999991"/>
    <n v="89"/>
    <n v="37421"/>
    <n v="3330469"/>
    <n v="93"/>
    <n v="37008"/>
    <n v="3441744"/>
    <n v="31"/>
    <n v="37475"/>
    <n v="1161725"/>
    <m/>
    <m/>
    <n v="0"/>
    <m/>
    <m/>
    <n v="0"/>
    <m/>
    <m/>
    <n v="0"/>
    <n v="21"/>
    <n v="101386"/>
    <n v="1742034.5292"/>
    <n v="19"/>
    <n v="99824"/>
    <n v="1551843.9392000001"/>
    <n v="21"/>
    <n v="88457"/>
    <n v="1519885.8654"/>
    <n v="18"/>
    <n v="86933"/>
    <n v="1280314.4508"/>
    <n v="15"/>
    <n v="64026"/>
    <n v="785791.098"/>
    <n v="13"/>
    <n v="66030"/>
    <n v="702334.69799999997"/>
    <n v="13"/>
    <n v="43233"/>
    <n v="459852.12780000002"/>
    <n v="12"/>
    <n v="41555"/>
    <n v="408003.61200000002"/>
    <n v="0"/>
    <n v="0"/>
    <n v="0"/>
    <m/>
    <m/>
    <n v="0"/>
    <m/>
    <m/>
    <n v="0"/>
    <m/>
    <m/>
    <n v="0"/>
  </r>
  <r>
    <x v="1"/>
    <s v="University of Arkansas at Little Rock"/>
    <n v="106245"/>
    <x v="2"/>
    <n v="102"/>
    <n v="84031"/>
    <n v="8571162"/>
    <n v="110"/>
    <n v="83158"/>
    <n v="9147380"/>
    <n v="98"/>
    <n v="67880"/>
    <n v="6652240"/>
    <n v="111"/>
    <n v="67912"/>
    <n v="7538232"/>
    <n v="125"/>
    <n v="57130"/>
    <n v="7141250"/>
    <n v="111.00069542238217"/>
    <n v="57519"/>
    <n v="6384649"/>
    <n v="65"/>
    <n v="39971"/>
    <n v="2598115"/>
    <n v="87"/>
    <n v="40297"/>
    <n v="3505839"/>
    <n v="0"/>
    <n v="0"/>
    <n v="0"/>
    <n v="5"/>
    <n v="49921"/>
    <n v="249605"/>
    <m/>
    <m/>
    <n v="0"/>
    <m/>
    <m/>
    <n v="0"/>
    <n v="37"/>
    <n v="97046"/>
    <n v="2937912.3764"/>
    <n v="39"/>
    <n v="95567"/>
    <n v="3049523.8566000001"/>
    <n v="12"/>
    <n v="82633"/>
    <n v="811323.84720000008"/>
    <n v="12"/>
    <n v="87209"/>
    <n v="856252.8456"/>
    <n v="19"/>
    <n v="63615"/>
    <n v="988946.06700000004"/>
    <n v="15"/>
    <n v="59484"/>
    <n v="730047.13199999998"/>
    <n v="15"/>
    <n v="51323"/>
    <n v="629887.179"/>
    <n v="17"/>
    <n v="52380"/>
    <n v="728574.37200000009"/>
    <n v="1"/>
    <n v="39000"/>
    <n v="31909.800000000003"/>
    <n v="5"/>
    <n v="39723"/>
    <n v="162506.79300000001"/>
    <m/>
    <m/>
    <n v="0"/>
    <m/>
    <m/>
    <n v="0"/>
  </r>
  <r>
    <x v="1"/>
    <s v="University of Central Arkansas "/>
    <n v="106704"/>
    <x v="2"/>
    <n v="64"/>
    <n v="76302"/>
    <n v="4883328"/>
    <n v="65"/>
    <n v="76675"/>
    <n v="4983875"/>
    <n v="76"/>
    <n v="60130"/>
    <n v="4569880"/>
    <n v="79"/>
    <n v="62011"/>
    <n v="4898869"/>
    <n v="166"/>
    <n v="52883"/>
    <n v="8778578"/>
    <n v="158.99859440609208"/>
    <n v="56204"/>
    <n v="8936357"/>
    <n v="86"/>
    <n v="41142"/>
    <n v="3538212"/>
    <n v="119"/>
    <n v="44074"/>
    <n v="5244806"/>
    <n v="52"/>
    <n v="41081"/>
    <n v="2136212"/>
    <m/>
    <m/>
    <n v="0"/>
    <m/>
    <m/>
    <n v="0"/>
    <m/>
    <m/>
    <n v="0"/>
    <n v="27"/>
    <n v="95911"/>
    <n v="2118808.2653999999"/>
    <n v="29"/>
    <n v="97151"/>
    <n v="2305179.4978"/>
    <n v="18"/>
    <n v="94471"/>
    <n v="1391331.0996000001"/>
    <n v="12"/>
    <n v="90154"/>
    <n v="885168.03360000008"/>
    <n v="4"/>
    <n v="76488"/>
    <n v="250329.92640000003"/>
    <m/>
    <m/>
    <n v="0"/>
    <n v="12"/>
    <n v="53266"/>
    <n v="522986.89440000005"/>
    <n v="14"/>
    <n v="48890"/>
    <n v="560025.17200000002"/>
    <n v="5"/>
    <n v="51636"/>
    <n v="211242.87600000002"/>
    <m/>
    <m/>
    <n v="0"/>
    <m/>
    <m/>
    <n v="0"/>
    <m/>
    <m/>
    <n v="0"/>
  </r>
  <r>
    <x v="1"/>
    <s v="Arkansas Tech University"/>
    <n v="106467"/>
    <x v="3"/>
    <n v="32"/>
    <n v="64377"/>
    <n v="2060064"/>
    <n v="36"/>
    <n v="64888"/>
    <n v="2335968"/>
    <n v="67"/>
    <n v="55614"/>
    <n v="3726138"/>
    <n v="65"/>
    <n v="57795"/>
    <n v="3756675"/>
    <n v="101"/>
    <n v="47469"/>
    <n v="4794369"/>
    <n v="104.99967073446793"/>
    <n v="48593"/>
    <n v="5102249"/>
    <n v="25"/>
    <n v="35934"/>
    <n v="898350"/>
    <n v="26"/>
    <n v="37461"/>
    <n v="973986"/>
    <n v="14"/>
    <n v="32187"/>
    <n v="450618"/>
    <n v="28"/>
    <n v="40301"/>
    <n v="1128428"/>
    <m/>
    <m/>
    <n v="0"/>
    <m/>
    <m/>
    <n v="0"/>
    <n v="16"/>
    <n v="88929"/>
    <n v="1164187.3248000001"/>
    <n v="14"/>
    <n v="97828"/>
    <n v="1120600.1744000001"/>
    <n v="6"/>
    <n v="82747"/>
    <n v="406221.5724"/>
    <n v="5"/>
    <n v="90320"/>
    <n v="369499.12"/>
    <n v="2"/>
    <n v="65000"/>
    <n v="106366"/>
    <n v="3"/>
    <n v="68309"/>
    <n v="167671.2714"/>
    <n v="0"/>
    <n v="0"/>
    <n v="0"/>
    <m/>
    <m/>
    <n v="0"/>
    <n v="14"/>
    <n v="46466"/>
    <n v="532258.73680000007"/>
    <n v="8"/>
    <n v="39079"/>
    <n v="255795.5024"/>
    <m/>
    <m/>
    <n v="0"/>
    <m/>
    <m/>
    <n v="0"/>
  </r>
  <r>
    <x v="1"/>
    <s v="Henderson State University"/>
    <n v="107071"/>
    <x v="3"/>
    <n v="59"/>
    <n v="65898"/>
    <n v="3887982"/>
    <n v="51"/>
    <n v="64280"/>
    <n v="3278280"/>
    <n v="37"/>
    <n v="53631"/>
    <n v="1984347"/>
    <n v="34"/>
    <n v="53352"/>
    <n v="1813968"/>
    <n v="30"/>
    <n v="47649"/>
    <n v="1429470"/>
    <n v="37.9999371477656"/>
    <n v="47731"/>
    <n v="1813774.9999999998"/>
    <n v="22"/>
    <n v="40624"/>
    <n v="893728"/>
    <n v="26"/>
    <n v="40361"/>
    <n v="1049386"/>
    <n v="0"/>
    <n v="0"/>
    <n v="0"/>
    <m/>
    <m/>
    <n v="0"/>
    <m/>
    <m/>
    <n v="0"/>
    <m/>
    <m/>
    <n v="0"/>
    <n v="0"/>
    <n v="0"/>
    <n v="0"/>
    <n v="2"/>
    <n v="80636"/>
    <n v="131952.75040000002"/>
    <n v="0"/>
    <n v="0"/>
    <n v="0"/>
    <n v="1"/>
    <n v="70000"/>
    <n v="57274"/>
    <n v="3"/>
    <n v="62262"/>
    <n v="152828.3052"/>
    <n v="3"/>
    <n v="62262"/>
    <n v="152828.3052"/>
    <n v="7"/>
    <n v="46218"/>
    <n v="264708.97320000001"/>
    <n v="13"/>
    <n v="48150"/>
    <n v="512152.29000000004"/>
    <n v="3"/>
    <n v="58709"/>
    <n v="144107.11139999999"/>
    <m/>
    <m/>
    <n v="0"/>
    <m/>
    <m/>
    <n v="0"/>
    <m/>
    <m/>
    <n v="0"/>
  </r>
  <r>
    <x v="1"/>
    <s v="Southern Arkansas University"/>
    <n v="107983"/>
    <x v="4"/>
    <n v="19"/>
    <n v="69433"/>
    <n v="1319227"/>
    <n v="17"/>
    <n v="69980"/>
    <n v="1189660"/>
    <n v="34"/>
    <n v="55727"/>
    <n v="1894718"/>
    <n v="32"/>
    <n v="55738"/>
    <n v="1783616"/>
    <n v="54"/>
    <n v="46367"/>
    <n v="2503818"/>
    <n v="58"/>
    <n v="47543"/>
    <n v="2757494"/>
    <n v="23"/>
    <n v="40850"/>
    <n v="939550"/>
    <n v="24"/>
    <n v="40967"/>
    <n v="983208"/>
    <n v="0"/>
    <n v="0"/>
    <n v="0"/>
    <m/>
    <m/>
    <n v="0"/>
    <m/>
    <m/>
    <n v="0"/>
    <m/>
    <m/>
    <n v="0"/>
    <n v="4"/>
    <n v="92355"/>
    <n v="302259.44400000002"/>
    <n v="3"/>
    <n v="97554"/>
    <n v="239456.0484"/>
    <n v="2"/>
    <n v="97600"/>
    <n v="159712.64000000001"/>
    <n v="3"/>
    <n v="90322"/>
    <n v="221704.3812"/>
    <n v="3"/>
    <n v="67609"/>
    <n v="165953.0514"/>
    <n v="3"/>
    <n v="66180"/>
    <n v="162445.42800000001"/>
    <n v="13"/>
    <n v="44006"/>
    <n v="468074.21960000001"/>
    <n v="16"/>
    <n v="46377"/>
    <n v="607130.58240000007"/>
    <n v="0"/>
    <n v="0"/>
    <n v="0"/>
    <m/>
    <m/>
    <n v="0"/>
    <m/>
    <m/>
    <n v="0"/>
    <m/>
    <m/>
    <n v="0"/>
  </r>
  <r>
    <x v="1"/>
    <s v="University of Arkansas at Monticello"/>
    <n v="106485"/>
    <x v="4"/>
    <n v="19"/>
    <n v="57423"/>
    <n v="1091037"/>
    <n v="17"/>
    <n v="58246"/>
    <n v="990182"/>
    <n v="24"/>
    <n v="54961"/>
    <n v="1319064"/>
    <n v="24"/>
    <n v="55978"/>
    <n v="1343472"/>
    <n v="34"/>
    <n v="43671"/>
    <n v="1484814"/>
    <n v="32.00032358719519"/>
    <n v="43265"/>
    <n v="1384494"/>
    <n v="26"/>
    <n v="38701"/>
    <n v="1006226"/>
    <n v="25"/>
    <n v="39600"/>
    <n v="990000"/>
    <n v="3"/>
    <n v="41362"/>
    <n v="124086"/>
    <n v="4"/>
    <n v="37898"/>
    <n v="151592"/>
    <m/>
    <m/>
    <n v="0"/>
    <m/>
    <m/>
    <n v="0"/>
    <n v="7"/>
    <n v="92266"/>
    <n v="528444.28840000008"/>
    <n v="6"/>
    <n v="95237"/>
    <n v="467537.4804"/>
    <n v="2"/>
    <n v="71144"/>
    <n v="116420.04160000001"/>
    <n v="2"/>
    <n v="72344"/>
    <n v="118383.7216"/>
    <n v="7"/>
    <n v="62607"/>
    <n v="358575.33180000004"/>
    <n v="6"/>
    <n v="63891"/>
    <n v="313653.6972"/>
    <n v="7"/>
    <n v="46700"/>
    <n v="267469.58"/>
    <n v="7"/>
    <n v="45812"/>
    <n v="262383.64880000002"/>
    <n v="20"/>
    <n v="39520"/>
    <n v="646705.28"/>
    <n v="23"/>
    <n v="41531"/>
    <n v="781555.27659999998"/>
    <m/>
    <m/>
    <n v="0"/>
    <m/>
    <m/>
    <n v="0"/>
  </r>
  <r>
    <x v="1"/>
    <s v="University of Arkansas at Fort Smith"/>
    <n v="108092"/>
    <x v="5"/>
    <n v="8"/>
    <n v="78123"/>
    <n v="624984"/>
    <n v="7"/>
    <n v="74918"/>
    <n v="524426"/>
    <n v="36"/>
    <n v="66150"/>
    <n v="2381400"/>
    <n v="36"/>
    <n v="67770"/>
    <n v="2439720"/>
    <n v="79"/>
    <n v="54179"/>
    <n v="4280141"/>
    <n v="93.999744544193859"/>
    <n v="54804"/>
    <n v="5151562"/>
    <n v="45"/>
    <n v="43562"/>
    <n v="1960290"/>
    <n v="45"/>
    <n v="45967"/>
    <n v="2068515"/>
    <n v="10"/>
    <n v="36530"/>
    <n v="365300"/>
    <n v="9"/>
    <n v="40208"/>
    <n v="361872"/>
    <m/>
    <m/>
    <n v="0"/>
    <m/>
    <m/>
    <n v="0"/>
    <n v="1"/>
    <n v="96152"/>
    <n v="78671.566400000011"/>
    <n v="2"/>
    <n v="112064"/>
    <n v="183381.52960000001"/>
    <n v="1"/>
    <n v="78000"/>
    <n v="63819.600000000006"/>
    <n v="1"/>
    <n v="85000"/>
    <n v="69547"/>
    <n v="6"/>
    <n v="68213"/>
    <n v="334871.25959999999"/>
    <n v="6"/>
    <n v="74504"/>
    <n v="365755.0368"/>
    <n v="10"/>
    <n v="58108"/>
    <n v="475439.65600000002"/>
    <n v="13"/>
    <n v="59347"/>
    <n v="631250.30020000006"/>
    <n v="6"/>
    <n v="61929"/>
    <n v="304021.8468"/>
    <n v="2"/>
    <n v="54290"/>
    <n v="88840.156000000003"/>
    <m/>
    <m/>
    <n v="0"/>
    <m/>
    <m/>
    <n v="0"/>
  </r>
  <r>
    <x v="1"/>
    <s v="University of Arkansas at Pine Bluff"/>
    <n v="106412"/>
    <x v="5"/>
    <n v="18"/>
    <n v="56937"/>
    <n v="1024866"/>
    <n v="19"/>
    <n v="57809"/>
    <n v="1098371"/>
    <n v="16"/>
    <n v="51218"/>
    <n v="819488"/>
    <n v="17"/>
    <n v="50944"/>
    <n v="866048"/>
    <n v="28"/>
    <n v="45183"/>
    <n v="1265124"/>
    <n v="31.000263325360425"/>
    <n v="45571"/>
    <n v="1412713"/>
    <n v="38"/>
    <n v="36795"/>
    <n v="1398210"/>
    <n v="38"/>
    <n v="37060"/>
    <n v="1408280"/>
    <n v="0"/>
    <n v="0"/>
    <n v="0"/>
    <m/>
    <m/>
    <n v="0"/>
    <m/>
    <m/>
    <n v="0"/>
    <m/>
    <m/>
    <n v="0"/>
    <n v="16"/>
    <n v="75260"/>
    <n v="985243.71200000006"/>
    <n v="14"/>
    <n v="75074"/>
    <n v="859957.65520000004"/>
    <n v="14"/>
    <n v="62859"/>
    <n v="720037.27320000005"/>
    <n v="18"/>
    <n v="65858"/>
    <n v="969930.28080000007"/>
    <n v="20"/>
    <n v="55344"/>
    <n v="905649.21600000001"/>
    <n v="16"/>
    <n v="54747"/>
    <n v="716703.9264"/>
    <n v="14"/>
    <n v="42813"/>
    <n v="490414.35240000003"/>
    <n v="14"/>
    <n v="40720"/>
    <n v="466439.45600000001"/>
    <n v="0"/>
    <n v="0"/>
    <n v="0"/>
    <m/>
    <m/>
    <n v="0"/>
    <m/>
    <m/>
    <n v="0"/>
    <m/>
    <m/>
    <n v="0"/>
  </r>
  <r>
    <x v="1"/>
    <s v="Pulaski Technical College"/>
    <n v="107664"/>
    <x v="6"/>
    <n v="0"/>
    <n v="0"/>
    <n v="0"/>
    <m/>
    <m/>
    <n v="0"/>
    <n v="0"/>
    <n v="0"/>
    <n v="0"/>
    <m/>
    <m/>
    <n v="0"/>
    <n v="0"/>
    <n v="0"/>
    <n v="0"/>
    <m/>
    <m/>
    <n v="0"/>
    <n v="0"/>
    <n v="0"/>
    <n v="0"/>
    <m/>
    <m/>
    <n v="0"/>
    <n v="0"/>
    <n v="0"/>
    <n v="0"/>
    <m/>
    <m/>
    <n v="0"/>
    <n v="129"/>
    <n v="45959"/>
    <n v="5928711"/>
    <n v="141"/>
    <n v="43773"/>
    <n v="6171993"/>
    <n v="0"/>
    <n v="0"/>
    <n v="0"/>
    <m/>
    <m/>
    <n v="0"/>
    <n v="0"/>
    <n v="0"/>
    <n v="0"/>
    <m/>
    <m/>
    <n v="0"/>
    <n v="0"/>
    <n v="0"/>
    <n v="0"/>
    <m/>
    <m/>
    <n v="0"/>
    <n v="0"/>
    <n v="0"/>
    <n v="0"/>
    <n v="0"/>
    <n v="0"/>
    <n v="0"/>
    <n v="0"/>
    <n v="0"/>
    <n v="0"/>
    <m/>
    <m/>
    <n v="0"/>
    <n v="8"/>
    <n v="59539"/>
    <n v="389718.47840000002"/>
    <n v="10"/>
    <n v="58031"/>
    <n v="474809.64200000005"/>
  </r>
  <r>
    <x v="1"/>
    <s v="Arkansas State University-Beebe"/>
    <n v="106449"/>
    <x v="7"/>
    <n v="4"/>
    <n v="51725"/>
    <n v="206900"/>
    <n v="3"/>
    <n v="56215"/>
    <n v="168645"/>
    <n v="9"/>
    <n v="44305"/>
    <n v="398745"/>
    <n v="8"/>
    <n v="47952"/>
    <n v="383616"/>
    <n v="31"/>
    <n v="43682"/>
    <n v="1354142"/>
    <n v="29.999891065164817"/>
    <n v="45899"/>
    <n v="1376965"/>
    <n v="62"/>
    <n v="38648"/>
    <n v="2396176"/>
    <n v="66"/>
    <n v="40739"/>
    <n v="2688774"/>
    <n v="0"/>
    <n v="0"/>
    <n v="0"/>
    <m/>
    <m/>
    <n v="0"/>
    <n v="0"/>
    <n v="0"/>
    <n v="0"/>
    <n v="0"/>
    <n v="0"/>
    <n v="0"/>
    <n v="1"/>
    <n v="69621"/>
    <n v="56963.902200000004"/>
    <n v="2"/>
    <n v="88355"/>
    <n v="144584.122"/>
    <n v="1"/>
    <n v="70928"/>
    <n v="58033.289600000004"/>
    <n v="3"/>
    <n v="75285"/>
    <n v="184794.56100000002"/>
    <n v="8"/>
    <n v="61461"/>
    <n v="402299.12160000001"/>
    <n v="5"/>
    <n v="59451"/>
    <n v="243214.041"/>
    <n v="4"/>
    <n v="42050"/>
    <n v="137621.24000000002"/>
    <n v="4"/>
    <n v="0"/>
    <n v="0"/>
    <n v="0"/>
    <n v="0"/>
    <n v="0"/>
    <m/>
    <m/>
    <n v="0"/>
    <n v="0"/>
    <n v="0"/>
    <n v="0"/>
    <n v="0"/>
    <n v="0"/>
    <n v="0"/>
  </r>
  <r>
    <x v="1"/>
    <s v="Northwest Arkansas Community College "/>
    <n v="367459"/>
    <x v="7"/>
    <m/>
    <m/>
    <n v="0"/>
    <m/>
    <m/>
    <n v="0"/>
    <m/>
    <m/>
    <n v="0"/>
    <m/>
    <m/>
    <n v="0"/>
    <n v="0"/>
    <n v="0"/>
    <n v="0"/>
    <m/>
    <m/>
    <n v="0"/>
    <n v="0"/>
    <n v="0"/>
    <n v="0"/>
    <n v="0"/>
    <n v="0"/>
    <n v="0"/>
    <n v="0"/>
    <n v="0"/>
    <n v="0"/>
    <m/>
    <m/>
    <n v="0"/>
    <n v="124"/>
    <n v="48671"/>
    <n v="6035204"/>
    <n v="132"/>
    <n v="49769"/>
    <n v="6569508"/>
    <m/>
    <m/>
    <n v="0"/>
    <m/>
    <m/>
    <n v="0"/>
    <m/>
    <m/>
    <n v="0"/>
    <m/>
    <m/>
    <n v="0"/>
    <n v="0"/>
    <n v="0"/>
    <n v="0"/>
    <m/>
    <m/>
    <n v="0"/>
    <n v="0"/>
    <n v="0"/>
    <n v="0"/>
    <n v="0"/>
    <n v="0"/>
    <n v="0"/>
    <n v="0"/>
    <n v="0"/>
    <n v="0"/>
    <m/>
    <m/>
    <n v="0"/>
    <n v="0"/>
    <n v="0"/>
    <n v="0"/>
    <n v="0"/>
    <n v="0"/>
    <n v="0"/>
  </r>
  <r>
    <x v="1"/>
    <s v="Arkansas Northeastern College"/>
    <n v="107327"/>
    <x v="8"/>
    <m/>
    <m/>
    <n v="0"/>
    <m/>
    <m/>
    <n v="0"/>
    <m/>
    <m/>
    <n v="0"/>
    <m/>
    <m/>
    <n v="0"/>
    <n v="0"/>
    <n v="0"/>
    <n v="0"/>
    <n v="10.000020443208767"/>
    <n v="48916"/>
    <n v="489161.00000000006"/>
    <n v="0"/>
    <n v="0"/>
    <n v="0"/>
    <n v="32"/>
    <n v="39587"/>
    <n v="1266784"/>
    <n v="0"/>
    <n v="0"/>
    <n v="0"/>
    <m/>
    <m/>
    <n v="0"/>
    <n v="72"/>
    <n v="41168"/>
    <n v="2964096"/>
    <n v="0"/>
    <n v="0"/>
    <n v="0"/>
    <m/>
    <m/>
    <n v="0"/>
    <m/>
    <m/>
    <n v="0"/>
    <m/>
    <m/>
    <n v="0"/>
    <m/>
    <m/>
    <n v="0"/>
    <n v="0"/>
    <n v="0"/>
    <n v="0"/>
    <m/>
    <m/>
    <n v="0"/>
    <n v="0"/>
    <n v="0"/>
    <n v="0"/>
    <n v="0"/>
    <n v="0"/>
    <n v="0"/>
    <n v="0"/>
    <n v="0"/>
    <n v="0"/>
    <m/>
    <m/>
    <n v="0"/>
    <n v="4"/>
    <n v="65824"/>
    <n v="215428.78720000002"/>
    <n v="0"/>
    <n v="0"/>
    <n v="0"/>
  </r>
  <r>
    <x v="1"/>
    <s v="Arkansas State University Mountain Home"/>
    <n v="420538"/>
    <x v="8"/>
    <m/>
    <m/>
    <n v="0"/>
    <m/>
    <m/>
    <n v="0"/>
    <m/>
    <m/>
    <n v="0"/>
    <m/>
    <m/>
    <n v="0"/>
    <n v="11"/>
    <n v="46394"/>
    <n v="510334"/>
    <m/>
    <m/>
    <n v="0"/>
    <n v="29"/>
    <n v="38642"/>
    <n v="1120618"/>
    <n v="0"/>
    <n v="0"/>
    <n v="0"/>
    <n v="0"/>
    <n v="0"/>
    <n v="0"/>
    <n v="73"/>
    <n v="42568"/>
    <n v="3107464"/>
    <n v="0"/>
    <n v="0"/>
    <n v="0"/>
    <n v="0"/>
    <n v="0"/>
    <n v="0"/>
    <m/>
    <m/>
    <n v="0"/>
    <m/>
    <m/>
    <n v="0"/>
    <m/>
    <m/>
    <n v="0"/>
    <m/>
    <m/>
    <n v="0"/>
    <n v="0"/>
    <n v="0"/>
    <n v="0"/>
    <m/>
    <m/>
    <n v="0"/>
    <n v="0"/>
    <n v="0"/>
    <n v="0"/>
    <n v="0"/>
    <n v="0"/>
    <n v="0"/>
    <m/>
    <m/>
    <n v="0"/>
    <n v="5"/>
    <n v="63187"/>
    <n v="258498.01700000002"/>
    <n v="0"/>
    <n v="0"/>
    <n v="0"/>
    <n v="0"/>
    <n v="0"/>
    <n v="0"/>
  </r>
  <r>
    <x v="1"/>
    <s v="Arkansas State University-Newport"/>
    <n v="440402"/>
    <x v="8"/>
    <m/>
    <m/>
    <n v="0"/>
    <m/>
    <m/>
    <n v="0"/>
    <m/>
    <m/>
    <n v="0"/>
    <m/>
    <m/>
    <n v="0"/>
    <n v="21"/>
    <n v="39621"/>
    <n v="832041"/>
    <n v="19.000098468810005"/>
    <n v="40622"/>
    <n v="771822"/>
    <n v="1"/>
    <n v="35020"/>
    <n v="35020"/>
    <n v="34"/>
    <n v="37676"/>
    <n v="1280984"/>
    <m/>
    <m/>
    <n v="0"/>
    <m/>
    <m/>
    <n v="0"/>
    <n v="0"/>
    <n v="0"/>
    <n v="0"/>
    <n v="0"/>
    <n v="0"/>
    <n v="0"/>
    <m/>
    <m/>
    <n v="0"/>
    <m/>
    <m/>
    <n v="0"/>
    <m/>
    <m/>
    <n v="0"/>
    <m/>
    <m/>
    <n v="0"/>
    <n v="4"/>
    <n v="40610"/>
    <n v="132908.408"/>
    <n v="4"/>
    <n v="41740"/>
    <n v="136606.67200000002"/>
    <n v="19"/>
    <n v="41756"/>
    <n v="649130.42480000004"/>
    <n v="16"/>
    <n v="0"/>
    <n v="0"/>
    <m/>
    <m/>
    <n v="0"/>
    <m/>
    <m/>
    <n v="0"/>
    <n v="0"/>
    <n v="0"/>
    <n v="0"/>
    <n v="0"/>
    <n v="0"/>
    <n v="0"/>
  </r>
  <r>
    <x v="1"/>
    <s v="Black River Technical College"/>
    <n v="106625"/>
    <x v="8"/>
    <m/>
    <m/>
    <n v="0"/>
    <m/>
    <m/>
    <n v="0"/>
    <m/>
    <m/>
    <n v="0"/>
    <m/>
    <m/>
    <n v="0"/>
    <m/>
    <m/>
    <n v="0"/>
    <m/>
    <m/>
    <n v="0"/>
    <m/>
    <m/>
    <n v="0"/>
    <n v="0"/>
    <n v="0"/>
    <n v="0"/>
    <m/>
    <m/>
    <n v="0"/>
    <n v="58"/>
    <n v="40546"/>
    <n v="2351668"/>
    <n v="55"/>
    <n v="39229"/>
    <n v="2157595"/>
    <n v="0"/>
    <n v="0"/>
    <n v="0"/>
    <m/>
    <m/>
    <n v="0"/>
    <m/>
    <m/>
    <n v="0"/>
    <m/>
    <m/>
    <n v="0"/>
    <m/>
    <m/>
    <n v="0"/>
    <m/>
    <m/>
    <n v="0"/>
    <m/>
    <m/>
    <n v="0"/>
    <n v="0"/>
    <n v="0"/>
    <n v="0"/>
    <n v="0"/>
    <n v="0"/>
    <n v="0"/>
    <m/>
    <m/>
    <n v="0"/>
    <n v="5"/>
    <n v="45508"/>
    <n v="186173.228"/>
    <n v="6"/>
    <n v="49554"/>
    <n v="243270.49680000002"/>
    <n v="0"/>
    <n v="0"/>
    <n v="0"/>
  </r>
  <r>
    <x v="1"/>
    <s v="Cossatot Community College of the University of Arkansas"/>
    <n v="106795"/>
    <x v="8"/>
    <m/>
    <m/>
    <n v="0"/>
    <m/>
    <m/>
    <n v="0"/>
    <m/>
    <m/>
    <n v="0"/>
    <m/>
    <m/>
    <n v="0"/>
    <m/>
    <m/>
    <n v="0"/>
    <m/>
    <m/>
    <n v="0"/>
    <m/>
    <m/>
    <n v="0"/>
    <m/>
    <m/>
    <n v="0"/>
    <m/>
    <m/>
    <n v="0"/>
    <m/>
    <m/>
    <n v="0"/>
    <n v="25"/>
    <n v="38878"/>
    <n v="971950"/>
    <n v="26"/>
    <n v="40805"/>
    <n v="1060930"/>
    <m/>
    <m/>
    <n v="0"/>
    <m/>
    <m/>
    <n v="0"/>
    <m/>
    <m/>
    <n v="0"/>
    <m/>
    <m/>
    <n v="0"/>
    <m/>
    <m/>
    <n v="0"/>
    <m/>
    <m/>
    <n v="0"/>
    <m/>
    <m/>
    <n v="0"/>
    <n v="0"/>
    <n v="0"/>
    <n v="0"/>
    <m/>
    <m/>
    <n v="0"/>
    <m/>
    <m/>
    <n v="0"/>
    <n v="1"/>
    <n v="49306"/>
    <n v="40342.169200000004"/>
    <n v="0"/>
    <n v="0"/>
    <n v="0"/>
  </r>
  <r>
    <x v="1"/>
    <s v="East Arkansas Community College "/>
    <n v="106883"/>
    <x v="8"/>
    <m/>
    <m/>
    <n v="0"/>
    <m/>
    <m/>
    <n v="0"/>
    <m/>
    <m/>
    <n v="0"/>
    <m/>
    <m/>
    <n v="0"/>
    <m/>
    <m/>
    <n v="0"/>
    <m/>
    <m/>
    <n v="0"/>
    <m/>
    <m/>
    <n v="0"/>
    <m/>
    <m/>
    <n v="0"/>
    <m/>
    <m/>
    <n v="0"/>
    <n v="30"/>
    <n v="45910"/>
    <n v="1377300"/>
    <n v="30"/>
    <n v="44256"/>
    <n v="1327680"/>
    <n v="0"/>
    <n v="0"/>
    <n v="0"/>
    <m/>
    <m/>
    <n v="0"/>
    <m/>
    <m/>
    <n v="0"/>
    <m/>
    <m/>
    <n v="0"/>
    <m/>
    <m/>
    <n v="0"/>
    <m/>
    <m/>
    <n v="0"/>
    <m/>
    <m/>
    <n v="0"/>
    <m/>
    <m/>
    <n v="0"/>
    <n v="0"/>
    <n v="0"/>
    <n v="0"/>
    <m/>
    <m/>
    <n v="0"/>
    <n v="10"/>
    <n v="49439"/>
    <n v="404509.89800000004"/>
    <n v="9"/>
    <n v="59341"/>
    <n v="436975.25580000004"/>
    <n v="0"/>
    <n v="0"/>
    <n v="0"/>
  </r>
  <r>
    <x v="1"/>
    <s v="Mid-South Community College "/>
    <n v="107318"/>
    <x v="8"/>
    <m/>
    <m/>
    <n v="0"/>
    <m/>
    <m/>
    <n v="0"/>
    <m/>
    <m/>
    <n v="0"/>
    <m/>
    <m/>
    <n v="0"/>
    <m/>
    <m/>
    <n v="0"/>
    <m/>
    <m/>
    <n v="0"/>
    <m/>
    <m/>
    <n v="0"/>
    <m/>
    <m/>
    <n v="0"/>
    <m/>
    <m/>
    <n v="0"/>
    <m/>
    <m/>
    <n v="0"/>
    <n v="24"/>
    <n v="39358"/>
    <n v="944592"/>
    <n v="25"/>
    <n v="40626"/>
    <n v="1015650"/>
    <m/>
    <m/>
    <n v="0"/>
    <m/>
    <m/>
    <n v="0"/>
    <m/>
    <m/>
    <n v="0"/>
    <m/>
    <m/>
    <n v="0"/>
    <m/>
    <m/>
    <n v="0"/>
    <m/>
    <m/>
    <n v="0"/>
    <m/>
    <m/>
    <n v="0"/>
    <n v="0"/>
    <n v="0"/>
    <n v="0"/>
    <m/>
    <m/>
    <n v="0"/>
    <m/>
    <m/>
    <n v="0"/>
    <n v="11"/>
    <n v="51941"/>
    <n v="467479.38820000004"/>
    <n v="13"/>
    <n v="55106"/>
    <n v="586140.47960000008"/>
  </r>
  <r>
    <x v="1"/>
    <s v="National Park Community College"/>
    <n v="106980"/>
    <x v="8"/>
    <m/>
    <m/>
    <n v="0"/>
    <m/>
    <m/>
    <n v="0"/>
    <m/>
    <m/>
    <n v="0"/>
    <m/>
    <m/>
    <n v="0"/>
    <m/>
    <m/>
    <n v="0"/>
    <m/>
    <m/>
    <n v="0"/>
    <m/>
    <m/>
    <n v="0"/>
    <m/>
    <m/>
    <n v="0"/>
    <m/>
    <m/>
    <n v="0"/>
    <m/>
    <m/>
    <n v="0"/>
    <n v="76"/>
    <n v="41975"/>
    <n v="3190100"/>
    <n v="73"/>
    <n v="42340"/>
    <n v="3090820"/>
    <m/>
    <m/>
    <n v="0"/>
    <m/>
    <m/>
    <n v="0"/>
    <m/>
    <m/>
    <n v="0"/>
    <m/>
    <m/>
    <n v="0"/>
    <m/>
    <m/>
    <n v="0"/>
    <m/>
    <m/>
    <n v="0"/>
    <m/>
    <m/>
    <n v="0"/>
    <n v="0"/>
    <n v="0"/>
    <n v="0"/>
    <m/>
    <m/>
    <n v="0"/>
    <m/>
    <m/>
    <n v="0"/>
    <n v="18"/>
    <n v="51523"/>
    <n v="758810.1348"/>
    <n v="14"/>
    <n v="53418"/>
    <n v="611892.50640000007"/>
  </r>
  <r>
    <x v="1"/>
    <s v="North Arkansas College"/>
    <n v="107460"/>
    <x v="8"/>
    <m/>
    <m/>
    <n v="0"/>
    <m/>
    <m/>
    <n v="0"/>
    <m/>
    <m/>
    <n v="0"/>
    <m/>
    <m/>
    <n v="0"/>
    <m/>
    <m/>
    <n v="0"/>
    <m/>
    <m/>
    <n v="0"/>
    <m/>
    <m/>
    <n v="0"/>
    <m/>
    <m/>
    <n v="0"/>
    <m/>
    <m/>
    <n v="0"/>
    <n v="54"/>
    <n v="48685"/>
    <n v="2628990"/>
    <n v="55"/>
    <n v="47060"/>
    <n v="2588300"/>
    <n v="0"/>
    <n v="0"/>
    <n v="0"/>
    <m/>
    <m/>
    <n v="0"/>
    <m/>
    <m/>
    <n v="0"/>
    <m/>
    <m/>
    <n v="0"/>
    <m/>
    <m/>
    <n v="0"/>
    <m/>
    <m/>
    <n v="0"/>
    <m/>
    <m/>
    <n v="0"/>
    <m/>
    <m/>
    <n v="0"/>
    <n v="0"/>
    <n v="0"/>
    <n v="0"/>
    <m/>
    <m/>
    <n v="0"/>
    <n v="9"/>
    <n v="54198"/>
    <n v="399103.23240000004"/>
    <n v="13"/>
    <n v="53880"/>
    <n v="573100.00800000003"/>
    <n v="0"/>
    <n v="0"/>
    <n v="0"/>
  </r>
  <r>
    <x v="1"/>
    <s v="Ouachita Technical College "/>
    <n v="107521"/>
    <x v="8"/>
    <m/>
    <m/>
    <n v="0"/>
    <m/>
    <m/>
    <n v="0"/>
    <m/>
    <m/>
    <n v="0"/>
    <m/>
    <m/>
    <n v="0"/>
    <m/>
    <m/>
    <n v="0"/>
    <m/>
    <m/>
    <n v="0"/>
    <m/>
    <m/>
    <n v="0"/>
    <m/>
    <m/>
    <n v="0"/>
    <m/>
    <m/>
    <n v="0"/>
    <n v="34"/>
    <n v="42188"/>
    <n v="1434392"/>
    <n v="36"/>
    <n v="39749"/>
    <n v="1430964"/>
    <n v="0"/>
    <n v="0"/>
    <n v="0"/>
    <m/>
    <m/>
    <n v="0"/>
    <m/>
    <m/>
    <n v="0"/>
    <m/>
    <m/>
    <n v="0"/>
    <m/>
    <m/>
    <n v="0"/>
    <m/>
    <m/>
    <n v="0"/>
    <m/>
    <m/>
    <n v="0"/>
    <m/>
    <m/>
    <n v="0"/>
    <n v="0"/>
    <n v="0"/>
    <n v="0"/>
    <m/>
    <m/>
    <n v="0"/>
    <n v="7"/>
    <n v="37160"/>
    <n v="212830.18400000001"/>
    <n v="2"/>
    <n v="35487"/>
    <n v="58070.926800000001"/>
    <n v="0"/>
    <n v="0"/>
    <n v="0"/>
  </r>
  <r>
    <x v="1"/>
    <s v="Ozarka College "/>
    <n v="107549"/>
    <x v="8"/>
    <m/>
    <m/>
    <n v="0"/>
    <m/>
    <m/>
    <n v="0"/>
    <m/>
    <m/>
    <n v="0"/>
    <m/>
    <m/>
    <n v="0"/>
    <m/>
    <m/>
    <n v="0"/>
    <m/>
    <m/>
    <n v="0"/>
    <m/>
    <m/>
    <n v="0"/>
    <m/>
    <m/>
    <n v="0"/>
    <m/>
    <m/>
    <n v="0"/>
    <m/>
    <m/>
    <n v="0"/>
    <n v="29"/>
    <n v="38844"/>
    <n v="1126476"/>
    <n v="28"/>
    <n v="39281"/>
    <n v="1099868"/>
    <m/>
    <m/>
    <n v="0"/>
    <m/>
    <m/>
    <n v="0"/>
    <m/>
    <m/>
    <n v="0"/>
    <m/>
    <m/>
    <n v="0"/>
    <m/>
    <m/>
    <n v="0"/>
    <m/>
    <m/>
    <n v="0"/>
    <m/>
    <m/>
    <n v="0"/>
    <n v="0"/>
    <n v="0"/>
    <n v="0"/>
    <m/>
    <m/>
    <n v="0"/>
    <m/>
    <m/>
    <n v="0"/>
    <n v="4"/>
    <n v="45505"/>
    <n v="148928.764"/>
    <n v="6"/>
    <n v="47399"/>
    <n v="232691.17080000002"/>
  </r>
  <r>
    <x v="1"/>
    <s v="Phillips Community College of the Univ of Arkansas"/>
    <n v="107619"/>
    <x v="8"/>
    <m/>
    <m/>
    <n v="0"/>
    <m/>
    <m/>
    <n v="0"/>
    <m/>
    <m/>
    <n v="0"/>
    <m/>
    <m/>
    <n v="0"/>
    <m/>
    <m/>
    <n v="0"/>
    <m/>
    <m/>
    <n v="0"/>
    <m/>
    <m/>
    <n v="0"/>
    <m/>
    <m/>
    <n v="0"/>
    <m/>
    <m/>
    <n v="0"/>
    <m/>
    <m/>
    <n v="0"/>
    <n v="63"/>
    <n v="38854"/>
    <n v="2447802"/>
    <n v="65"/>
    <n v="38112"/>
    <n v="2477280"/>
    <m/>
    <m/>
    <n v="0"/>
    <m/>
    <m/>
    <n v="0"/>
    <m/>
    <m/>
    <n v="0"/>
    <m/>
    <m/>
    <n v="0"/>
    <m/>
    <m/>
    <n v="0"/>
    <m/>
    <m/>
    <n v="0"/>
    <m/>
    <m/>
    <n v="0"/>
    <n v="0"/>
    <n v="0"/>
    <n v="0"/>
    <m/>
    <m/>
    <n v="0"/>
    <m/>
    <m/>
    <n v="0"/>
    <n v="9"/>
    <n v="45428"/>
    <n v="334522.70640000002"/>
    <n v="14"/>
    <n v="45942"/>
    <n v="526256.4216"/>
  </r>
  <r>
    <x v="1"/>
    <s v="Rich Mountain Community College "/>
    <n v="107743"/>
    <x v="8"/>
    <m/>
    <m/>
    <n v="0"/>
    <m/>
    <m/>
    <n v="0"/>
    <m/>
    <m/>
    <n v="0"/>
    <m/>
    <m/>
    <n v="0"/>
    <m/>
    <m/>
    <n v="0"/>
    <m/>
    <m/>
    <n v="0"/>
    <m/>
    <m/>
    <n v="0"/>
    <m/>
    <m/>
    <n v="0"/>
    <m/>
    <m/>
    <n v="0"/>
    <n v="18"/>
    <n v="46262"/>
    <n v="832716"/>
    <n v="18"/>
    <n v="45536"/>
    <n v="819648"/>
    <n v="0"/>
    <n v="0"/>
    <n v="0"/>
    <m/>
    <m/>
    <n v="0"/>
    <m/>
    <m/>
    <n v="0"/>
    <m/>
    <m/>
    <n v="0"/>
    <m/>
    <m/>
    <n v="0"/>
    <m/>
    <m/>
    <n v="0"/>
    <m/>
    <m/>
    <n v="0"/>
    <m/>
    <m/>
    <n v="0"/>
    <n v="0"/>
    <n v="0"/>
    <n v="0"/>
    <m/>
    <m/>
    <n v="0"/>
    <n v="4"/>
    <n v="48214"/>
    <n v="157794.77920000002"/>
    <n v="4"/>
    <n v="47199"/>
    <n v="154472.8872"/>
    <n v="0"/>
    <n v="0"/>
    <n v="0"/>
  </r>
  <r>
    <x v="1"/>
    <s v="South Arkansas Community College"/>
    <n v="107974"/>
    <x v="8"/>
    <m/>
    <m/>
    <n v="0"/>
    <m/>
    <m/>
    <n v="0"/>
    <m/>
    <m/>
    <n v="0"/>
    <m/>
    <m/>
    <n v="0"/>
    <m/>
    <m/>
    <n v="0"/>
    <m/>
    <m/>
    <n v="0"/>
    <m/>
    <m/>
    <n v="0"/>
    <m/>
    <m/>
    <n v="0"/>
    <m/>
    <m/>
    <n v="0"/>
    <n v="36"/>
    <n v="44962"/>
    <n v="1618632"/>
    <n v="33"/>
    <n v="45033"/>
    <n v="1486089"/>
    <n v="0"/>
    <n v="0"/>
    <n v="0"/>
    <m/>
    <m/>
    <n v="0"/>
    <m/>
    <m/>
    <n v="0"/>
    <m/>
    <m/>
    <n v="0"/>
    <m/>
    <m/>
    <n v="0"/>
    <m/>
    <m/>
    <n v="0"/>
    <m/>
    <m/>
    <n v="0"/>
    <m/>
    <m/>
    <n v="0"/>
    <n v="0"/>
    <n v="0"/>
    <n v="0"/>
    <m/>
    <m/>
    <n v="0"/>
    <n v="26"/>
    <n v="50476"/>
    <n v="1073786.0432"/>
    <n v="25"/>
    <n v="48345"/>
    <n v="988896.97500000009"/>
    <n v="0"/>
    <n v="0"/>
    <n v="0"/>
  </r>
  <r>
    <x v="1"/>
    <s v="Southeast Arkansas College"/>
    <n v="107637"/>
    <x v="8"/>
    <m/>
    <m/>
    <n v="0"/>
    <m/>
    <m/>
    <n v="0"/>
    <m/>
    <m/>
    <n v="0"/>
    <m/>
    <m/>
    <n v="0"/>
    <m/>
    <m/>
    <n v="0"/>
    <m/>
    <m/>
    <n v="0"/>
    <m/>
    <m/>
    <n v="0"/>
    <m/>
    <m/>
    <n v="0"/>
    <m/>
    <m/>
    <n v="0"/>
    <m/>
    <m/>
    <n v="0"/>
    <n v="47"/>
    <n v="47313"/>
    <n v="2223711"/>
    <n v="47"/>
    <n v="44551"/>
    <n v="2093897"/>
    <m/>
    <m/>
    <n v="0"/>
    <m/>
    <m/>
    <n v="0"/>
    <m/>
    <m/>
    <n v="0"/>
    <m/>
    <m/>
    <n v="0"/>
    <m/>
    <m/>
    <n v="0"/>
    <m/>
    <m/>
    <n v="0"/>
    <m/>
    <m/>
    <n v="0"/>
    <n v="0"/>
    <n v="0"/>
    <n v="0"/>
    <m/>
    <m/>
    <n v="0"/>
    <m/>
    <m/>
    <n v="0"/>
    <n v="5"/>
    <n v="44731"/>
    <n v="182994.52100000001"/>
    <n v="4"/>
    <n v="51325"/>
    <n v="167976.46000000002"/>
  </r>
  <r>
    <x v="1"/>
    <s v="Southern Arkansas University Tech"/>
    <n v="107992"/>
    <x v="8"/>
    <m/>
    <m/>
    <n v="0"/>
    <m/>
    <m/>
    <n v="0"/>
    <m/>
    <m/>
    <n v="0"/>
    <m/>
    <m/>
    <n v="0"/>
    <m/>
    <m/>
    <n v="0"/>
    <m/>
    <m/>
    <n v="0"/>
    <m/>
    <m/>
    <n v="0"/>
    <m/>
    <m/>
    <n v="0"/>
    <m/>
    <m/>
    <n v="0"/>
    <m/>
    <m/>
    <n v="0"/>
    <n v="24"/>
    <n v="40837"/>
    <n v="980088"/>
    <n v="24"/>
    <n v="41654"/>
    <n v="999696"/>
    <m/>
    <m/>
    <n v="0"/>
    <m/>
    <m/>
    <n v="0"/>
    <m/>
    <m/>
    <n v="0"/>
    <m/>
    <m/>
    <n v="0"/>
    <m/>
    <m/>
    <n v="0"/>
    <m/>
    <m/>
    <n v="0"/>
    <m/>
    <m/>
    <n v="0"/>
    <n v="0"/>
    <n v="0"/>
    <n v="0"/>
    <m/>
    <m/>
    <n v="0"/>
    <m/>
    <m/>
    <n v="0"/>
    <n v="6"/>
    <n v="48028"/>
    <n v="235779.0576"/>
    <n v="6"/>
    <n v="48277"/>
    <n v="237001.44840000002"/>
  </r>
  <r>
    <x v="1"/>
    <s v="University of Arkansas Community College at Batesville"/>
    <n v="106999"/>
    <x v="8"/>
    <m/>
    <m/>
    <n v="0"/>
    <m/>
    <m/>
    <n v="0"/>
    <m/>
    <m/>
    <n v="0"/>
    <m/>
    <m/>
    <n v="0"/>
    <m/>
    <m/>
    <n v="0"/>
    <m/>
    <m/>
    <n v="0"/>
    <m/>
    <m/>
    <n v="0"/>
    <m/>
    <m/>
    <n v="0"/>
    <m/>
    <m/>
    <n v="0"/>
    <m/>
    <m/>
    <n v="0"/>
    <n v="30"/>
    <n v="36308"/>
    <n v="1089240"/>
    <n v="30"/>
    <n v="38918"/>
    <n v="1167540"/>
    <m/>
    <m/>
    <n v="0"/>
    <m/>
    <m/>
    <n v="0"/>
    <m/>
    <m/>
    <n v="0"/>
    <m/>
    <m/>
    <n v="0"/>
    <m/>
    <m/>
    <n v="0"/>
    <m/>
    <m/>
    <n v="0"/>
    <m/>
    <m/>
    <n v="0"/>
    <n v="0"/>
    <n v="0"/>
    <n v="0"/>
    <m/>
    <m/>
    <n v="0"/>
    <m/>
    <m/>
    <n v="0"/>
    <n v="18"/>
    <n v="47538"/>
    <n v="700120.64880000008"/>
    <n v="19"/>
    <n v="45805"/>
    <n v="712075.36900000006"/>
  </r>
  <r>
    <x v="1"/>
    <s v="University of Arkansas Community College at Hope"/>
    <n v="107725"/>
    <x v="8"/>
    <m/>
    <m/>
    <n v="0"/>
    <m/>
    <m/>
    <n v="0"/>
    <m/>
    <m/>
    <n v="0"/>
    <m/>
    <m/>
    <n v="0"/>
    <m/>
    <m/>
    <n v="0"/>
    <m/>
    <m/>
    <n v="0"/>
    <m/>
    <m/>
    <n v="0"/>
    <m/>
    <m/>
    <n v="0"/>
    <m/>
    <m/>
    <n v="0"/>
    <m/>
    <m/>
    <n v="0"/>
    <n v="34"/>
    <n v="39963"/>
    <n v="1358742"/>
    <n v="36"/>
    <n v="39996"/>
    <n v="1439856"/>
    <m/>
    <m/>
    <n v="0"/>
    <m/>
    <m/>
    <n v="0"/>
    <m/>
    <m/>
    <n v="0"/>
    <m/>
    <m/>
    <n v="0"/>
    <m/>
    <m/>
    <n v="0"/>
    <m/>
    <m/>
    <n v="0"/>
    <m/>
    <m/>
    <n v="0"/>
    <n v="0"/>
    <n v="0"/>
    <n v="0"/>
    <m/>
    <m/>
    <n v="0"/>
    <m/>
    <m/>
    <n v="0"/>
    <n v="4"/>
    <n v="59261"/>
    <n v="193949.4008"/>
    <n v="4"/>
    <n v="62459"/>
    <n v="204415.81520000001"/>
  </r>
  <r>
    <x v="1"/>
    <s v="University of Arkansas Community College at Morrilton"/>
    <n v="107585"/>
    <x v="8"/>
    <m/>
    <m/>
    <n v="0"/>
    <m/>
    <m/>
    <n v="0"/>
    <m/>
    <m/>
    <n v="0"/>
    <m/>
    <m/>
    <n v="0"/>
    <m/>
    <m/>
    <n v="0"/>
    <m/>
    <m/>
    <n v="0"/>
    <m/>
    <m/>
    <n v="0"/>
    <m/>
    <m/>
    <n v="0"/>
    <m/>
    <m/>
    <n v="0"/>
    <m/>
    <m/>
    <n v="0"/>
    <n v="53"/>
    <n v="40607"/>
    <n v="2152171"/>
    <n v="57"/>
    <n v="40605"/>
    <n v="2314485"/>
    <m/>
    <m/>
    <n v="0"/>
    <m/>
    <m/>
    <n v="0"/>
    <m/>
    <m/>
    <n v="0"/>
    <m/>
    <m/>
    <n v="0"/>
    <m/>
    <m/>
    <n v="0"/>
    <m/>
    <m/>
    <n v="0"/>
    <m/>
    <m/>
    <n v="0"/>
    <n v="0"/>
    <n v="0"/>
    <n v="0"/>
    <m/>
    <m/>
    <n v="0"/>
    <m/>
    <m/>
    <n v="0"/>
    <m/>
    <m/>
    <n v="0"/>
    <n v="0"/>
    <n v="0"/>
    <n v="0"/>
  </r>
  <r>
    <x v="2"/>
    <s v="University of Delaware"/>
    <n v="130943"/>
    <x v="0"/>
    <n v="336"/>
    <n v="125605"/>
    <n v="42203280"/>
    <n v="341"/>
    <n v="129217"/>
    <n v="44062997"/>
    <n v="302"/>
    <n v="83569"/>
    <n v="25237838"/>
    <n v="309"/>
    <n v="86890"/>
    <n v="26849010"/>
    <n v="285"/>
    <n v="68977"/>
    <n v="19658445"/>
    <n v="290"/>
    <n v="73807"/>
    <n v="21404030"/>
    <n v="108"/>
    <n v="54705"/>
    <n v="5908140"/>
    <n v="97"/>
    <n v="58245"/>
    <n v="5649765"/>
    <m/>
    <m/>
    <n v="0"/>
    <m/>
    <m/>
    <n v="0"/>
    <m/>
    <m/>
    <n v="0"/>
    <m/>
    <m/>
    <n v="0"/>
    <n v="42"/>
    <n v="133971"/>
    <n v="4603833.0323999999"/>
    <n v="41"/>
    <n v="140997"/>
    <n v="4729913.5614"/>
    <n v="20"/>
    <n v="102262"/>
    <n v="1673415.368"/>
    <n v="19"/>
    <n v="103885"/>
    <n v="1614975.433"/>
    <n v="13"/>
    <n v="88736"/>
    <n v="943849.33760000009"/>
    <n v="12"/>
    <n v="84843"/>
    <n v="833022.51120000007"/>
    <n v="10"/>
    <n v="70285"/>
    <n v="575071.87"/>
    <n v="8"/>
    <n v="61823"/>
    <n v="404668.62880000001"/>
    <n v="1"/>
    <n v="57907"/>
    <n v="47379.507400000002"/>
    <m/>
    <m/>
    <n v="0"/>
    <m/>
    <m/>
    <n v="0"/>
    <m/>
    <m/>
    <n v="0"/>
  </r>
  <r>
    <x v="2"/>
    <s v="Delaware State University"/>
    <n v="130934"/>
    <x v="3"/>
    <n v="26"/>
    <n v="81471"/>
    <n v="2118246"/>
    <n v="27"/>
    <n v="79657"/>
    <n v="2150739"/>
    <n v="90"/>
    <n v="64200"/>
    <n v="5778000"/>
    <n v="63"/>
    <n v="65318"/>
    <n v="4115034"/>
    <n v="8"/>
    <n v="56942"/>
    <n v="455536"/>
    <n v="47"/>
    <n v="60437"/>
    <n v="2840539"/>
    <n v="12"/>
    <n v="43159"/>
    <n v="517908"/>
    <n v="6"/>
    <n v="47357"/>
    <n v="284142"/>
    <n v="1"/>
    <n v="38786"/>
    <n v="38786"/>
    <n v="1"/>
    <n v="38786"/>
    <n v="38786"/>
    <m/>
    <m/>
    <n v="0"/>
    <m/>
    <m/>
    <n v="0"/>
    <n v="11"/>
    <n v="96782"/>
    <n v="871057.35640000005"/>
    <n v="12"/>
    <n v="99973"/>
    <n v="981574.90320000006"/>
    <n v="33"/>
    <n v="68593"/>
    <n v="1852052.1558000001"/>
    <n v="22"/>
    <n v="73671"/>
    <n v="1326107.4684000001"/>
    <n v="1"/>
    <n v="68340"/>
    <n v="55915.788"/>
    <n v="14"/>
    <n v="57000"/>
    <n v="652923.6"/>
    <n v="2"/>
    <n v="51500"/>
    <n v="84274.6"/>
    <n v="1"/>
    <n v="39000"/>
    <n v="31909.800000000003"/>
    <m/>
    <m/>
    <n v="0"/>
    <m/>
    <m/>
    <n v="0"/>
    <m/>
    <m/>
    <n v="0"/>
    <m/>
    <m/>
    <n v="0"/>
  </r>
  <r>
    <x v="2"/>
    <s v="Delaware Technical and Community College--Owens"/>
    <n v="130891"/>
    <x v="7"/>
    <m/>
    <m/>
    <n v="0"/>
    <m/>
    <m/>
    <n v="0"/>
    <m/>
    <m/>
    <n v="0"/>
    <m/>
    <m/>
    <n v="0"/>
    <m/>
    <m/>
    <n v="0"/>
    <m/>
    <m/>
    <n v="0"/>
    <m/>
    <m/>
    <n v="0"/>
    <m/>
    <m/>
    <n v="0"/>
    <m/>
    <m/>
    <n v="0"/>
    <m/>
    <m/>
    <n v="0"/>
    <n v="82"/>
    <n v="62399"/>
    <n v="5116718"/>
    <n v="83"/>
    <n v="63416"/>
    <n v="5263528"/>
    <m/>
    <m/>
    <n v="0"/>
    <m/>
    <m/>
    <n v="0"/>
    <m/>
    <m/>
    <n v="0"/>
    <m/>
    <m/>
    <n v="0"/>
    <m/>
    <m/>
    <n v="0"/>
    <m/>
    <m/>
    <n v="0"/>
    <m/>
    <m/>
    <n v="0"/>
    <m/>
    <m/>
    <n v="0"/>
    <m/>
    <m/>
    <n v="0"/>
    <m/>
    <m/>
    <n v="0"/>
    <n v="37"/>
    <n v="79473"/>
    <n v="2405917.9182000002"/>
    <n v="36"/>
    <n v="80047"/>
    <n v="2357800.3944000001"/>
  </r>
  <r>
    <x v="2"/>
    <s v="Delaware Technical and Community College--Stanton-Wilmington"/>
    <n v="130916"/>
    <x v="7"/>
    <m/>
    <m/>
    <n v="0"/>
    <m/>
    <m/>
    <n v="0"/>
    <m/>
    <m/>
    <n v="0"/>
    <m/>
    <m/>
    <n v="0"/>
    <m/>
    <m/>
    <n v="0"/>
    <m/>
    <m/>
    <n v="0"/>
    <m/>
    <m/>
    <n v="0"/>
    <m/>
    <m/>
    <n v="0"/>
    <m/>
    <m/>
    <n v="0"/>
    <m/>
    <m/>
    <n v="0"/>
    <n v="129"/>
    <n v="64253"/>
    <n v="8288637"/>
    <n v="125"/>
    <n v="64291"/>
    <n v="8036375"/>
    <m/>
    <m/>
    <n v="0"/>
    <m/>
    <m/>
    <n v="0"/>
    <m/>
    <m/>
    <n v="0"/>
    <m/>
    <m/>
    <n v="0"/>
    <m/>
    <m/>
    <n v="0"/>
    <m/>
    <m/>
    <n v="0"/>
    <m/>
    <m/>
    <n v="0"/>
    <m/>
    <m/>
    <n v="0"/>
    <m/>
    <m/>
    <n v="0"/>
    <m/>
    <m/>
    <n v="0"/>
    <n v="48"/>
    <n v="79329"/>
    <n v="3115535.4144000001"/>
    <n v="48"/>
    <n v="76696"/>
    <n v="3012128.0256000003"/>
  </r>
  <r>
    <x v="2"/>
    <s v="Delaware Technical and Community College--Terry"/>
    <n v="130907"/>
    <x v="8"/>
    <m/>
    <m/>
    <n v="0"/>
    <m/>
    <m/>
    <n v="0"/>
    <m/>
    <m/>
    <n v="0"/>
    <m/>
    <m/>
    <n v="0"/>
    <m/>
    <m/>
    <n v="0"/>
    <m/>
    <m/>
    <n v="0"/>
    <m/>
    <m/>
    <n v="0"/>
    <m/>
    <m/>
    <n v="0"/>
    <m/>
    <m/>
    <n v="0"/>
    <m/>
    <m/>
    <n v="0"/>
    <n v="58"/>
    <n v="62232"/>
    <n v="3609456"/>
    <n v="59"/>
    <n v="62774"/>
    <n v="3703666"/>
    <m/>
    <m/>
    <n v="0"/>
    <m/>
    <m/>
    <n v="0"/>
    <m/>
    <m/>
    <n v="0"/>
    <m/>
    <m/>
    <n v="0"/>
    <m/>
    <m/>
    <n v="0"/>
    <m/>
    <m/>
    <n v="0"/>
    <m/>
    <m/>
    <n v="0"/>
    <m/>
    <m/>
    <n v="0"/>
    <m/>
    <m/>
    <n v="0"/>
    <m/>
    <m/>
    <n v="0"/>
    <n v="20"/>
    <n v="80218"/>
    <n v="1312687.352"/>
    <n v="22"/>
    <n v="79684"/>
    <n v="1434343.8736"/>
  </r>
  <r>
    <x v="3"/>
    <s v="Florida State University "/>
    <n v="134097"/>
    <x v="0"/>
    <n v="443"/>
    <n v="99948.607223476298"/>
    <n v="44277233"/>
    <n v="417"/>
    <n v="103504.49160671463"/>
    <n v="43161373"/>
    <n v="364"/>
    <n v="70367.425824175822"/>
    <n v="25613743"/>
    <n v="364"/>
    <n v="72607.060439560446"/>
    <n v="26428970.000000004"/>
    <n v="326"/>
    <n v="66378.941717791415"/>
    <n v="21639535"/>
    <n v="291"/>
    <n v="69474.883161512029"/>
    <n v="20217191"/>
    <n v="15"/>
    <n v="33742"/>
    <n v="506130"/>
    <n v="8"/>
    <n v="29729"/>
    <n v="237832"/>
    <n v="109"/>
    <n v="49084.633027522934"/>
    <n v="5350225"/>
    <n v="122"/>
    <n v="50864.2"/>
    <n v="6205432.3999999994"/>
    <m/>
    <m/>
    <n v="0"/>
    <m/>
    <m/>
    <n v="0"/>
    <n v="8"/>
    <n v="115389"/>
    <n v="755290.23840000003"/>
    <n v="5"/>
    <n v="119936"/>
    <n v="490658.17600000004"/>
    <n v="1"/>
    <n v="119437"/>
    <n v="97723.353400000007"/>
    <n v="1"/>
    <n v="123020"/>
    <n v="100654.96400000001"/>
    <n v="1"/>
    <n v="50000"/>
    <n v="40910"/>
    <n v="1"/>
    <n v="56650"/>
    <n v="46351.03"/>
    <m/>
    <m/>
    <n v="0"/>
    <m/>
    <m/>
    <n v="0"/>
    <n v="82"/>
    <n v="63189.42682926829"/>
    <n v="4239530.3006000007"/>
    <n v="89"/>
    <n v="65213.876404494382"/>
    <n v="4748861.4369999999"/>
    <m/>
    <m/>
    <n v="0"/>
    <m/>
    <m/>
    <n v="0"/>
  </r>
  <r>
    <x v="3"/>
    <s v="University of Central Florida "/>
    <n v="132903"/>
    <x v="0"/>
    <n v="188"/>
    <n v="109392.64893617021"/>
    <n v="20565818"/>
    <n v="184"/>
    <n v="111517.94021739131"/>
    <n v="20519301"/>
    <n v="279"/>
    <n v="76640.827956989247"/>
    <n v="21382791"/>
    <n v="290"/>
    <n v="76476.137931034478"/>
    <n v="22178080"/>
    <n v="295"/>
    <n v="61870.240677966103"/>
    <n v="18251721"/>
    <n v="268"/>
    <n v="63270.570895522389"/>
    <n v="16956513"/>
    <n v="243"/>
    <n v="42483.349794238682"/>
    <n v="10323454"/>
    <n v="236"/>
    <n v="44014.131355932201"/>
    <n v="10387335"/>
    <n v="51"/>
    <n v="56249.568627450979"/>
    <n v="2868728"/>
    <n v="50"/>
    <n v="55110.66"/>
    <n v="2755533"/>
    <m/>
    <m/>
    <n v="0"/>
    <m/>
    <m/>
    <n v="0"/>
    <n v="40"/>
    <n v="154290.29999999999"/>
    <n v="5049612.9384000003"/>
    <n v="44"/>
    <n v="163539"/>
    <n v="5887534.8311999999"/>
    <n v="14"/>
    <n v="118705.71428571429"/>
    <n v="1359750.216"/>
    <n v="16"/>
    <n v="123017.125"/>
    <n v="1610441.7868000001"/>
    <n v="5"/>
    <n v="77688.2"/>
    <n v="317822.42619999999"/>
    <n v="6"/>
    <n v="134869.83333333334"/>
    <n v="662102.98580000002"/>
    <n v="41"/>
    <n v="61204.146341463413"/>
    <n v="2053166.534"/>
    <n v="42"/>
    <n v="61457.928571428572"/>
    <n v="2111964.8406000002"/>
    <n v="2"/>
    <n v="102088"/>
    <n v="167056.80319999999"/>
    <n v="3"/>
    <n v="96525.333333333299"/>
    <n v="236931.08319999991"/>
    <m/>
    <m/>
    <n v="0"/>
    <m/>
    <m/>
    <n v="0"/>
  </r>
  <r>
    <x v="3"/>
    <s v="University of Florida"/>
    <n v="134130"/>
    <x v="0"/>
    <n v="481"/>
    <n v="110571.06544698543"/>
    <n v="53184682.479999997"/>
    <n v="453"/>
    <n v="116690.90222958058"/>
    <n v="52860978.710000001"/>
    <n v="396"/>
    <n v="73157.091363636369"/>
    <n v="28970208.180000003"/>
    <n v="403"/>
    <n v="75669.292009925557"/>
    <n v="30494724.68"/>
    <n v="341"/>
    <n v="65074.208651026391"/>
    <n v="22190305.149999999"/>
    <n v="308"/>
    <n v="66353.568409090905"/>
    <n v="20436899.07"/>
    <m/>
    <m/>
    <n v="0"/>
    <m/>
    <m/>
    <n v="0"/>
    <n v="117"/>
    <n v="49165.382649572646"/>
    <n v="5752349.7699999996"/>
    <n v="116"/>
    <n v="52196.231810344827"/>
    <n v="6054762.8899999997"/>
    <m/>
    <m/>
    <n v="0"/>
    <m/>
    <m/>
    <n v="0"/>
    <n v="287"/>
    <n v="130893.64693379792"/>
    <n v="30736891.211394005"/>
    <n v="260"/>
    <n v="137588.47192307693"/>
    <n v="29269470.809140004"/>
    <n v="155"/>
    <n v="88758.796580645154"/>
    <n v="11256479.341154"/>
    <n v="155"/>
    <n v="91334.424967741943"/>
    <n v="11583123.108834002"/>
    <n v="189"/>
    <n v="70832.431111111116"/>
    <n v="10953512.980536001"/>
    <n v="197"/>
    <n v="72530.202182741123"/>
    <n v="11690809.650906002"/>
    <m/>
    <m/>
    <n v="0"/>
    <m/>
    <m/>
    <n v="0"/>
    <n v="43"/>
    <n v="77814.387906976743"/>
    <n v="2737712.483976"/>
    <n v="46"/>
    <n v="88341.466956521734"/>
    <n v="3324925.4601359996"/>
    <m/>
    <m/>
    <n v="0"/>
    <m/>
    <m/>
    <n v="0"/>
  </r>
  <r>
    <x v="3"/>
    <s v="University of South Florida "/>
    <n v="137351"/>
    <x v="0"/>
    <n v="251"/>
    <n v="101656.55378486056"/>
    <n v="25515795"/>
    <n v="263"/>
    <n v="101913.37642585552"/>
    <n v="26803218"/>
    <n v="262"/>
    <n v="73294.366412213742"/>
    <n v="19203124"/>
    <n v="281"/>
    <n v="73814.110320284701"/>
    <n v="20741765"/>
    <n v="333"/>
    <n v="62333.201201201198"/>
    <n v="20756956"/>
    <n v="318"/>
    <n v="63050.028301886792"/>
    <n v="20049909"/>
    <n v="130"/>
    <n v="53194.223076923074"/>
    <n v="6915249"/>
    <n v="119"/>
    <n v="53627.092436974788"/>
    <n v="6381624"/>
    <n v="14"/>
    <n v="62748.571428571428"/>
    <n v="878480"/>
    <n v="12"/>
    <n v="62264.5"/>
    <n v="747174"/>
    <m/>
    <m/>
    <n v="0"/>
    <m/>
    <m/>
    <n v="0"/>
    <n v="85"/>
    <n v="124973.48235294118"/>
    <n v="8691530.7772000004"/>
    <n v="83"/>
    <n v="124551.92771084337"/>
    <n v="8458396.1420000009"/>
    <n v="48"/>
    <n v="90485.333333333328"/>
    <n v="3553684.7872000001"/>
    <n v="46"/>
    <n v="91852.413043478256"/>
    <n v="3457067.6402000003"/>
    <n v="56"/>
    <n v="71848.41071428571"/>
    <n v="3292036.7002000003"/>
    <n v="59"/>
    <n v="74826.711864406781"/>
    <n v="3612169.7232000004"/>
    <n v="74"/>
    <n v="56892.175675675673"/>
    <n v="3444639.1822000002"/>
    <n v="79"/>
    <n v="56278.050632911392"/>
    <n v="3637689.3812000002"/>
    <n v="2"/>
    <n v="57654.5"/>
    <n v="94345.823799999998"/>
    <n v="2"/>
    <n v="57654.5"/>
    <n v="94345.823799999998"/>
    <m/>
    <m/>
    <n v="0"/>
    <m/>
    <m/>
    <n v="0"/>
  </r>
  <r>
    <x v="3"/>
    <s v="Florida Atlantic University "/>
    <n v="133669"/>
    <x v="1"/>
    <n v="183"/>
    <n v="93828.3461748634"/>
    <n v="17170587.350000001"/>
    <n v="221"/>
    <n v="90687.0130316742"/>
    <n v="20041829.879999999"/>
    <n v="192"/>
    <n v="68708.630104166674"/>
    <n v="13192056.98"/>
    <n v="268"/>
    <n v="69184.001455223857"/>
    <n v="18541312.389999993"/>
    <n v="220"/>
    <n v="62733.794409090908"/>
    <n v="13801434.77"/>
    <n v="271"/>
    <n v="63178.257859778591"/>
    <n v="17121307.879999999"/>
    <n v="137"/>
    <n v="43733.229343065694"/>
    <n v="5991452.4199999999"/>
    <n v="202"/>
    <n v="43666.48386138615"/>
    <n v="8820629.7400000021"/>
    <n v="2"/>
    <n v="49379.86"/>
    <n v="98759.72"/>
    <n v="4"/>
    <n v="49379.86"/>
    <n v="197519.44"/>
    <m/>
    <m/>
    <n v="0"/>
    <m/>
    <m/>
    <n v="0"/>
    <n v="6"/>
    <n v="135905.81833333333"/>
    <n v="667188.84336199996"/>
    <n v="4"/>
    <n v="121876.21249999999"/>
    <n v="398876.46827000001"/>
    <n v="15"/>
    <n v="101899.65066666665"/>
    <n v="1250614.4126319999"/>
    <n v="14"/>
    <n v="92825.944285714286"/>
    <n v="1063302.6266040001"/>
    <n v="10"/>
    <n v="78958.997000000003"/>
    <n v="646042.513454"/>
    <n v="11"/>
    <n v="81638.392727272716"/>
    <n v="734761.86222399992"/>
    <n v="30"/>
    <n v="60900.182333333338"/>
    <n v="1494855.8755540003"/>
    <n v="44"/>
    <n v="59728.925909090911"/>
    <n v="2150289.1158680003"/>
    <n v="2"/>
    <n v="81663.63"/>
    <n v="133634.36413200002"/>
    <n v="2"/>
    <n v="81663.63"/>
    <n v="133634.36413200002"/>
    <m/>
    <m/>
    <n v="0"/>
    <m/>
    <m/>
    <n v="0"/>
  </r>
  <r>
    <x v="3"/>
    <s v="Florida International University"/>
    <n v="133951"/>
    <x v="1"/>
    <n v="204"/>
    <n v="102905.73529411765"/>
    <n v="20992770"/>
    <n v="190"/>
    <n v="103951.24210526315"/>
    <n v="19750736"/>
    <n v="271"/>
    <n v="75315.346863468629"/>
    <n v="20410459"/>
    <n v="243"/>
    <n v="75356.242798353909"/>
    <n v="18311567"/>
    <n v="203"/>
    <n v="71005.029556650246"/>
    <n v="14414021"/>
    <n v="226"/>
    <n v="71922.929203539825"/>
    <n v="16254582"/>
    <n v="90"/>
    <n v="52565.788888888892"/>
    <n v="4730921"/>
    <n v="88"/>
    <n v="52137.079545454544"/>
    <n v="4588063"/>
    <n v="39"/>
    <n v="59365.461538461539"/>
    <n v="2315253"/>
    <n v="42"/>
    <n v="59657.404761904763"/>
    <n v="2505611"/>
    <m/>
    <m/>
    <n v="0"/>
    <m/>
    <m/>
    <n v="0"/>
    <n v="11"/>
    <n v="146562.45454545456"/>
    <n v="1319091.4034000002"/>
    <n v="21"/>
    <n v="157213.42857142858"/>
    <n v="2701272.5723999999"/>
    <n v="16"/>
    <n v="117251.75"/>
    <n v="1534966.1096000001"/>
    <n v="19"/>
    <n v="141636.15789473685"/>
    <n v="2201847.3834000002"/>
    <n v="4"/>
    <n v="110410.5"/>
    <n v="361351.48440000002"/>
    <n v="8"/>
    <n v="82748.5"/>
    <n v="541638.58160000003"/>
    <n v="5"/>
    <n v="74997.2"/>
    <n v="306813.54519999999"/>
    <n v="8"/>
    <n v="81940.5"/>
    <n v="536349.73680000007"/>
    <n v="9"/>
    <n v="73153.333333333328"/>
    <n v="538686.51600000006"/>
    <n v="9"/>
    <n v="74684.888888888891"/>
    <n v="549964.58480000007"/>
    <m/>
    <m/>
    <n v="0"/>
    <m/>
    <m/>
    <n v="0"/>
  </r>
  <r>
    <x v="3"/>
    <s v="Florida Agricultural &amp; Mechanical University "/>
    <n v="133650"/>
    <x v="2"/>
    <n v="83"/>
    <n v="83790.879518072295"/>
    <n v="6954643.0000000009"/>
    <n v="101"/>
    <n v="85096.557821782175"/>
    <n v="8594752.3399999999"/>
    <n v="123"/>
    <n v="72389.487804878052"/>
    <n v="8903907"/>
    <n v="161"/>
    <n v="72795.705838509326"/>
    <n v="11720108.640000001"/>
    <n v="120"/>
    <n v="59908.15"/>
    <n v="7188978"/>
    <n v="160"/>
    <n v="60362.862500000003"/>
    <n v="9658058"/>
    <n v="45"/>
    <n v="50390.533333333333"/>
    <n v="2267574"/>
    <n v="70"/>
    <n v="51311.061428571425"/>
    <n v="3591774.3"/>
    <m/>
    <m/>
    <n v="0"/>
    <m/>
    <m/>
    <n v="0"/>
    <m/>
    <m/>
    <n v="0"/>
    <m/>
    <m/>
    <n v="0"/>
    <n v="66"/>
    <n v="104384.22727272728"/>
    <n v="5636873.5338000003"/>
    <n v="84"/>
    <n v="108394.98452380951"/>
    <n v="7449857.2123400001"/>
    <n v="63"/>
    <n v="86731.873015873018"/>
    <n v="4470733.1655999999"/>
    <n v="88"/>
    <n v="89363.958636363634"/>
    <n v="6434348.004152"/>
    <n v="54"/>
    <n v="74520.277777777781"/>
    <n v="3292514.5290000001"/>
    <n v="81"/>
    <n v="75887.740740740745"/>
    <n v="5029399.3074000003"/>
    <n v="25"/>
    <n v="52274.720000000001"/>
    <n v="1069279.3976"/>
    <n v="41"/>
    <n v="55050.780487804877"/>
    <n v="1846744.4924000001"/>
    <m/>
    <m/>
    <n v="0"/>
    <m/>
    <m/>
    <n v="0"/>
    <m/>
    <m/>
    <n v="0"/>
    <m/>
    <m/>
    <n v="0"/>
  </r>
  <r>
    <x v="3"/>
    <s v="University of North Florida"/>
    <n v="136172"/>
    <x v="2"/>
    <n v="69"/>
    <n v="97682.768115942032"/>
    <n v="6740111"/>
    <n v="69"/>
    <n v="91493.723043478254"/>
    <n v="6313066.8899999997"/>
    <n v="112"/>
    <n v="70058.09821428571"/>
    <n v="7846507"/>
    <n v="113"/>
    <n v="67164.267699115051"/>
    <n v="7589562.2500000009"/>
    <n v="177"/>
    <n v="53889.203389830509"/>
    <n v="9538389"/>
    <n v="176"/>
    <n v="55500.421931818179"/>
    <n v="9768074.2599999998"/>
    <n v="95"/>
    <n v="42166.810526315792"/>
    <n v="4005847.0000000005"/>
    <n v="76"/>
    <n v="43224.718157894735"/>
    <n v="3285078.58"/>
    <m/>
    <m/>
    <n v="0"/>
    <n v="1"/>
    <n v="45000"/>
    <n v="45000"/>
    <m/>
    <m/>
    <n v="0"/>
    <m/>
    <m/>
    <n v="0"/>
    <n v="12"/>
    <n v="129492.25"/>
    <n v="1271406.7074"/>
    <n v="11"/>
    <n v="133198.66090909092"/>
    <n v="1198814.587914"/>
    <n v="17"/>
    <n v="98841.176470588238"/>
    <n v="1374821.46"/>
    <n v="11"/>
    <n v="108746.27545454545"/>
    <n v="978738.22834600008"/>
    <n v="2"/>
    <n v="72857"/>
    <n v="119223.19480000001"/>
    <n v="2"/>
    <n v="116000"/>
    <n v="189822.40000000002"/>
    <n v="9"/>
    <n v="56800.777777777781"/>
    <n v="418269.5674"/>
    <n v="7"/>
    <n v="63492.304285714286"/>
    <n v="363645.82356600004"/>
    <n v="20"/>
    <n v="43494.5"/>
    <n v="711743.99800000002"/>
    <n v="22"/>
    <n v="44606.17"/>
    <n v="802928.90246800007"/>
    <m/>
    <m/>
    <n v="0"/>
    <m/>
    <m/>
    <n v="0"/>
  </r>
  <r>
    <x v="3"/>
    <s v="University of West Florida"/>
    <n v="138354"/>
    <x v="2"/>
    <n v="43"/>
    <n v="87881.139534883725"/>
    <n v="3778889"/>
    <n v="46"/>
    <n v="88232.217391304352"/>
    <n v="4058682"/>
    <n v="83"/>
    <n v="65638.506024096379"/>
    <n v="5447995.9999999991"/>
    <n v="76"/>
    <n v="65590.736842105267"/>
    <n v="4984896"/>
    <n v="82"/>
    <n v="56708.780487804877"/>
    <n v="4650120"/>
    <n v="77"/>
    <n v="54577"/>
    <n v="4202429"/>
    <n v="30"/>
    <n v="44180"/>
    <n v="1325400"/>
    <n v="31"/>
    <n v="45650.06451612903"/>
    <n v="1415152"/>
    <n v="11"/>
    <n v="43261.727272727272"/>
    <n v="475879"/>
    <n v="10"/>
    <n v="45955.9"/>
    <n v="459559"/>
    <m/>
    <m/>
    <n v="0"/>
    <m/>
    <m/>
    <n v="0"/>
    <n v="20"/>
    <n v="113213.3"/>
    <n v="1852622.4412"/>
    <n v="21"/>
    <n v="109257.28571428571"/>
    <n v="1877280.5346000001"/>
    <n v="14"/>
    <n v="93979.571428571435"/>
    <n v="1076517.1947999999"/>
    <n v="12"/>
    <n v="93094.833333333328"/>
    <n v="914042.31160000002"/>
    <n v="4"/>
    <n v="67253"/>
    <n v="220105.61840000001"/>
    <n v="4"/>
    <n v="64837.25"/>
    <n v="212199.3518"/>
    <n v="15"/>
    <n v="54798.73333333333"/>
    <n v="672544.85420000006"/>
    <n v="16"/>
    <n v="52268.8125"/>
    <n v="684261.47820000001"/>
    <n v="30"/>
    <n v="60510.23333333333"/>
    <n v="1485284.1874000002"/>
    <n v="31"/>
    <n v="58164.806451612902"/>
    <n v="1475303.7838000001"/>
    <m/>
    <m/>
    <n v="0"/>
    <m/>
    <m/>
    <n v="0"/>
  </r>
  <r>
    <x v="3"/>
    <s v="Florida Gulf Coast University"/>
    <n v="433660"/>
    <x v="3"/>
    <n v="38"/>
    <n v="88321.868421052626"/>
    <n v="3356231"/>
    <n v="34"/>
    <n v="86887.00264705882"/>
    <n v="2954158.09"/>
    <n v="77"/>
    <n v="69872.272727272721"/>
    <n v="5380164.9999999991"/>
    <n v="71"/>
    <n v="69613.266760563391"/>
    <n v="4942541.9400000004"/>
    <n v="82"/>
    <n v="56560.085365853658"/>
    <n v="4637927"/>
    <n v="81"/>
    <n v="57114.170370370368"/>
    <n v="4626247.8"/>
    <n v="49"/>
    <n v="39668.306122448979"/>
    <n v="1943747"/>
    <n v="44"/>
    <n v="63939.491136363635"/>
    <n v="2813337.61"/>
    <n v="1"/>
    <n v="46460"/>
    <n v="46460"/>
    <m/>
    <m/>
    <n v="0"/>
    <m/>
    <m/>
    <n v="0"/>
    <m/>
    <m/>
    <n v="0"/>
    <n v="15"/>
    <n v="116045.8"/>
    <n v="1424230.1034000001"/>
    <n v="15"/>
    <n v="110379.62133333334"/>
    <n v="1354689.092624"/>
    <n v="10"/>
    <n v="99785"/>
    <n v="816440.87"/>
    <n v="8"/>
    <n v="102638.50750000001"/>
    <n v="671830.61469200009"/>
    <n v="17"/>
    <n v="72477.588235294112"/>
    <n v="1008119.7658000001"/>
    <n v="13"/>
    <n v="74612.983076923076"/>
    <n v="793628.45579600008"/>
    <n v="17"/>
    <n v="63766.588235294119"/>
    <n v="886954.9824000001"/>
    <n v="15"/>
    <n v="68575.357999999993"/>
    <n v="841625.3687339999"/>
    <m/>
    <m/>
    <n v="0"/>
    <m/>
    <m/>
    <n v="0"/>
    <m/>
    <m/>
    <n v="0"/>
    <m/>
    <m/>
    <n v="0"/>
  </r>
  <r>
    <x v="3"/>
    <s v="New College of Florida"/>
    <n v="262129"/>
    <x v="5"/>
    <n v="18"/>
    <n v="80762.794629629629"/>
    <n v="1453730.3033333332"/>
    <n v="19"/>
    <n v="83075.095263157898"/>
    <n v="1578426.81"/>
    <n v="30"/>
    <n v="64604.347666666661"/>
    <n v="1938130.43"/>
    <n v="28"/>
    <n v="66688.202857142853"/>
    <n v="1867269.68"/>
    <n v="20"/>
    <n v="51507.022000000004"/>
    <n v="1030140.4400000001"/>
    <n v="25"/>
    <n v="53879.287199999999"/>
    <n v="1346982.18"/>
    <n v="1"/>
    <n v="39392.949999999997"/>
    <n v="39392.949999999997"/>
    <n v="1"/>
    <n v="40709.129999999997"/>
    <n v="40709.129999999997"/>
    <m/>
    <m/>
    <n v="0"/>
    <m/>
    <m/>
    <n v="0"/>
    <m/>
    <m/>
    <n v="0"/>
    <m/>
    <m/>
    <n v="0"/>
    <m/>
    <m/>
    <n v="0"/>
    <m/>
    <m/>
    <n v="0"/>
    <m/>
    <m/>
    <n v="0"/>
    <m/>
    <m/>
    <n v="0"/>
    <m/>
    <m/>
    <n v="0"/>
    <m/>
    <m/>
    <n v="0"/>
    <m/>
    <m/>
    <n v="0"/>
    <m/>
    <m/>
    <n v="0"/>
    <m/>
    <m/>
    <n v="0"/>
    <m/>
    <m/>
    <n v="0"/>
    <m/>
    <m/>
    <n v="0"/>
    <m/>
    <m/>
    <n v="0"/>
  </r>
  <r>
    <x v="3"/>
    <s v="Chipola College "/>
    <n v="133021"/>
    <x v="11"/>
    <m/>
    <m/>
    <n v="0"/>
    <m/>
    <m/>
    <n v="0"/>
    <m/>
    <m/>
    <n v="0"/>
    <m/>
    <m/>
    <n v="0"/>
    <m/>
    <m/>
    <n v="0"/>
    <m/>
    <m/>
    <n v="0"/>
    <m/>
    <m/>
    <n v="0"/>
    <m/>
    <m/>
    <n v="0"/>
    <m/>
    <m/>
    <n v="0"/>
    <m/>
    <m/>
    <n v="0"/>
    <n v="49"/>
    <n v="43574"/>
    <n v="2135126"/>
    <n v="47"/>
    <n v="43222"/>
    <n v="2031434"/>
    <m/>
    <m/>
    <n v="0"/>
    <m/>
    <m/>
    <n v="0"/>
    <m/>
    <m/>
    <n v="0"/>
    <m/>
    <m/>
    <n v="0"/>
    <m/>
    <m/>
    <n v="0"/>
    <m/>
    <m/>
    <n v="0"/>
    <m/>
    <m/>
    <n v="0"/>
    <m/>
    <m/>
    <n v="0"/>
    <m/>
    <m/>
    <n v="0"/>
    <m/>
    <m/>
    <n v="0"/>
    <m/>
    <m/>
    <n v="0"/>
    <m/>
    <m/>
    <n v="0"/>
  </r>
  <r>
    <x v="3"/>
    <s v="Miami Dade College "/>
    <n v="135717"/>
    <x v="11"/>
    <m/>
    <m/>
    <n v="0"/>
    <m/>
    <m/>
    <n v="0"/>
    <m/>
    <m/>
    <n v="0"/>
    <m/>
    <m/>
    <n v="0"/>
    <m/>
    <m/>
    <n v="0"/>
    <m/>
    <m/>
    <n v="0"/>
    <m/>
    <m/>
    <n v="0"/>
    <m/>
    <m/>
    <n v="0"/>
    <m/>
    <m/>
    <n v="0"/>
    <m/>
    <m/>
    <n v="0"/>
    <n v="701"/>
    <n v="59772"/>
    <n v="41900172"/>
    <n v="689"/>
    <n v="60224"/>
    <n v="41494336"/>
    <m/>
    <m/>
    <n v="0"/>
    <m/>
    <m/>
    <n v="0"/>
    <m/>
    <m/>
    <n v="0"/>
    <m/>
    <m/>
    <n v="0"/>
    <m/>
    <m/>
    <n v="0"/>
    <m/>
    <m/>
    <n v="0"/>
    <m/>
    <m/>
    <n v="0"/>
    <m/>
    <m/>
    <n v="0"/>
    <m/>
    <m/>
    <n v="0"/>
    <m/>
    <m/>
    <n v="0"/>
    <m/>
    <m/>
    <n v="0"/>
    <m/>
    <m/>
    <n v="0"/>
  </r>
  <r>
    <x v="3"/>
    <s v="Northwest Florida State College"/>
    <n v="136233"/>
    <x v="11"/>
    <m/>
    <m/>
    <n v="0"/>
    <m/>
    <m/>
    <n v="0"/>
    <m/>
    <m/>
    <n v="0"/>
    <m/>
    <m/>
    <n v="0"/>
    <m/>
    <m/>
    <n v="0"/>
    <m/>
    <m/>
    <n v="0"/>
    <m/>
    <m/>
    <n v="0"/>
    <m/>
    <m/>
    <n v="0"/>
    <m/>
    <m/>
    <n v="0"/>
    <m/>
    <m/>
    <n v="0"/>
    <n v="90"/>
    <n v="53536"/>
    <n v="4818240"/>
    <n v="92"/>
    <n v="54996"/>
    <n v="5059632"/>
    <m/>
    <m/>
    <n v="0"/>
    <m/>
    <m/>
    <n v="0"/>
    <m/>
    <m/>
    <n v="0"/>
    <m/>
    <m/>
    <n v="0"/>
    <m/>
    <m/>
    <n v="0"/>
    <m/>
    <m/>
    <n v="0"/>
    <m/>
    <m/>
    <n v="0"/>
    <m/>
    <m/>
    <n v="0"/>
    <m/>
    <m/>
    <n v="0"/>
    <m/>
    <m/>
    <n v="0"/>
    <m/>
    <m/>
    <n v="0"/>
    <m/>
    <m/>
    <n v="0"/>
  </r>
  <r>
    <x v="3"/>
    <s v="St. Petersburg College "/>
    <n v="137078"/>
    <x v="11"/>
    <m/>
    <m/>
    <n v="0"/>
    <m/>
    <m/>
    <n v="0"/>
    <m/>
    <m/>
    <n v="0"/>
    <m/>
    <m/>
    <n v="0"/>
    <m/>
    <m/>
    <n v="0"/>
    <m/>
    <m/>
    <n v="0"/>
    <m/>
    <m/>
    <n v="0"/>
    <m/>
    <m/>
    <n v="0"/>
    <m/>
    <m/>
    <n v="0"/>
    <m/>
    <m/>
    <n v="0"/>
    <n v="316"/>
    <n v="57294"/>
    <n v="18104904"/>
    <n v="309"/>
    <n v="56735"/>
    <n v="17531115"/>
    <m/>
    <m/>
    <n v="0"/>
    <m/>
    <m/>
    <n v="0"/>
    <m/>
    <m/>
    <n v="0"/>
    <m/>
    <m/>
    <n v="0"/>
    <m/>
    <m/>
    <n v="0"/>
    <m/>
    <m/>
    <n v="0"/>
    <m/>
    <m/>
    <n v="0"/>
    <m/>
    <m/>
    <n v="0"/>
    <m/>
    <m/>
    <n v="0"/>
    <m/>
    <m/>
    <n v="0"/>
    <m/>
    <m/>
    <n v="0"/>
    <m/>
    <m/>
    <n v="0"/>
  </r>
  <r>
    <x v="3"/>
    <s v="Brevard Community College "/>
    <n v="132693"/>
    <x v="6"/>
    <m/>
    <m/>
    <n v="0"/>
    <m/>
    <m/>
    <n v="0"/>
    <m/>
    <m/>
    <n v="0"/>
    <m/>
    <m/>
    <n v="0"/>
    <m/>
    <m/>
    <n v="0"/>
    <m/>
    <m/>
    <n v="0"/>
    <m/>
    <m/>
    <n v="0"/>
    <m/>
    <m/>
    <n v="0"/>
    <m/>
    <m/>
    <n v="0"/>
    <m/>
    <m/>
    <n v="0"/>
    <n v="208"/>
    <n v="52753"/>
    <n v="10972624"/>
    <n v="215"/>
    <n v="53007"/>
    <n v="11396505"/>
    <m/>
    <m/>
    <n v="0"/>
    <m/>
    <m/>
    <n v="0"/>
    <m/>
    <m/>
    <n v="0"/>
    <m/>
    <m/>
    <n v="0"/>
    <m/>
    <m/>
    <n v="0"/>
    <m/>
    <m/>
    <n v="0"/>
    <m/>
    <m/>
    <n v="0"/>
    <m/>
    <m/>
    <n v="0"/>
    <m/>
    <m/>
    <n v="0"/>
    <m/>
    <m/>
    <n v="0"/>
    <m/>
    <m/>
    <n v="0"/>
    <m/>
    <m/>
    <n v="0"/>
  </r>
  <r>
    <x v="3"/>
    <s v="Broward Community College "/>
    <n v="132709"/>
    <x v="6"/>
    <m/>
    <m/>
    <n v="0"/>
    <m/>
    <m/>
    <n v="0"/>
    <m/>
    <m/>
    <n v="0"/>
    <m/>
    <m/>
    <n v="0"/>
    <m/>
    <m/>
    <n v="0"/>
    <m/>
    <m/>
    <n v="0"/>
    <m/>
    <m/>
    <n v="0"/>
    <m/>
    <m/>
    <n v="0"/>
    <m/>
    <m/>
    <n v="0"/>
    <m/>
    <m/>
    <n v="0"/>
    <n v="351"/>
    <n v="55442"/>
    <n v="19460142"/>
    <n v="352"/>
    <n v="55917"/>
    <n v="19682784"/>
    <m/>
    <m/>
    <n v="0"/>
    <m/>
    <m/>
    <n v="0"/>
    <m/>
    <m/>
    <n v="0"/>
    <m/>
    <m/>
    <n v="0"/>
    <m/>
    <m/>
    <n v="0"/>
    <m/>
    <m/>
    <n v="0"/>
    <m/>
    <m/>
    <n v="0"/>
    <m/>
    <m/>
    <n v="0"/>
    <m/>
    <m/>
    <n v="0"/>
    <m/>
    <m/>
    <n v="0"/>
    <m/>
    <m/>
    <n v="0"/>
    <m/>
    <m/>
    <n v="0"/>
  </r>
  <r>
    <x v="3"/>
    <s v="Daytona Beach Community College "/>
    <n v="133386"/>
    <x v="6"/>
    <m/>
    <m/>
    <n v="0"/>
    <m/>
    <m/>
    <n v="0"/>
    <m/>
    <m/>
    <n v="0"/>
    <m/>
    <m/>
    <n v="0"/>
    <m/>
    <m/>
    <n v="0"/>
    <m/>
    <m/>
    <n v="0"/>
    <m/>
    <m/>
    <n v="0"/>
    <m/>
    <m/>
    <n v="0"/>
    <m/>
    <m/>
    <n v="0"/>
    <m/>
    <m/>
    <n v="0"/>
    <n v="261"/>
    <n v="59796"/>
    <n v="15606756"/>
    <n v="286"/>
    <n v="58880"/>
    <n v="16839680"/>
    <m/>
    <m/>
    <n v="0"/>
    <m/>
    <m/>
    <n v="0"/>
    <m/>
    <m/>
    <n v="0"/>
    <m/>
    <m/>
    <n v="0"/>
    <m/>
    <m/>
    <n v="0"/>
    <m/>
    <m/>
    <n v="0"/>
    <m/>
    <m/>
    <n v="0"/>
    <m/>
    <m/>
    <n v="0"/>
    <m/>
    <m/>
    <n v="0"/>
    <m/>
    <m/>
    <n v="0"/>
    <m/>
    <m/>
    <n v="0"/>
    <m/>
    <m/>
    <n v="0"/>
  </r>
  <r>
    <x v="3"/>
    <s v="Edison State College "/>
    <n v="133508"/>
    <x v="6"/>
    <m/>
    <m/>
    <n v="0"/>
    <m/>
    <m/>
    <n v="0"/>
    <m/>
    <m/>
    <n v="0"/>
    <m/>
    <m/>
    <n v="0"/>
    <m/>
    <m/>
    <n v="0"/>
    <m/>
    <m/>
    <n v="0"/>
    <m/>
    <m/>
    <n v="0"/>
    <m/>
    <m/>
    <n v="0"/>
    <m/>
    <m/>
    <n v="0"/>
    <m/>
    <m/>
    <n v="0"/>
    <n v="113"/>
    <n v="54497"/>
    <n v="6158161"/>
    <n v="116"/>
    <n v="53217"/>
    <n v="6173172"/>
    <m/>
    <m/>
    <n v="0"/>
    <m/>
    <m/>
    <n v="0"/>
    <m/>
    <m/>
    <n v="0"/>
    <m/>
    <m/>
    <n v="0"/>
    <m/>
    <m/>
    <n v="0"/>
    <m/>
    <m/>
    <n v="0"/>
    <m/>
    <m/>
    <n v="0"/>
    <m/>
    <m/>
    <n v="0"/>
    <m/>
    <m/>
    <n v="0"/>
    <m/>
    <m/>
    <n v="0"/>
    <m/>
    <m/>
    <n v="0"/>
    <m/>
    <m/>
    <n v="0"/>
  </r>
  <r>
    <x v="3"/>
    <s v="Florida Community College at Jacksonville"/>
    <n v="133702"/>
    <x v="6"/>
    <m/>
    <m/>
    <n v="0"/>
    <m/>
    <m/>
    <n v="0"/>
    <m/>
    <m/>
    <n v="0"/>
    <m/>
    <m/>
    <n v="0"/>
    <m/>
    <m/>
    <n v="0"/>
    <m/>
    <m/>
    <n v="0"/>
    <m/>
    <m/>
    <n v="0"/>
    <m/>
    <m/>
    <n v="0"/>
    <m/>
    <m/>
    <n v="0"/>
    <m/>
    <m/>
    <n v="0"/>
    <n v="384"/>
    <n v="46443"/>
    <n v="17834112"/>
    <n v="378"/>
    <n v="47643"/>
    <n v="18009054"/>
    <m/>
    <m/>
    <n v="0"/>
    <m/>
    <m/>
    <n v="0"/>
    <m/>
    <m/>
    <n v="0"/>
    <m/>
    <m/>
    <n v="0"/>
    <m/>
    <m/>
    <n v="0"/>
    <m/>
    <m/>
    <n v="0"/>
    <m/>
    <m/>
    <n v="0"/>
    <m/>
    <m/>
    <n v="0"/>
    <m/>
    <m/>
    <n v="0"/>
    <m/>
    <m/>
    <n v="0"/>
    <m/>
    <m/>
    <n v="0"/>
    <m/>
    <m/>
    <n v="0"/>
  </r>
  <r>
    <x v="3"/>
    <s v="Hillsborough Community College "/>
    <n v="134495"/>
    <x v="6"/>
    <m/>
    <m/>
    <n v="0"/>
    <m/>
    <m/>
    <n v="0"/>
    <m/>
    <m/>
    <n v="0"/>
    <m/>
    <m/>
    <n v="0"/>
    <m/>
    <m/>
    <n v="0"/>
    <m/>
    <m/>
    <n v="0"/>
    <m/>
    <m/>
    <n v="0"/>
    <m/>
    <m/>
    <n v="0"/>
    <m/>
    <m/>
    <n v="0"/>
    <m/>
    <m/>
    <n v="0"/>
    <n v="262"/>
    <n v="50180"/>
    <n v="13147160"/>
    <n v="279"/>
    <n v="50556"/>
    <n v="14105124"/>
    <m/>
    <m/>
    <n v="0"/>
    <m/>
    <m/>
    <n v="0"/>
    <m/>
    <m/>
    <n v="0"/>
    <m/>
    <m/>
    <n v="0"/>
    <m/>
    <m/>
    <n v="0"/>
    <m/>
    <m/>
    <n v="0"/>
    <m/>
    <m/>
    <n v="0"/>
    <m/>
    <m/>
    <n v="0"/>
    <m/>
    <m/>
    <n v="0"/>
    <m/>
    <m/>
    <n v="0"/>
    <m/>
    <m/>
    <n v="0"/>
    <m/>
    <m/>
    <n v="0"/>
  </r>
  <r>
    <x v="3"/>
    <s v="Indian River Community College "/>
    <n v="134608"/>
    <x v="6"/>
    <m/>
    <m/>
    <n v="0"/>
    <m/>
    <m/>
    <n v="0"/>
    <m/>
    <m/>
    <n v="0"/>
    <m/>
    <m/>
    <n v="0"/>
    <m/>
    <m/>
    <n v="0"/>
    <m/>
    <m/>
    <n v="0"/>
    <m/>
    <m/>
    <n v="0"/>
    <m/>
    <m/>
    <n v="0"/>
    <m/>
    <m/>
    <n v="0"/>
    <m/>
    <m/>
    <n v="0"/>
    <n v="179"/>
    <n v="62948"/>
    <n v="11267692"/>
    <n v="186"/>
    <n v="64148"/>
    <n v="11931528"/>
    <m/>
    <m/>
    <n v="0"/>
    <m/>
    <m/>
    <n v="0"/>
    <m/>
    <m/>
    <n v="0"/>
    <m/>
    <m/>
    <n v="0"/>
    <m/>
    <m/>
    <n v="0"/>
    <m/>
    <m/>
    <n v="0"/>
    <m/>
    <m/>
    <n v="0"/>
    <m/>
    <m/>
    <n v="0"/>
    <m/>
    <m/>
    <n v="0"/>
    <m/>
    <m/>
    <n v="0"/>
    <m/>
    <m/>
    <n v="0"/>
    <m/>
    <m/>
    <n v="0"/>
  </r>
  <r>
    <x v="3"/>
    <s v="Manatee Community College "/>
    <n v="135391"/>
    <x v="6"/>
    <m/>
    <m/>
    <n v="0"/>
    <m/>
    <m/>
    <n v="0"/>
    <m/>
    <m/>
    <n v="0"/>
    <m/>
    <m/>
    <n v="0"/>
    <m/>
    <m/>
    <n v="0"/>
    <m/>
    <m/>
    <n v="0"/>
    <m/>
    <m/>
    <n v="0"/>
    <m/>
    <m/>
    <n v="0"/>
    <m/>
    <m/>
    <n v="0"/>
    <m/>
    <m/>
    <n v="0"/>
    <n v="128"/>
    <n v="52080"/>
    <n v="6666240"/>
    <n v="135"/>
    <n v="52089"/>
    <n v="7032015"/>
    <m/>
    <m/>
    <n v="0"/>
    <m/>
    <m/>
    <n v="0"/>
    <m/>
    <m/>
    <n v="0"/>
    <m/>
    <m/>
    <n v="0"/>
    <m/>
    <m/>
    <n v="0"/>
    <m/>
    <m/>
    <n v="0"/>
    <m/>
    <m/>
    <n v="0"/>
    <m/>
    <m/>
    <n v="0"/>
    <m/>
    <m/>
    <n v="0"/>
    <m/>
    <m/>
    <n v="0"/>
    <m/>
    <m/>
    <n v="0"/>
    <m/>
    <m/>
    <n v="0"/>
  </r>
  <r>
    <x v="3"/>
    <s v="Palm Beach Community College "/>
    <n v="136358"/>
    <x v="6"/>
    <m/>
    <m/>
    <n v="0"/>
    <m/>
    <m/>
    <n v="0"/>
    <m/>
    <m/>
    <n v="0"/>
    <m/>
    <m/>
    <n v="0"/>
    <m/>
    <m/>
    <n v="0"/>
    <m/>
    <m/>
    <n v="0"/>
    <m/>
    <m/>
    <n v="0"/>
    <m/>
    <m/>
    <n v="0"/>
    <m/>
    <m/>
    <n v="0"/>
    <m/>
    <m/>
    <n v="0"/>
    <n v="235"/>
    <n v="54250"/>
    <n v="12748750"/>
    <n v="240"/>
    <n v="56480"/>
    <n v="13555200"/>
    <m/>
    <m/>
    <n v="0"/>
    <m/>
    <m/>
    <n v="0"/>
    <m/>
    <m/>
    <n v="0"/>
    <m/>
    <m/>
    <n v="0"/>
    <m/>
    <m/>
    <n v="0"/>
    <m/>
    <m/>
    <n v="0"/>
    <m/>
    <m/>
    <n v="0"/>
    <m/>
    <m/>
    <n v="0"/>
    <m/>
    <m/>
    <n v="0"/>
    <m/>
    <m/>
    <n v="0"/>
    <m/>
    <m/>
    <n v="0"/>
    <m/>
    <m/>
    <n v="0"/>
  </r>
  <r>
    <x v="3"/>
    <s v="Pasco-Hernando Community College "/>
    <n v="136400"/>
    <x v="6"/>
    <m/>
    <m/>
    <n v="0"/>
    <m/>
    <m/>
    <n v="0"/>
    <m/>
    <m/>
    <n v="0"/>
    <m/>
    <m/>
    <n v="0"/>
    <m/>
    <m/>
    <n v="0"/>
    <m/>
    <m/>
    <n v="0"/>
    <m/>
    <m/>
    <n v="0"/>
    <m/>
    <m/>
    <n v="0"/>
    <m/>
    <m/>
    <n v="0"/>
    <m/>
    <m/>
    <n v="0"/>
    <n v="103"/>
    <n v="49728"/>
    <n v="5121984"/>
    <n v="104"/>
    <n v="50951"/>
    <n v="5298904"/>
    <m/>
    <m/>
    <n v="0"/>
    <m/>
    <m/>
    <n v="0"/>
    <m/>
    <m/>
    <n v="0"/>
    <m/>
    <m/>
    <n v="0"/>
    <m/>
    <m/>
    <n v="0"/>
    <m/>
    <m/>
    <n v="0"/>
    <m/>
    <m/>
    <n v="0"/>
    <m/>
    <m/>
    <n v="0"/>
    <m/>
    <m/>
    <n v="0"/>
    <m/>
    <m/>
    <n v="0"/>
    <m/>
    <m/>
    <n v="0"/>
    <m/>
    <m/>
    <n v="0"/>
  </r>
  <r>
    <x v="3"/>
    <s v="Pensacola Junior College "/>
    <n v="136473"/>
    <x v="6"/>
    <m/>
    <m/>
    <n v="0"/>
    <m/>
    <m/>
    <n v="0"/>
    <m/>
    <m/>
    <n v="0"/>
    <m/>
    <m/>
    <n v="0"/>
    <m/>
    <m/>
    <n v="0"/>
    <m/>
    <m/>
    <n v="0"/>
    <m/>
    <m/>
    <n v="0"/>
    <m/>
    <m/>
    <n v="0"/>
    <m/>
    <m/>
    <n v="0"/>
    <m/>
    <m/>
    <n v="0"/>
    <n v="222"/>
    <n v="48697"/>
    <n v="10810734"/>
    <n v="217"/>
    <n v="48127"/>
    <n v="10443559"/>
    <m/>
    <m/>
    <n v="0"/>
    <m/>
    <m/>
    <n v="0"/>
    <m/>
    <m/>
    <n v="0"/>
    <m/>
    <m/>
    <n v="0"/>
    <m/>
    <m/>
    <n v="0"/>
    <m/>
    <m/>
    <n v="0"/>
    <m/>
    <m/>
    <n v="0"/>
    <m/>
    <m/>
    <n v="0"/>
    <m/>
    <m/>
    <n v="0"/>
    <m/>
    <m/>
    <n v="0"/>
    <m/>
    <m/>
    <n v="0"/>
    <m/>
    <m/>
    <n v="0"/>
  </r>
  <r>
    <x v="3"/>
    <s v="Santa Fe Community College "/>
    <n v="137096"/>
    <x v="6"/>
    <m/>
    <m/>
    <n v="0"/>
    <m/>
    <m/>
    <n v="0"/>
    <m/>
    <m/>
    <n v="0"/>
    <m/>
    <m/>
    <n v="0"/>
    <m/>
    <m/>
    <n v="0"/>
    <m/>
    <m/>
    <n v="0"/>
    <m/>
    <m/>
    <n v="0"/>
    <m/>
    <m/>
    <n v="0"/>
    <m/>
    <m/>
    <n v="0"/>
    <m/>
    <m/>
    <n v="0"/>
    <n v="252"/>
    <n v="46878"/>
    <n v="11813256"/>
    <n v="244"/>
    <n v="46149"/>
    <n v="11260356"/>
    <m/>
    <m/>
    <n v="0"/>
    <m/>
    <m/>
    <n v="0"/>
    <m/>
    <m/>
    <n v="0"/>
    <m/>
    <m/>
    <n v="0"/>
    <m/>
    <m/>
    <n v="0"/>
    <m/>
    <m/>
    <n v="0"/>
    <m/>
    <m/>
    <n v="0"/>
    <m/>
    <m/>
    <n v="0"/>
    <m/>
    <m/>
    <n v="0"/>
    <m/>
    <m/>
    <n v="0"/>
    <m/>
    <m/>
    <n v="0"/>
    <m/>
    <m/>
    <n v="0"/>
  </r>
  <r>
    <x v="3"/>
    <s v="Seminole Community College "/>
    <n v="137209"/>
    <x v="6"/>
    <m/>
    <m/>
    <n v="0"/>
    <m/>
    <m/>
    <n v="0"/>
    <m/>
    <m/>
    <n v="0"/>
    <m/>
    <m/>
    <n v="0"/>
    <m/>
    <m/>
    <n v="0"/>
    <m/>
    <m/>
    <n v="0"/>
    <m/>
    <m/>
    <n v="0"/>
    <m/>
    <m/>
    <n v="0"/>
    <m/>
    <m/>
    <n v="0"/>
    <m/>
    <m/>
    <n v="0"/>
    <n v="187"/>
    <n v="48277"/>
    <n v="9027799"/>
    <n v="197"/>
    <n v="53163"/>
    <n v="10473111"/>
    <m/>
    <m/>
    <n v="0"/>
    <m/>
    <m/>
    <n v="0"/>
    <m/>
    <m/>
    <n v="0"/>
    <m/>
    <m/>
    <n v="0"/>
    <m/>
    <m/>
    <n v="0"/>
    <m/>
    <m/>
    <n v="0"/>
    <m/>
    <m/>
    <n v="0"/>
    <m/>
    <m/>
    <n v="0"/>
    <m/>
    <m/>
    <n v="0"/>
    <m/>
    <m/>
    <n v="0"/>
    <m/>
    <m/>
    <n v="0"/>
    <m/>
    <m/>
    <n v="0"/>
  </r>
  <r>
    <x v="3"/>
    <s v="Tallahassee Community College "/>
    <n v="137759"/>
    <x v="6"/>
    <m/>
    <m/>
    <n v="0"/>
    <m/>
    <m/>
    <n v="0"/>
    <m/>
    <m/>
    <n v="0"/>
    <m/>
    <m/>
    <n v="0"/>
    <m/>
    <m/>
    <n v="0"/>
    <m/>
    <m/>
    <n v="0"/>
    <m/>
    <m/>
    <n v="0"/>
    <m/>
    <m/>
    <n v="0"/>
    <m/>
    <m/>
    <n v="0"/>
    <m/>
    <m/>
    <n v="0"/>
    <n v="180"/>
    <n v="60786"/>
    <n v="10941480"/>
    <n v="179"/>
    <n v="59823"/>
    <n v="10708317"/>
    <m/>
    <m/>
    <n v="0"/>
    <m/>
    <m/>
    <n v="0"/>
    <m/>
    <m/>
    <n v="0"/>
    <m/>
    <m/>
    <n v="0"/>
    <m/>
    <m/>
    <n v="0"/>
    <m/>
    <m/>
    <n v="0"/>
    <m/>
    <m/>
    <n v="0"/>
    <m/>
    <m/>
    <n v="0"/>
    <m/>
    <m/>
    <n v="0"/>
    <m/>
    <m/>
    <n v="0"/>
    <m/>
    <m/>
    <n v="0"/>
    <m/>
    <m/>
    <n v="0"/>
  </r>
  <r>
    <x v="3"/>
    <s v="Valencia Community College "/>
    <n v="138187"/>
    <x v="6"/>
    <m/>
    <m/>
    <n v="0"/>
    <m/>
    <m/>
    <n v="0"/>
    <m/>
    <m/>
    <n v="0"/>
    <m/>
    <m/>
    <n v="0"/>
    <m/>
    <m/>
    <n v="0"/>
    <m/>
    <m/>
    <n v="0"/>
    <m/>
    <m/>
    <n v="0"/>
    <m/>
    <m/>
    <n v="0"/>
    <m/>
    <m/>
    <n v="0"/>
    <m/>
    <m/>
    <n v="0"/>
    <n v="332"/>
    <n v="52519"/>
    <n v="17436308"/>
    <n v="351"/>
    <n v="52640"/>
    <n v="18476640"/>
    <m/>
    <m/>
    <n v="0"/>
    <m/>
    <m/>
    <n v="0"/>
    <m/>
    <m/>
    <n v="0"/>
    <m/>
    <m/>
    <n v="0"/>
    <m/>
    <m/>
    <n v="0"/>
    <m/>
    <m/>
    <n v="0"/>
    <m/>
    <m/>
    <n v="0"/>
    <m/>
    <m/>
    <n v="0"/>
    <m/>
    <m/>
    <n v="0"/>
    <m/>
    <m/>
    <n v="0"/>
    <m/>
    <m/>
    <n v="0"/>
    <m/>
    <m/>
    <n v="0"/>
  </r>
  <r>
    <x v="3"/>
    <s v="Central Florida Community College "/>
    <n v="132851"/>
    <x v="7"/>
    <m/>
    <m/>
    <n v="0"/>
    <m/>
    <m/>
    <n v="0"/>
    <m/>
    <m/>
    <n v="0"/>
    <m/>
    <m/>
    <n v="0"/>
    <m/>
    <m/>
    <n v="0"/>
    <m/>
    <m/>
    <n v="0"/>
    <m/>
    <m/>
    <n v="0"/>
    <m/>
    <m/>
    <n v="0"/>
    <m/>
    <m/>
    <n v="0"/>
    <m/>
    <m/>
    <n v="0"/>
    <n v="108"/>
    <n v="49715"/>
    <n v="5369220"/>
    <n v="115"/>
    <n v="52079"/>
    <n v="5989085"/>
    <m/>
    <m/>
    <n v="0"/>
    <m/>
    <m/>
    <n v="0"/>
    <m/>
    <m/>
    <n v="0"/>
    <m/>
    <m/>
    <n v="0"/>
    <m/>
    <m/>
    <n v="0"/>
    <m/>
    <m/>
    <n v="0"/>
    <m/>
    <m/>
    <n v="0"/>
    <m/>
    <m/>
    <n v="0"/>
    <m/>
    <m/>
    <n v="0"/>
    <m/>
    <m/>
    <n v="0"/>
    <m/>
    <m/>
    <n v="0"/>
    <m/>
    <m/>
    <n v="0"/>
  </r>
  <r>
    <x v="3"/>
    <s v="Gulf Coast Community College "/>
    <n v="134343"/>
    <x v="7"/>
    <m/>
    <m/>
    <n v="0"/>
    <m/>
    <m/>
    <n v="0"/>
    <m/>
    <m/>
    <n v="0"/>
    <m/>
    <m/>
    <n v="0"/>
    <m/>
    <m/>
    <n v="0"/>
    <m/>
    <m/>
    <n v="0"/>
    <m/>
    <m/>
    <n v="0"/>
    <m/>
    <m/>
    <n v="0"/>
    <m/>
    <m/>
    <n v="0"/>
    <m/>
    <m/>
    <n v="0"/>
    <n v="114"/>
    <n v="52447"/>
    <n v="5978958"/>
    <n v="115"/>
    <n v="50531"/>
    <n v="5811065"/>
    <m/>
    <m/>
    <n v="0"/>
    <m/>
    <m/>
    <n v="0"/>
    <m/>
    <m/>
    <n v="0"/>
    <m/>
    <m/>
    <n v="0"/>
    <m/>
    <m/>
    <n v="0"/>
    <m/>
    <m/>
    <n v="0"/>
    <m/>
    <m/>
    <n v="0"/>
    <m/>
    <m/>
    <n v="0"/>
    <m/>
    <m/>
    <n v="0"/>
    <m/>
    <m/>
    <n v="0"/>
    <m/>
    <m/>
    <n v="0"/>
    <m/>
    <m/>
    <n v="0"/>
  </r>
  <r>
    <x v="3"/>
    <s v="Lake City Community College "/>
    <n v="135160"/>
    <x v="7"/>
    <m/>
    <m/>
    <n v="0"/>
    <m/>
    <m/>
    <n v="0"/>
    <m/>
    <m/>
    <n v="0"/>
    <m/>
    <m/>
    <n v="0"/>
    <m/>
    <m/>
    <n v="0"/>
    <m/>
    <m/>
    <n v="0"/>
    <m/>
    <m/>
    <n v="0"/>
    <m/>
    <m/>
    <n v="0"/>
    <m/>
    <m/>
    <n v="0"/>
    <m/>
    <m/>
    <n v="0"/>
    <n v="62"/>
    <n v="44470"/>
    <n v="2757140"/>
    <n v="68"/>
    <n v="43843"/>
    <n v="2981324"/>
    <m/>
    <m/>
    <n v="0"/>
    <m/>
    <m/>
    <n v="0"/>
    <m/>
    <m/>
    <n v="0"/>
    <m/>
    <m/>
    <n v="0"/>
    <m/>
    <m/>
    <n v="0"/>
    <m/>
    <m/>
    <n v="0"/>
    <m/>
    <m/>
    <n v="0"/>
    <m/>
    <m/>
    <n v="0"/>
    <m/>
    <m/>
    <n v="0"/>
    <m/>
    <m/>
    <n v="0"/>
    <m/>
    <m/>
    <n v="0"/>
    <m/>
    <m/>
    <n v="0"/>
  </r>
  <r>
    <x v="3"/>
    <s v="Lake-Sumter Community College "/>
    <n v="135188"/>
    <x v="7"/>
    <m/>
    <m/>
    <n v="0"/>
    <m/>
    <m/>
    <n v="0"/>
    <m/>
    <m/>
    <n v="0"/>
    <m/>
    <m/>
    <n v="0"/>
    <m/>
    <m/>
    <n v="0"/>
    <m/>
    <m/>
    <n v="0"/>
    <m/>
    <m/>
    <n v="0"/>
    <m/>
    <m/>
    <n v="0"/>
    <m/>
    <m/>
    <n v="0"/>
    <m/>
    <m/>
    <n v="0"/>
    <n v="68"/>
    <n v="44087"/>
    <n v="2997916"/>
    <n v="70"/>
    <n v="43637"/>
    <n v="3054590"/>
    <m/>
    <m/>
    <n v="0"/>
    <m/>
    <m/>
    <n v="0"/>
    <m/>
    <m/>
    <n v="0"/>
    <m/>
    <m/>
    <n v="0"/>
    <m/>
    <m/>
    <n v="0"/>
    <m/>
    <m/>
    <n v="0"/>
    <m/>
    <m/>
    <n v="0"/>
    <m/>
    <m/>
    <n v="0"/>
    <m/>
    <m/>
    <n v="0"/>
    <m/>
    <m/>
    <n v="0"/>
    <m/>
    <m/>
    <n v="0"/>
    <m/>
    <m/>
    <n v="0"/>
  </r>
  <r>
    <x v="3"/>
    <s v="Polk Community College "/>
    <n v="136516"/>
    <x v="7"/>
    <m/>
    <m/>
    <n v="0"/>
    <m/>
    <m/>
    <n v="0"/>
    <m/>
    <m/>
    <n v="0"/>
    <m/>
    <m/>
    <n v="0"/>
    <m/>
    <m/>
    <n v="0"/>
    <m/>
    <m/>
    <n v="0"/>
    <m/>
    <m/>
    <n v="0"/>
    <m/>
    <m/>
    <n v="0"/>
    <m/>
    <m/>
    <n v="0"/>
    <m/>
    <m/>
    <n v="0"/>
    <n v="121"/>
    <n v="43175"/>
    <n v="5224175"/>
    <n v="117"/>
    <n v="45739"/>
    <n v="5351463"/>
    <m/>
    <m/>
    <n v="0"/>
    <m/>
    <m/>
    <n v="0"/>
    <m/>
    <m/>
    <n v="0"/>
    <m/>
    <m/>
    <n v="0"/>
    <m/>
    <m/>
    <n v="0"/>
    <m/>
    <m/>
    <n v="0"/>
    <m/>
    <m/>
    <n v="0"/>
    <m/>
    <m/>
    <n v="0"/>
    <m/>
    <m/>
    <n v="0"/>
    <m/>
    <m/>
    <n v="0"/>
    <m/>
    <m/>
    <n v="0"/>
    <m/>
    <m/>
    <n v="0"/>
  </r>
  <r>
    <x v="3"/>
    <s v="South Florida Community College "/>
    <n v="137315"/>
    <x v="7"/>
    <m/>
    <m/>
    <n v="0"/>
    <m/>
    <m/>
    <n v="0"/>
    <m/>
    <m/>
    <n v="0"/>
    <m/>
    <m/>
    <n v="0"/>
    <m/>
    <m/>
    <n v="0"/>
    <m/>
    <m/>
    <n v="0"/>
    <m/>
    <m/>
    <n v="0"/>
    <m/>
    <m/>
    <n v="0"/>
    <m/>
    <m/>
    <n v="0"/>
    <m/>
    <m/>
    <n v="0"/>
    <n v="64"/>
    <n v="46714"/>
    <n v="2989696"/>
    <n v="62"/>
    <n v="46865"/>
    <n v="2905630"/>
    <m/>
    <m/>
    <n v="0"/>
    <m/>
    <m/>
    <n v="0"/>
    <m/>
    <m/>
    <n v="0"/>
    <m/>
    <m/>
    <n v="0"/>
    <m/>
    <m/>
    <n v="0"/>
    <m/>
    <m/>
    <n v="0"/>
    <m/>
    <m/>
    <n v="0"/>
    <m/>
    <m/>
    <n v="0"/>
    <m/>
    <m/>
    <n v="0"/>
    <m/>
    <m/>
    <n v="0"/>
    <m/>
    <m/>
    <n v="0"/>
    <m/>
    <m/>
    <n v="0"/>
  </r>
  <r>
    <x v="3"/>
    <s v="St. Johns River Community College "/>
    <n v="137281"/>
    <x v="7"/>
    <m/>
    <m/>
    <n v="0"/>
    <m/>
    <m/>
    <n v="0"/>
    <m/>
    <m/>
    <n v="0"/>
    <m/>
    <m/>
    <n v="0"/>
    <m/>
    <m/>
    <n v="0"/>
    <m/>
    <m/>
    <n v="0"/>
    <m/>
    <m/>
    <n v="0"/>
    <m/>
    <m/>
    <n v="0"/>
    <m/>
    <m/>
    <n v="0"/>
    <m/>
    <m/>
    <n v="0"/>
    <n v="96"/>
    <n v="46963"/>
    <n v="4508448"/>
    <n v="109"/>
    <n v="46916"/>
    <n v="5113844"/>
    <m/>
    <m/>
    <n v="0"/>
    <m/>
    <m/>
    <n v="0"/>
    <m/>
    <m/>
    <n v="0"/>
    <m/>
    <m/>
    <n v="0"/>
    <m/>
    <m/>
    <n v="0"/>
    <m/>
    <m/>
    <n v="0"/>
    <m/>
    <m/>
    <n v="0"/>
    <m/>
    <m/>
    <n v="0"/>
    <m/>
    <m/>
    <n v="0"/>
    <m/>
    <m/>
    <n v="0"/>
    <m/>
    <m/>
    <n v="0"/>
    <m/>
    <m/>
    <n v="0"/>
  </r>
  <r>
    <x v="3"/>
    <s v="Florida Keys Community College "/>
    <n v="133960"/>
    <x v="8"/>
    <m/>
    <m/>
    <n v="0"/>
    <m/>
    <m/>
    <n v="0"/>
    <m/>
    <m/>
    <n v="0"/>
    <m/>
    <m/>
    <n v="0"/>
    <m/>
    <m/>
    <n v="0"/>
    <m/>
    <m/>
    <n v="0"/>
    <m/>
    <m/>
    <n v="0"/>
    <m/>
    <m/>
    <n v="0"/>
    <m/>
    <m/>
    <n v="0"/>
    <m/>
    <m/>
    <n v="0"/>
    <n v="23"/>
    <n v="43202"/>
    <n v="993646"/>
    <n v="19"/>
    <n v="50448"/>
    <n v="958512"/>
    <m/>
    <m/>
    <n v="0"/>
    <m/>
    <m/>
    <n v="0"/>
    <m/>
    <m/>
    <n v="0"/>
    <m/>
    <m/>
    <n v="0"/>
    <m/>
    <m/>
    <n v="0"/>
    <m/>
    <m/>
    <n v="0"/>
    <m/>
    <m/>
    <n v="0"/>
    <m/>
    <m/>
    <n v="0"/>
    <m/>
    <m/>
    <n v="0"/>
    <m/>
    <m/>
    <n v="0"/>
    <m/>
    <m/>
    <n v="0"/>
    <m/>
    <m/>
    <n v="0"/>
  </r>
  <r>
    <x v="3"/>
    <s v="North Florida Community College "/>
    <n v="136145"/>
    <x v="8"/>
    <m/>
    <m/>
    <n v="0"/>
    <m/>
    <m/>
    <n v="0"/>
    <m/>
    <m/>
    <n v="0"/>
    <m/>
    <m/>
    <n v="0"/>
    <m/>
    <m/>
    <n v="0"/>
    <m/>
    <m/>
    <n v="0"/>
    <m/>
    <m/>
    <n v="0"/>
    <m/>
    <m/>
    <n v="0"/>
    <m/>
    <m/>
    <n v="0"/>
    <m/>
    <m/>
    <n v="0"/>
    <n v="35"/>
    <n v="41426"/>
    <n v="1449910"/>
    <n v="37"/>
    <n v="42050"/>
    <n v="1555850"/>
    <m/>
    <m/>
    <n v="0"/>
    <m/>
    <m/>
    <n v="0"/>
    <m/>
    <m/>
    <n v="0"/>
    <m/>
    <m/>
    <n v="0"/>
    <m/>
    <m/>
    <n v="0"/>
    <m/>
    <m/>
    <n v="0"/>
    <m/>
    <m/>
    <n v="0"/>
    <m/>
    <m/>
    <n v="0"/>
    <m/>
    <m/>
    <n v="0"/>
    <m/>
    <m/>
    <n v="0"/>
    <m/>
    <m/>
    <n v="0"/>
    <m/>
    <m/>
    <n v="0"/>
  </r>
  <r>
    <x v="4"/>
    <s v="Georgia State University "/>
    <n v="139940"/>
    <x v="0"/>
    <n v="180"/>
    <n v="112875"/>
    <n v="20317500"/>
    <n v="190"/>
    <n v="119435"/>
    <n v="22692650"/>
    <n v="303"/>
    <n v="72989"/>
    <n v="22115667"/>
    <n v="305"/>
    <n v="76601"/>
    <n v="23363305"/>
    <n v="299"/>
    <n v="61777"/>
    <n v="18471323"/>
    <n v="331"/>
    <n v="64899"/>
    <n v="21481569"/>
    <n v="92"/>
    <n v="44842"/>
    <n v="4125464"/>
    <n v="85"/>
    <n v="47267"/>
    <n v="4017695"/>
    <n v="101"/>
    <n v="41822"/>
    <n v="4224022"/>
    <n v="128"/>
    <n v="43092"/>
    <n v="5515776"/>
    <m/>
    <m/>
    <n v="0"/>
    <m/>
    <m/>
    <n v="0"/>
    <n v="43"/>
    <n v="147819"/>
    <n v="5200656.7494000001"/>
    <n v="41"/>
    <n v="157508"/>
    <n v="5283794.8695999999"/>
    <n v="22"/>
    <n v="100920"/>
    <n v="1816600.368"/>
    <n v="22"/>
    <n v="106023"/>
    <n v="1908456.4092000001"/>
    <n v="6"/>
    <n v="76878"/>
    <n v="377409.47760000004"/>
    <n v="7"/>
    <n v="80627"/>
    <n v="461783.07980000001"/>
    <n v="2"/>
    <n v="45350"/>
    <n v="74210.740000000005"/>
    <n v="3"/>
    <n v="65357"/>
    <n v="160425.2922"/>
    <n v="5"/>
    <n v="79870"/>
    <n v="326748.17000000004"/>
    <n v="5"/>
    <n v="83752"/>
    <n v="342629.43200000003"/>
    <m/>
    <m/>
    <n v="0"/>
    <m/>
    <m/>
    <n v="0"/>
  </r>
  <r>
    <x v="4"/>
    <s v="University of Georgia"/>
    <n v="139959"/>
    <x v="0"/>
    <n v="349"/>
    <n v="103439"/>
    <n v="36100211"/>
    <n v="462"/>
    <n v="107101"/>
    <n v="49480662"/>
    <n v="236"/>
    <n v="73204"/>
    <n v="17276144"/>
    <n v="378"/>
    <n v="74125"/>
    <n v="28019250"/>
    <n v="203"/>
    <n v="68347"/>
    <n v="13874441"/>
    <n v="304"/>
    <n v="70122"/>
    <n v="21317088"/>
    <n v="10"/>
    <n v="44299"/>
    <n v="442990"/>
    <n v="16"/>
    <n v="52032"/>
    <n v="832512"/>
    <n v="51"/>
    <n v="58134"/>
    <n v="2964834"/>
    <n v="80"/>
    <n v="58571"/>
    <n v="4685680"/>
    <m/>
    <m/>
    <n v="0"/>
    <m/>
    <m/>
    <n v="0"/>
    <n v="352"/>
    <n v="111602"/>
    <n v="32142090.252800003"/>
    <n v="250"/>
    <n v="118643"/>
    <n v="24268425.650000002"/>
    <n v="267"/>
    <n v="76527"/>
    <n v="16718042.503800001"/>
    <n v="130"/>
    <n v="88786"/>
    <n v="9443811.6760000009"/>
    <n v="179"/>
    <n v="69757"/>
    <n v="10216456.7546"/>
    <n v="83"/>
    <n v="79628"/>
    <n v="5407585.2568000006"/>
    <n v="14"/>
    <n v="67983"/>
    <n v="778731.66840000008"/>
    <n v="10"/>
    <n v="65764"/>
    <n v="538081.04800000007"/>
    <n v="20"/>
    <n v="56141"/>
    <n v="918691.32400000002"/>
    <n v="7"/>
    <n v="66235"/>
    <n v="379354.33900000004"/>
    <m/>
    <m/>
    <n v="0"/>
    <m/>
    <m/>
    <n v="0"/>
  </r>
  <r>
    <x v="4"/>
    <s v="Georgia Institute of Technology"/>
    <n v="139755"/>
    <x v="1"/>
    <n v="325"/>
    <n v="137585"/>
    <n v="44715125"/>
    <n v="316"/>
    <n v="143236"/>
    <n v="45262576"/>
    <n v="236"/>
    <n v="99214"/>
    <n v="23414504"/>
    <n v="231"/>
    <n v="103830"/>
    <n v="23984730"/>
    <n v="231"/>
    <n v="87496"/>
    <n v="20211576"/>
    <n v="241"/>
    <n v="91258"/>
    <n v="21993178"/>
    <n v="11"/>
    <n v="43154"/>
    <n v="474694"/>
    <n v="11"/>
    <n v="44333"/>
    <n v="487663"/>
    <n v="4"/>
    <n v="68120"/>
    <n v="272480"/>
    <n v="4"/>
    <n v="69737"/>
    <n v="278948"/>
    <m/>
    <m/>
    <n v="0"/>
    <m/>
    <m/>
    <n v="0"/>
    <n v="100"/>
    <n v="201817"/>
    <n v="16512666.940000001"/>
    <n v="99"/>
    <n v="211736"/>
    <n v="17150997.1248"/>
    <n v="11"/>
    <n v="127575"/>
    <n v="1148200.5150000001"/>
    <n v="12"/>
    <n v="142176"/>
    <n v="1395940.8384"/>
    <n v="1"/>
    <n v="79000"/>
    <n v="64637.8"/>
    <n v="1"/>
    <n v="163800"/>
    <n v="134021.16"/>
    <n v="1"/>
    <n v="58000"/>
    <n v="47455.600000000006"/>
    <n v="3"/>
    <n v="53701"/>
    <n v="131814.47460000002"/>
    <n v="5"/>
    <n v="63069"/>
    <n v="258015.27900000001"/>
    <n v="5"/>
    <n v="64971"/>
    <n v="265796.36100000003"/>
    <m/>
    <m/>
    <n v="0"/>
    <m/>
    <m/>
    <n v="0"/>
  </r>
  <r>
    <x v="4"/>
    <s v="Georgia Southern University"/>
    <n v="139931"/>
    <x v="2"/>
    <n v="121"/>
    <n v="77015"/>
    <n v="9318815"/>
    <n v="125"/>
    <n v="79093"/>
    <n v="9886625"/>
    <n v="162"/>
    <n v="62728"/>
    <n v="10161936"/>
    <n v="173"/>
    <n v="65670"/>
    <n v="11360910"/>
    <n v="275"/>
    <n v="54180"/>
    <n v="14899500"/>
    <n v="274"/>
    <n v="55777"/>
    <n v="15282898"/>
    <n v="114"/>
    <n v="36158"/>
    <n v="4122012"/>
    <n v="120"/>
    <n v="37206"/>
    <n v="4464720"/>
    <n v="5"/>
    <n v="44100"/>
    <n v="220500"/>
    <n v="10"/>
    <n v="46000"/>
    <n v="460000"/>
    <m/>
    <m/>
    <n v="0"/>
    <m/>
    <m/>
    <n v="0"/>
    <n v="25"/>
    <n v="106092"/>
    <n v="2170111.86"/>
    <n v="25"/>
    <n v="108193"/>
    <n v="2213087.8149999999"/>
    <n v="7"/>
    <n v="96105"/>
    <n v="550431.777"/>
    <n v="7"/>
    <n v="97293"/>
    <n v="557235.92820000008"/>
    <n v="2"/>
    <n v="69954"/>
    <n v="114472.72560000001"/>
    <n v="3"/>
    <n v="80469"/>
    <n v="197519.20740000001"/>
    <n v="1"/>
    <n v="47844"/>
    <n v="39145.960800000001"/>
    <n v="4"/>
    <n v="53831"/>
    <n v="176178.0968"/>
    <n v="2"/>
    <n v="90000"/>
    <n v="147276"/>
    <n v="3"/>
    <n v="92621"/>
    <n v="227347.50660000002"/>
    <m/>
    <m/>
    <n v="0"/>
    <m/>
    <m/>
    <n v="0"/>
  </r>
  <r>
    <x v="4"/>
    <s v="University of West Georgia"/>
    <n v="141334"/>
    <x v="2"/>
    <n v="67"/>
    <n v="75601"/>
    <n v="5065267"/>
    <n v="61"/>
    <n v="79628"/>
    <n v="4857308"/>
    <n v="92"/>
    <n v="57180"/>
    <n v="5260560"/>
    <n v="90"/>
    <n v="58908"/>
    <n v="5301720"/>
    <n v="125"/>
    <n v="50500"/>
    <n v="6312500"/>
    <n v="137"/>
    <n v="51994"/>
    <n v="7123178"/>
    <n v="82"/>
    <n v="37129"/>
    <n v="3044578"/>
    <n v="89"/>
    <n v="37188"/>
    <n v="3309732"/>
    <n v="13"/>
    <n v="49457"/>
    <n v="642941"/>
    <n v="17"/>
    <n v="48052"/>
    <n v="816884"/>
    <m/>
    <m/>
    <n v="0"/>
    <m/>
    <m/>
    <n v="0"/>
    <n v="9"/>
    <n v="110167"/>
    <n v="811247.75459999999"/>
    <n v="8"/>
    <n v="109496"/>
    <n v="716717.01760000002"/>
    <n v="3"/>
    <n v="94560"/>
    <n v="232106.97600000002"/>
    <n v="2"/>
    <n v="108882"/>
    <n v="178174.5048"/>
    <n v="2"/>
    <n v="79500"/>
    <n v="130093.8"/>
    <n v="2"/>
    <n v="79500"/>
    <n v="130093.8"/>
    <n v="0"/>
    <m/>
    <n v="0"/>
    <n v="1"/>
    <n v="39500"/>
    <n v="32318.9"/>
    <m/>
    <m/>
    <n v="0"/>
    <m/>
    <m/>
    <n v="0"/>
    <m/>
    <m/>
    <n v="0"/>
    <m/>
    <m/>
    <n v="0"/>
  </r>
  <r>
    <x v="4"/>
    <s v="Valdosta State University "/>
    <n v="141264"/>
    <x v="2"/>
    <n v="116"/>
    <n v="69647"/>
    <n v="8079052"/>
    <n v="116"/>
    <n v="74550"/>
    <n v="8647800"/>
    <n v="99"/>
    <n v="56261"/>
    <n v="5569839"/>
    <n v="98"/>
    <n v="59174"/>
    <n v="5799052"/>
    <n v="114"/>
    <n v="51834"/>
    <n v="5909076"/>
    <n v="118"/>
    <n v="53184"/>
    <n v="6275712"/>
    <n v="15"/>
    <n v="46222"/>
    <n v="693330"/>
    <n v="15"/>
    <n v="47496"/>
    <n v="712440"/>
    <n v="3"/>
    <n v="41167"/>
    <n v="123501"/>
    <n v="24"/>
    <n v="40363"/>
    <n v="968712"/>
    <m/>
    <m/>
    <n v="0"/>
    <m/>
    <m/>
    <n v="0"/>
    <n v="29"/>
    <n v="90034"/>
    <n v="2136308.7452000002"/>
    <n v="26"/>
    <n v="91263"/>
    <n v="1941456.0516000001"/>
    <n v="13"/>
    <n v="70255"/>
    <n v="747274.33299999998"/>
    <n v="13"/>
    <n v="73386"/>
    <n v="780577.52760000003"/>
    <n v="10"/>
    <n v="61907"/>
    <n v="506523.07400000002"/>
    <n v="9"/>
    <n v="64611"/>
    <n v="475782.48180000001"/>
    <n v="16"/>
    <n v="50735"/>
    <n v="664182.03200000001"/>
    <n v="16"/>
    <n v="53076"/>
    <n v="694828.53120000008"/>
    <m/>
    <m/>
    <n v="0"/>
    <m/>
    <m/>
    <n v="0"/>
    <m/>
    <m/>
    <n v="0"/>
    <m/>
    <m/>
    <n v="0"/>
  </r>
  <r>
    <x v="4"/>
    <s v="Albany State University "/>
    <n v="138716"/>
    <x v="3"/>
    <n v="14"/>
    <n v="68890"/>
    <n v="964460"/>
    <n v="14"/>
    <n v="70918"/>
    <n v="992852"/>
    <n v="33"/>
    <n v="58810"/>
    <n v="1940730"/>
    <n v="32"/>
    <n v="61108"/>
    <n v="1955456"/>
    <n v="76"/>
    <n v="50315"/>
    <n v="3823940"/>
    <n v="79"/>
    <n v="51722"/>
    <n v="4086038"/>
    <n v="14"/>
    <n v="45910"/>
    <n v="642740"/>
    <n v="17"/>
    <n v="46510"/>
    <n v="790670"/>
    <m/>
    <m/>
    <n v="0"/>
    <n v="0"/>
    <m/>
    <n v="0"/>
    <m/>
    <m/>
    <n v="0"/>
    <m/>
    <m/>
    <n v="0"/>
    <n v="2"/>
    <n v="90450"/>
    <n v="148012.38"/>
    <n v="3"/>
    <n v="95149"/>
    <n v="233552.73540000001"/>
    <n v="5"/>
    <n v="84739"/>
    <n v="346667.24900000001"/>
    <n v="5"/>
    <n v="85237"/>
    <n v="348704.56700000004"/>
    <n v="3"/>
    <n v="73702"/>
    <n v="180908.92920000001"/>
    <n v="4"/>
    <n v="71010"/>
    <n v="232401.52800000002"/>
    <n v="1"/>
    <n v="58000"/>
    <n v="47455.600000000006"/>
    <n v="0"/>
    <m/>
    <n v="0"/>
    <m/>
    <m/>
    <n v="0"/>
    <m/>
    <m/>
    <n v="0"/>
    <m/>
    <m/>
    <n v="0"/>
    <m/>
    <m/>
    <n v="0"/>
  </r>
  <r>
    <x v="4"/>
    <s v="Armstrong Atlantic State University"/>
    <n v="138789"/>
    <x v="3"/>
    <n v="36"/>
    <n v="70451"/>
    <n v="2536236"/>
    <n v="39"/>
    <n v="80427"/>
    <n v="3136653"/>
    <n v="44"/>
    <n v="55027"/>
    <n v="2421188"/>
    <n v="47"/>
    <n v="59434"/>
    <n v="2793398"/>
    <n v="116"/>
    <n v="49378"/>
    <n v="5727848"/>
    <n v="111"/>
    <n v="50366"/>
    <n v="5590626"/>
    <n v="25"/>
    <n v="39437"/>
    <n v="985925"/>
    <n v="25"/>
    <n v="41592"/>
    <n v="1039800"/>
    <m/>
    <m/>
    <n v="0"/>
    <n v="0"/>
    <m/>
    <n v="0"/>
    <m/>
    <m/>
    <n v="0"/>
    <m/>
    <m/>
    <n v="0"/>
    <n v="14"/>
    <n v="90530"/>
    <n v="1037003.044"/>
    <n v="13"/>
    <n v="94075"/>
    <n v="1000638.145"/>
    <n v="13"/>
    <n v="88191"/>
    <n v="938052.39060000004"/>
    <n v="13"/>
    <n v="93374"/>
    <n v="993181.88840000005"/>
    <n v="12"/>
    <n v="64638"/>
    <n v="634641.73920000007"/>
    <n v="12"/>
    <n v="67443"/>
    <n v="662182.35120000003"/>
    <n v="3"/>
    <n v="54790"/>
    <n v="134487.53400000001"/>
    <n v="2"/>
    <n v="54792"/>
    <n v="89661.628800000006"/>
    <m/>
    <m/>
    <n v="0"/>
    <m/>
    <m/>
    <n v="0"/>
    <m/>
    <m/>
    <n v="0"/>
    <m/>
    <m/>
    <n v="0"/>
  </r>
  <r>
    <x v="4"/>
    <s v="Columbus State University"/>
    <n v="139366"/>
    <x v="3"/>
    <n v="43"/>
    <n v="68345"/>
    <n v="2938835"/>
    <n v="41"/>
    <n v="70247"/>
    <n v="2880127"/>
    <n v="78"/>
    <n v="56908"/>
    <n v="4438824"/>
    <n v="69"/>
    <n v="60466"/>
    <n v="4172154"/>
    <n v="86"/>
    <n v="48135"/>
    <n v="4139610"/>
    <n v="89"/>
    <n v="50941"/>
    <n v="4533749"/>
    <n v="8"/>
    <n v="47991"/>
    <n v="383928"/>
    <n v="6"/>
    <n v="49617"/>
    <n v="297702"/>
    <n v="1"/>
    <n v="55000"/>
    <n v="55000"/>
    <n v="6"/>
    <n v="43983"/>
    <n v="263898"/>
    <m/>
    <m/>
    <n v="0"/>
    <m/>
    <m/>
    <n v="0"/>
    <n v="8"/>
    <n v="101532"/>
    <n v="664587.85920000006"/>
    <n v="9"/>
    <n v="104969"/>
    <n v="772970.72220000008"/>
    <n v="7"/>
    <n v="80602"/>
    <n v="461639.89480000001"/>
    <n v="5"/>
    <n v="77909"/>
    <n v="318725.71900000004"/>
    <n v="8"/>
    <n v="52172"/>
    <n v="341497.04320000001"/>
    <n v="6"/>
    <n v="47219"/>
    <n v="231807.5148"/>
    <n v="1"/>
    <n v="66000"/>
    <n v="54001.200000000004"/>
    <n v="2"/>
    <n v="40000"/>
    <n v="65456"/>
    <m/>
    <m/>
    <n v="0"/>
    <m/>
    <m/>
    <n v="0"/>
    <m/>
    <m/>
    <n v="0"/>
    <m/>
    <m/>
    <n v="0"/>
  </r>
  <r>
    <x v="4"/>
    <s v="Georgia College and State University"/>
    <n v="139861"/>
    <x v="3"/>
    <n v="53"/>
    <n v="63387"/>
    <n v="3359511"/>
    <n v="51"/>
    <n v="67448"/>
    <n v="3439848"/>
    <n v="54"/>
    <n v="54278"/>
    <n v="2931012"/>
    <n v="52"/>
    <n v="55984"/>
    <n v="2911168"/>
    <n v="98"/>
    <n v="51583"/>
    <n v="5055134"/>
    <n v="81"/>
    <n v="52052"/>
    <n v="4216212"/>
    <n v="20"/>
    <n v="39763"/>
    <n v="795260"/>
    <n v="15"/>
    <n v="44829"/>
    <n v="672435"/>
    <n v="6"/>
    <n v="40166"/>
    <n v="240996"/>
    <n v="5"/>
    <n v="40899"/>
    <n v="204495"/>
    <m/>
    <m/>
    <n v="0"/>
    <m/>
    <m/>
    <n v="0"/>
    <n v="19"/>
    <n v="88976"/>
    <n v="1383203.1008000001"/>
    <n v="20"/>
    <n v="89377"/>
    <n v="1462565.2280000001"/>
    <n v="7"/>
    <n v="58792"/>
    <n v="336725.30080000003"/>
    <n v="9"/>
    <n v="64881"/>
    <n v="477770.70780000003"/>
    <n v="3"/>
    <n v="63820"/>
    <n v="156652.57200000001"/>
    <n v="7"/>
    <n v="71929"/>
    <n v="411966.15460000001"/>
    <n v="2"/>
    <n v="50943"/>
    <n v="83363.125200000009"/>
    <n v="2"/>
    <n v="51855"/>
    <n v="84855.521999999997"/>
    <m/>
    <m/>
    <n v="0"/>
    <m/>
    <m/>
    <n v="0"/>
    <m/>
    <m/>
    <n v="0"/>
    <m/>
    <m/>
    <n v="0"/>
  </r>
  <r>
    <x v="4"/>
    <s v="Kennesaw State University"/>
    <n v="140164"/>
    <x v="3"/>
    <n v="109"/>
    <n v="77552"/>
    <n v="8453168"/>
    <n v="104"/>
    <n v="80670"/>
    <n v="8389680"/>
    <n v="129"/>
    <n v="63542"/>
    <n v="8196918"/>
    <n v="137"/>
    <n v="65788"/>
    <n v="9012956"/>
    <n v="235"/>
    <n v="54575"/>
    <n v="12825125"/>
    <n v="236"/>
    <n v="56237"/>
    <n v="13271932"/>
    <n v="57"/>
    <n v="42147"/>
    <n v="2402379"/>
    <n v="12"/>
    <n v="43708"/>
    <n v="524496"/>
    <n v="62"/>
    <n v="44543"/>
    <n v="2761666"/>
    <n v="74"/>
    <n v="46226"/>
    <n v="3420724"/>
    <m/>
    <m/>
    <n v="0"/>
    <m/>
    <m/>
    <n v="0"/>
    <n v="31"/>
    <n v="100149"/>
    <n v="2540199.2658000002"/>
    <n v="45"/>
    <n v="106890"/>
    <n v="3935582.91"/>
    <n v="14"/>
    <n v="83963"/>
    <n v="961779.37239999999"/>
    <n v="19"/>
    <n v="88607"/>
    <n v="1377466.7006000001"/>
    <n v="12"/>
    <n v="83153"/>
    <n v="816429.41520000005"/>
    <n v="15"/>
    <n v="83535"/>
    <n v="1025225.0550000001"/>
    <n v="5"/>
    <n v="56681"/>
    <n v="231881.97100000002"/>
    <n v="2"/>
    <n v="54103"/>
    <n v="88534.1492"/>
    <n v="8"/>
    <n v="66068"/>
    <n v="432454.70079999999"/>
    <n v="10"/>
    <n v="68077"/>
    <n v="557006.01400000008"/>
    <m/>
    <m/>
    <n v="0"/>
    <m/>
    <m/>
    <n v="0"/>
  </r>
  <r>
    <x v="4"/>
    <s v="Augusta State University"/>
    <n v="138983"/>
    <x v="4"/>
    <n v="54"/>
    <n v="72785"/>
    <n v="3930390"/>
    <n v="50"/>
    <n v="75178"/>
    <n v="3758900"/>
    <n v="56"/>
    <n v="57267"/>
    <n v="3206952"/>
    <n v="57"/>
    <n v="58962"/>
    <n v="3360834"/>
    <n v="82"/>
    <n v="49869"/>
    <n v="4089258"/>
    <n v="86"/>
    <n v="52809"/>
    <n v="4541574"/>
    <n v="33"/>
    <n v="41150"/>
    <n v="1357950"/>
    <n v="32"/>
    <n v="38831"/>
    <n v="1242592"/>
    <n v="7"/>
    <n v="37592"/>
    <n v="263144"/>
    <n v="11"/>
    <n v="43830"/>
    <n v="482130"/>
    <m/>
    <m/>
    <n v="0"/>
    <m/>
    <m/>
    <n v="0"/>
    <n v="1"/>
    <n v="83751"/>
    <n v="68525.068200000009"/>
    <n v="1"/>
    <n v="86515"/>
    <n v="70786.573000000004"/>
    <n v="0"/>
    <m/>
    <n v="0"/>
    <n v="1"/>
    <n v="78627"/>
    <n v="64332.611400000002"/>
    <n v="1"/>
    <n v="65000"/>
    <n v="53183"/>
    <n v="0"/>
    <m/>
    <n v="0"/>
    <n v="1"/>
    <n v="65869"/>
    <n v="53894.015800000001"/>
    <n v="1"/>
    <n v="66857"/>
    <n v="54702.397400000002"/>
    <m/>
    <m/>
    <n v="0"/>
    <m/>
    <m/>
    <n v="0"/>
    <m/>
    <m/>
    <n v="0"/>
    <m/>
    <m/>
    <n v="0"/>
  </r>
  <r>
    <x v="4"/>
    <s v="Fort Valley State University"/>
    <n v="139719"/>
    <x v="4"/>
    <n v="11"/>
    <n v="76476"/>
    <n v="841236"/>
    <n v="11"/>
    <n v="76795"/>
    <n v="844745"/>
    <n v="23"/>
    <n v="58842"/>
    <n v="1353366"/>
    <n v="23"/>
    <n v="59993"/>
    <n v="1379839"/>
    <n v="37"/>
    <n v="46383"/>
    <n v="1716171"/>
    <n v="36"/>
    <n v="47824"/>
    <n v="1721664"/>
    <n v="11"/>
    <n v="41455"/>
    <n v="456005"/>
    <n v="12"/>
    <n v="43934"/>
    <n v="527208"/>
    <m/>
    <m/>
    <n v="0"/>
    <n v="0"/>
    <m/>
    <n v="0"/>
    <m/>
    <m/>
    <n v="0"/>
    <m/>
    <m/>
    <n v="0"/>
    <n v="9"/>
    <n v="86772"/>
    <n v="638971.65360000008"/>
    <n v="8"/>
    <n v="95154"/>
    <n v="622840.02240000002"/>
    <n v="6"/>
    <n v="69323"/>
    <n v="340320.47159999999"/>
    <n v="7"/>
    <n v="77806"/>
    <n v="445626.08439999999"/>
    <n v="7"/>
    <n v="64847"/>
    <n v="371404.70780000003"/>
    <n v="10"/>
    <n v="67643"/>
    <n v="553455.02600000007"/>
    <n v="0"/>
    <m/>
    <n v="0"/>
    <n v="0"/>
    <m/>
    <n v="0"/>
    <m/>
    <m/>
    <n v="0"/>
    <m/>
    <m/>
    <n v="0"/>
    <m/>
    <m/>
    <n v="0"/>
    <m/>
    <m/>
    <n v="0"/>
  </r>
  <r>
    <x v="4"/>
    <s v="Georgia Southwestern State University"/>
    <n v="139764"/>
    <x v="4"/>
    <n v="15"/>
    <n v="69854"/>
    <n v="1047810"/>
    <n v="18"/>
    <n v="70185"/>
    <n v="1263330"/>
    <n v="24"/>
    <n v="56177"/>
    <n v="1348248"/>
    <n v="25"/>
    <n v="58228"/>
    <n v="1455700"/>
    <n v="38"/>
    <n v="48592"/>
    <n v="1846496"/>
    <n v="41"/>
    <n v="51186"/>
    <n v="2098626"/>
    <n v="12"/>
    <n v="42174"/>
    <n v="506088"/>
    <n v="11"/>
    <n v="41505"/>
    <n v="456555"/>
    <m/>
    <m/>
    <n v="0"/>
    <n v="0"/>
    <m/>
    <n v="0"/>
    <m/>
    <m/>
    <n v="0"/>
    <m/>
    <m/>
    <n v="0"/>
    <n v="1"/>
    <n v="93555"/>
    <n v="76546.701000000001"/>
    <n v="2"/>
    <n v="86850"/>
    <n v="142121.34"/>
    <n v="2"/>
    <n v="76746"/>
    <n v="125587.1544"/>
    <n v="1"/>
    <n v="81700"/>
    <n v="66846.94"/>
    <n v="0"/>
    <m/>
    <n v="0"/>
    <n v="0"/>
    <m/>
    <n v="0"/>
    <n v="0"/>
    <m/>
    <n v="0"/>
    <n v="0"/>
    <m/>
    <n v="0"/>
    <m/>
    <m/>
    <n v="0"/>
    <m/>
    <m/>
    <n v="0"/>
    <m/>
    <m/>
    <n v="0"/>
    <m/>
    <m/>
    <n v="0"/>
  </r>
  <r>
    <x v="4"/>
    <s v="North Georgia College and State University"/>
    <n v="140669"/>
    <x v="4"/>
    <n v="26"/>
    <n v="68994"/>
    <n v="1793844"/>
    <n v="26"/>
    <n v="70138"/>
    <n v="1823588"/>
    <n v="43"/>
    <n v="64740"/>
    <n v="2783820"/>
    <n v="50"/>
    <n v="63526"/>
    <n v="3176300"/>
    <n v="93"/>
    <n v="48931"/>
    <n v="4550583"/>
    <n v="94"/>
    <n v="50050"/>
    <n v="4704700"/>
    <n v="20"/>
    <n v="37180"/>
    <n v="743600"/>
    <n v="21"/>
    <n v="40579"/>
    <n v="852159"/>
    <m/>
    <m/>
    <n v="0"/>
    <m/>
    <m/>
    <n v="0"/>
    <m/>
    <m/>
    <n v="0"/>
    <m/>
    <m/>
    <n v="0"/>
    <n v="11"/>
    <n v="90750"/>
    <n v="816768.15"/>
    <n v="11"/>
    <n v="93706"/>
    <n v="843372.74120000005"/>
    <n v="3"/>
    <n v="70896"/>
    <n v="174021.3216"/>
    <n v="2"/>
    <n v="82934"/>
    <n v="135713.19760000001"/>
    <n v="6"/>
    <n v="63824"/>
    <n v="313324.78080000001"/>
    <n v="6"/>
    <n v="72499"/>
    <n v="355912.09080000001"/>
    <n v="0"/>
    <m/>
    <n v="0"/>
    <n v="3"/>
    <n v="57200"/>
    <n v="140403.12"/>
    <m/>
    <m/>
    <n v="0"/>
    <m/>
    <m/>
    <n v="0"/>
    <m/>
    <m/>
    <n v="0"/>
    <m/>
    <m/>
    <n v="0"/>
  </r>
  <r>
    <x v="4"/>
    <s v="Savannah State University"/>
    <n v="140960"/>
    <x v="4"/>
    <n v="26"/>
    <n v="66784"/>
    <n v="1736384"/>
    <n v="29"/>
    <n v="72173"/>
    <n v="2093017"/>
    <n v="25"/>
    <n v="58760"/>
    <n v="1469000"/>
    <n v="28"/>
    <n v="62658"/>
    <n v="1754424"/>
    <n v="34"/>
    <n v="52473"/>
    <n v="1784082"/>
    <n v="46"/>
    <n v="52494"/>
    <n v="2414724"/>
    <n v="5"/>
    <n v="45054"/>
    <n v="225270"/>
    <n v="9"/>
    <n v="43836"/>
    <n v="394524"/>
    <n v="5"/>
    <n v="40524"/>
    <n v="202620"/>
    <n v="8"/>
    <n v="40743"/>
    <n v="325944"/>
    <m/>
    <m/>
    <n v="0"/>
    <m/>
    <m/>
    <n v="0"/>
    <n v="1"/>
    <n v="99101"/>
    <n v="81084.438200000004"/>
    <n v="1"/>
    <n v="102075"/>
    <n v="83517.764999999999"/>
    <n v="5"/>
    <n v="80571"/>
    <n v="329615.96100000001"/>
    <n v="1"/>
    <n v="80587"/>
    <n v="65936.2834"/>
    <n v="7"/>
    <n v="58704"/>
    <n v="336221.28960000002"/>
    <n v="10"/>
    <n v="66410"/>
    <n v="543366.62"/>
    <n v="2"/>
    <n v="43528"/>
    <n v="71229.219200000007"/>
    <n v="1"/>
    <n v="41000"/>
    <n v="33546.200000000004"/>
    <m/>
    <m/>
    <n v="0"/>
    <m/>
    <m/>
    <n v="0"/>
    <m/>
    <m/>
    <n v="0"/>
    <m/>
    <m/>
    <n v="0"/>
  </r>
  <r>
    <x v="4"/>
    <s v="Clayton State University"/>
    <n v="139311"/>
    <x v="5"/>
    <n v="14"/>
    <n v="69761"/>
    <n v="976654"/>
    <n v="15"/>
    <n v="75737"/>
    <n v="1136055"/>
    <n v="39"/>
    <n v="63000"/>
    <n v="2457000"/>
    <n v="46"/>
    <n v="63787"/>
    <n v="2934202"/>
    <n v="86"/>
    <n v="51396"/>
    <n v="4420056"/>
    <n v="91"/>
    <n v="53253"/>
    <n v="4846023"/>
    <n v="16"/>
    <n v="43584"/>
    <n v="697344"/>
    <n v="10"/>
    <n v="47547"/>
    <n v="475470"/>
    <n v="1"/>
    <n v="36457"/>
    <n v="36457"/>
    <n v="6"/>
    <n v="45514"/>
    <n v="273084"/>
    <m/>
    <m/>
    <n v="0"/>
    <m/>
    <m/>
    <n v="0"/>
    <n v="12"/>
    <n v="90774"/>
    <n v="891255.44160000002"/>
    <n v="11"/>
    <n v="93828"/>
    <n v="844470.76560000004"/>
    <n v="8"/>
    <n v="86294"/>
    <n v="564846.00640000007"/>
    <n v="7"/>
    <n v="78314"/>
    <n v="448535.60360000003"/>
    <n v="12"/>
    <n v="63104"/>
    <n v="619580.31359999999"/>
    <n v="9"/>
    <n v="65977"/>
    <n v="485841.4326"/>
    <n v="0"/>
    <m/>
    <n v="0"/>
    <n v="0"/>
    <m/>
    <n v="0"/>
    <m/>
    <m/>
    <n v="0"/>
    <m/>
    <m/>
    <n v="0"/>
    <m/>
    <m/>
    <n v="0"/>
    <m/>
    <m/>
    <n v="0"/>
  </r>
  <r>
    <x v="4"/>
    <s v="Macon State College "/>
    <n v="140322"/>
    <x v="5"/>
    <n v="21"/>
    <n v="71306"/>
    <n v="1497426"/>
    <n v="21"/>
    <n v="76242"/>
    <n v="1601082"/>
    <n v="40"/>
    <n v="59609"/>
    <n v="2384360"/>
    <n v="38"/>
    <n v="58807"/>
    <n v="2234666"/>
    <n v="108"/>
    <n v="45761"/>
    <n v="4942188"/>
    <n v="103"/>
    <n v="46553"/>
    <n v="4794959"/>
    <n v="17"/>
    <n v="39399"/>
    <n v="669783"/>
    <n v="15"/>
    <n v="39027"/>
    <n v="585405"/>
    <m/>
    <m/>
    <n v="0"/>
    <n v="0"/>
    <m/>
    <n v="0"/>
    <m/>
    <m/>
    <n v="0"/>
    <m/>
    <m/>
    <n v="0"/>
    <n v="0"/>
    <m/>
    <n v="0"/>
    <n v="1"/>
    <n v="94000"/>
    <n v="76910.8"/>
    <n v="3"/>
    <n v="92121"/>
    <n v="226120.2066"/>
    <n v="8"/>
    <n v="81070"/>
    <n v="530651.79200000002"/>
    <n v="1"/>
    <n v="67913"/>
    <n v="55566.416600000004"/>
    <n v="1"/>
    <n v="70290"/>
    <n v="57511.278000000006"/>
    <n v="0"/>
    <m/>
    <n v="0"/>
    <n v="0"/>
    <m/>
    <n v="0"/>
    <m/>
    <m/>
    <n v="0"/>
    <m/>
    <m/>
    <n v="0"/>
    <m/>
    <m/>
    <n v="0"/>
    <m/>
    <m/>
    <n v="0"/>
  </r>
  <r>
    <x v="4"/>
    <s v="Dalton State College "/>
    <n v="139463"/>
    <x v="11"/>
    <n v="11"/>
    <n v="67429"/>
    <n v="741719"/>
    <n v="13"/>
    <n v="76879"/>
    <n v="999427"/>
    <n v="45"/>
    <n v="55312"/>
    <n v="2489040"/>
    <n v="49"/>
    <n v="56240"/>
    <n v="2755760"/>
    <n v="43"/>
    <n v="45574"/>
    <n v="1959682"/>
    <n v="51"/>
    <n v="47364"/>
    <n v="2415564"/>
    <n v="19"/>
    <n v="40783"/>
    <n v="774877"/>
    <n v="20"/>
    <n v="42172"/>
    <n v="843440"/>
    <m/>
    <m/>
    <n v="0"/>
    <n v="0"/>
    <m/>
    <n v="0"/>
    <m/>
    <m/>
    <n v="0"/>
    <m/>
    <m/>
    <n v="0"/>
    <n v="5"/>
    <n v="75674"/>
    <n v="309582.33400000003"/>
    <n v="4"/>
    <n v="84959"/>
    <n v="278053.81520000001"/>
    <n v="3"/>
    <n v="86591"/>
    <n v="212546.26860000001"/>
    <n v="2"/>
    <n v="93278"/>
    <n v="152640.11920000002"/>
    <n v="0"/>
    <m/>
    <n v="0"/>
    <n v="1"/>
    <n v="65000"/>
    <n v="53183"/>
    <n v="0"/>
    <m/>
    <n v="0"/>
    <n v="0"/>
    <m/>
    <n v="0"/>
    <m/>
    <m/>
    <n v="0"/>
    <m/>
    <m/>
    <n v="0"/>
    <m/>
    <m/>
    <n v="0"/>
    <m/>
    <m/>
    <n v="0"/>
  </r>
  <r>
    <x v="4"/>
    <s v="Georgia Perimeter College "/>
    <n v="244437"/>
    <x v="6"/>
    <n v="35"/>
    <n v="59103"/>
    <n v="2068605"/>
    <n v="37"/>
    <n v="61808"/>
    <n v="2286896"/>
    <n v="119"/>
    <n v="52831"/>
    <n v="6286889"/>
    <n v="121"/>
    <n v="54982"/>
    <n v="6652822"/>
    <n v="67"/>
    <n v="44233"/>
    <n v="2963611"/>
    <n v="97"/>
    <n v="44652"/>
    <n v="4331244"/>
    <n v="203"/>
    <n v="37895"/>
    <n v="7692685"/>
    <n v="184"/>
    <n v="38566"/>
    <n v="7096144"/>
    <m/>
    <m/>
    <n v="0"/>
    <n v="0"/>
    <m/>
    <n v="0"/>
    <m/>
    <m/>
    <n v="0"/>
    <m/>
    <m/>
    <n v="0"/>
    <n v="2"/>
    <n v="82261"/>
    <n v="134611.90040000001"/>
    <n v="3"/>
    <n v="80521"/>
    <n v="197646.84660000002"/>
    <n v="26"/>
    <n v="72701"/>
    <n v="1546582.9132000001"/>
    <n v="21"/>
    <n v="74115"/>
    <n v="1273458.753"/>
    <n v="13"/>
    <n v="60470"/>
    <n v="643195.20200000005"/>
    <n v="12"/>
    <n v="67477"/>
    <n v="662516.17680000002"/>
    <n v="5"/>
    <n v="56733"/>
    <n v="232094.70300000001"/>
    <n v="5"/>
    <n v="54323"/>
    <n v="222235.39300000001"/>
    <m/>
    <m/>
    <n v="0"/>
    <m/>
    <m/>
    <n v="0"/>
    <m/>
    <m/>
    <n v="0"/>
    <m/>
    <m/>
    <n v="0"/>
  </r>
  <r>
    <x v="4"/>
    <s v="Abraham Baldwin Agricultural College "/>
    <n v="138558"/>
    <x v="7"/>
    <n v="5"/>
    <n v="59253"/>
    <n v="296265"/>
    <n v="7"/>
    <n v="52058"/>
    <n v="364406"/>
    <n v="21"/>
    <n v="48230"/>
    <n v="1012830"/>
    <n v="18"/>
    <n v="50568"/>
    <n v="910224"/>
    <n v="34"/>
    <n v="42654"/>
    <n v="1450236"/>
    <n v="33"/>
    <n v="43710"/>
    <n v="1442430"/>
    <n v="28"/>
    <n v="37746"/>
    <n v="1056888"/>
    <n v="26"/>
    <n v="39786"/>
    <n v="1034436"/>
    <m/>
    <m/>
    <n v="0"/>
    <n v="0"/>
    <m/>
    <n v="0"/>
    <m/>
    <m/>
    <n v="0"/>
    <m/>
    <m/>
    <n v="0"/>
    <n v="5"/>
    <n v="85807"/>
    <n v="351036.43700000003"/>
    <n v="5"/>
    <n v="89617"/>
    <n v="366623.147"/>
    <n v="5"/>
    <n v="70434"/>
    <n v="288145.49400000001"/>
    <n v="6"/>
    <n v="72003"/>
    <n v="353477.12760000001"/>
    <n v="6"/>
    <n v="69041"/>
    <n v="338936.0772"/>
    <n v="4"/>
    <n v="69064"/>
    <n v="226032.65920000002"/>
    <n v="1"/>
    <n v="123927"/>
    <n v="101397.0714"/>
    <n v="0"/>
    <m/>
    <n v="0"/>
    <m/>
    <m/>
    <n v="0"/>
    <m/>
    <m/>
    <n v="0"/>
    <m/>
    <m/>
    <n v="0"/>
    <m/>
    <m/>
    <n v="0"/>
  </r>
  <r>
    <x v="4"/>
    <s v="Bainbridge College "/>
    <n v="139010"/>
    <x v="7"/>
    <n v="5"/>
    <n v="59960"/>
    <n v="299800"/>
    <n v="5"/>
    <n v="61657"/>
    <n v="308285"/>
    <n v="11"/>
    <n v="49798"/>
    <n v="547778"/>
    <n v="11"/>
    <n v="51299"/>
    <n v="564289"/>
    <n v="14"/>
    <n v="40698"/>
    <n v="569772"/>
    <n v="11"/>
    <n v="41982"/>
    <n v="461802"/>
    <n v="15"/>
    <n v="37272"/>
    <n v="559080"/>
    <n v="16"/>
    <n v="37528"/>
    <n v="600448"/>
    <m/>
    <m/>
    <n v="0"/>
    <n v="0"/>
    <m/>
    <n v="0"/>
    <m/>
    <m/>
    <n v="0"/>
    <m/>
    <m/>
    <n v="0"/>
    <n v="1"/>
    <n v="78750"/>
    <n v="64433.25"/>
    <n v="1"/>
    <n v="81034"/>
    <n v="66302.018800000005"/>
    <n v="1"/>
    <n v="65000"/>
    <n v="53183"/>
    <n v="1"/>
    <n v="66950"/>
    <n v="54778.490000000005"/>
    <n v="6"/>
    <n v="49529"/>
    <n v="243147.76680000001"/>
    <n v="4"/>
    <n v="54496"/>
    <n v="178354.50880000001"/>
    <n v="4"/>
    <n v="49653"/>
    <n v="162504.33840000001"/>
    <n v="4"/>
    <n v="55074"/>
    <n v="180246.18720000001"/>
    <m/>
    <m/>
    <n v="0"/>
    <m/>
    <m/>
    <n v="0"/>
    <m/>
    <m/>
    <n v="0"/>
    <m/>
    <m/>
    <n v="0"/>
  </r>
  <r>
    <x v="4"/>
    <s v="College of Coastal Georgia "/>
    <n v="139250"/>
    <x v="7"/>
    <n v="5"/>
    <n v="54337"/>
    <n v="271685"/>
    <n v="5"/>
    <n v="56181"/>
    <n v="280905"/>
    <n v="13"/>
    <n v="53395"/>
    <n v="694135"/>
    <n v="12"/>
    <n v="56204"/>
    <n v="674448"/>
    <n v="21"/>
    <n v="44929"/>
    <n v="943509"/>
    <n v="20"/>
    <n v="46975"/>
    <n v="939500"/>
    <n v="16"/>
    <n v="39540"/>
    <n v="632640"/>
    <n v="16"/>
    <n v="40374"/>
    <n v="645984"/>
    <m/>
    <m/>
    <n v="0"/>
    <n v="0"/>
    <m/>
    <n v="0"/>
    <m/>
    <m/>
    <n v="0"/>
    <m/>
    <m/>
    <n v="0"/>
    <n v="1"/>
    <n v="77000"/>
    <n v="63001.4"/>
    <n v="1"/>
    <n v="79310"/>
    <n v="64891.442000000003"/>
    <n v="3"/>
    <n v="85715"/>
    <n v="210396.03900000002"/>
    <n v="2"/>
    <n v="82447"/>
    <n v="134916.2708"/>
    <n v="4"/>
    <n v="61922"/>
    <n v="202658.3216"/>
    <n v="3"/>
    <n v="66620"/>
    <n v="163525.45200000002"/>
    <n v="1"/>
    <n v="51839"/>
    <n v="42414.669800000003"/>
    <n v="1"/>
    <n v="53602"/>
    <n v="43857.1564"/>
    <m/>
    <m/>
    <n v="0"/>
    <m/>
    <m/>
    <n v="0"/>
    <m/>
    <m/>
    <n v="0"/>
    <m/>
    <m/>
    <n v="0"/>
  </r>
  <r>
    <x v="4"/>
    <s v="Darton College "/>
    <n v="138691"/>
    <x v="7"/>
    <n v="3"/>
    <n v="57759"/>
    <n v="173277"/>
    <n v="3"/>
    <n v="59490"/>
    <n v="178470"/>
    <n v="7"/>
    <n v="50874"/>
    <n v="356118"/>
    <n v="6"/>
    <n v="52972"/>
    <n v="317832"/>
    <n v="41"/>
    <n v="44147"/>
    <n v="1810027"/>
    <n v="46"/>
    <n v="45398"/>
    <n v="2088308"/>
    <n v="35"/>
    <n v="42251"/>
    <n v="1478785"/>
    <n v="33"/>
    <n v="42908"/>
    <n v="1415964"/>
    <m/>
    <m/>
    <n v="0"/>
    <n v="0"/>
    <m/>
    <n v="0"/>
    <m/>
    <m/>
    <n v="0"/>
    <m/>
    <m/>
    <n v="0"/>
    <n v="1"/>
    <n v="81419"/>
    <n v="66617.025800000003"/>
    <n v="1"/>
    <n v="83868"/>
    <n v="68620.797600000005"/>
    <n v="0"/>
    <m/>
    <n v="0"/>
    <n v="0"/>
    <m/>
    <n v="0"/>
    <n v="8"/>
    <n v="64599"/>
    <n v="422839.2144"/>
    <n v="9"/>
    <n v="66515"/>
    <n v="489803.15700000001"/>
    <n v="14"/>
    <n v="47862"/>
    <n v="548249.63760000002"/>
    <n v="16"/>
    <n v="46340"/>
    <n v="606646.20799999998"/>
    <m/>
    <m/>
    <n v="0"/>
    <m/>
    <m/>
    <n v="0"/>
    <m/>
    <m/>
    <n v="0"/>
    <m/>
    <m/>
    <n v="0"/>
  </r>
  <r>
    <x v="4"/>
    <s v="Gainesville State College "/>
    <n v="139773"/>
    <x v="7"/>
    <n v="24"/>
    <n v="57460"/>
    <n v="1379040"/>
    <n v="26"/>
    <n v="58886"/>
    <n v="1531036"/>
    <n v="34"/>
    <n v="47414"/>
    <n v="1612076"/>
    <n v="34"/>
    <n v="48512"/>
    <n v="1649408"/>
    <n v="53"/>
    <n v="39093"/>
    <n v="2071929"/>
    <n v="77"/>
    <n v="39547"/>
    <n v="3045119"/>
    <n v="17"/>
    <n v="35458"/>
    <n v="602786"/>
    <n v="17"/>
    <n v="35687"/>
    <n v="606679"/>
    <m/>
    <m/>
    <n v="0"/>
    <n v="0"/>
    <m/>
    <n v="0"/>
    <m/>
    <m/>
    <n v="0"/>
    <m/>
    <m/>
    <n v="0"/>
    <n v="6"/>
    <n v="84114"/>
    <n v="412932.44880000001"/>
    <n v="6"/>
    <n v="86727"/>
    <n v="425760.18840000004"/>
    <n v="3"/>
    <n v="70491"/>
    <n v="173027.20860000001"/>
    <n v="4"/>
    <n v="66533"/>
    <n v="217749.20240000001"/>
    <n v="4"/>
    <n v="55526"/>
    <n v="181725.49280000001"/>
    <n v="5"/>
    <n v="54528"/>
    <n v="223074.04800000001"/>
    <n v="2"/>
    <n v="47413"/>
    <n v="77586.633199999997"/>
    <n v="1"/>
    <n v="36040"/>
    <n v="29487.928"/>
    <m/>
    <m/>
    <n v="0"/>
    <m/>
    <m/>
    <n v="0"/>
    <m/>
    <m/>
    <n v="0"/>
    <m/>
    <m/>
    <n v="0"/>
  </r>
  <r>
    <x v="4"/>
    <s v="Georgia Highlands College "/>
    <n v="139700"/>
    <x v="7"/>
    <n v="15"/>
    <n v="54588"/>
    <n v="818820"/>
    <n v="17"/>
    <n v="58772"/>
    <n v="999124"/>
    <n v="22"/>
    <n v="49776"/>
    <n v="1095072"/>
    <n v="22"/>
    <n v="50692"/>
    <n v="1115224"/>
    <n v="19"/>
    <n v="42001"/>
    <n v="798019"/>
    <n v="21"/>
    <n v="43273"/>
    <n v="908733"/>
    <n v="26"/>
    <n v="38812"/>
    <n v="1009112"/>
    <n v="27"/>
    <n v="40473"/>
    <n v="1092771"/>
    <m/>
    <m/>
    <n v="0"/>
    <n v="0"/>
    <m/>
    <n v="0"/>
    <m/>
    <m/>
    <n v="0"/>
    <m/>
    <m/>
    <n v="0"/>
    <n v="5"/>
    <n v="85799"/>
    <n v="351003.70900000003"/>
    <n v="5"/>
    <n v="89763"/>
    <n v="367220.43300000002"/>
    <n v="3"/>
    <n v="72167"/>
    <n v="177141.1182"/>
    <n v="3"/>
    <n v="74270"/>
    <n v="182303.14200000002"/>
    <n v="0"/>
    <m/>
    <n v="0"/>
    <n v="0"/>
    <m/>
    <n v="0"/>
    <n v="0"/>
    <m/>
    <n v="0"/>
    <n v="0"/>
    <m/>
    <n v="0"/>
    <m/>
    <m/>
    <n v="0"/>
    <m/>
    <m/>
    <n v="0"/>
    <m/>
    <m/>
    <n v="0"/>
    <m/>
    <m/>
    <n v="0"/>
  </r>
  <r>
    <x v="4"/>
    <s v="Gordon College "/>
    <n v="139968"/>
    <x v="7"/>
    <n v="18"/>
    <n v="60805"/>
    <n v="1094490"/>
    <n v="20"/>
    <n v="59716"/>
    <n v="1194320"/>
    <n v="32"/>
    <n v="50673"/>
    <n v="1621536"/>
    <n v="35"/>
    <n v="51270"/>
    <n v="1794450"/>
    <n v="40"/>
    <n v="46282"/>
    <n v="1851280"/>
    <n v="40"/>
    <n v="47391"/>
    <n v="1895640"/>
    <n v="8"/>
    <n v="42427"/>
    <n v="339416"/>
    <n v="7"/>
    <n v="40107"/>
    <n v="280749"/>
    <m/>
    <m/>
    <n v="0"/>
    <n v="0"/>
    <m/>
    <n v="0"/>
    <m/>
    <m/>
    <n v="0"/>
    <m/>
    <m/>
    <n v="0"/>
    <n v="1"/>
    <n v="84076"/>
    <n v="68790.983200000002"/>
    <n v="1"/>
    <n v="86598"/>
    <n v="70854.483600000007"/>
    <n v="2"/>
    <n v="84952"/>
    <n v="139015.4528"/>
    <n v="3"/>
    <n v="85825"/>
    <n v="210666.04500000001"/>
    <n v="2"/>
    <n v="84760"/>
    <n v="138701.264"/>
    <n v="1"/>
    <n v="92208"/>
    <n v="75444.585600000006"/>
    <n v="0"/>
    <m/>
    <n v="0"/>
    <n v="0"/>
    <m/>
    <n v="0"/>
    <m/>
    <m/>
    <n v="0"/>
    <m/>
    <m/>
    <n v="0"/>
    <m/>
    <m/>
    <n v="0"/>
    <m/>
    <m/>
    <n v="0"/>
  </r>
  <r>
    <x v="4"/>
    <s v="Middle Georgia College "/>
    <n v="140483"/>
    <x v="7"/>
    <n v="10"/>
    <n v="62512"/>
    <n v="625120"/>
    <n v="14"/>
    <n v="60238"/>
    <n v="843332"/>
    <n v="19"/>
    <n v="49593"/>
    <n v="942267"/>
    <n v="19"/>
    <n v="48944"/>
    <n v="929936"/>
    <n v="50"/>
    <n v="41108"/>
    <n v="2055400"/>
    <n v="51"/>
    <n v="41021"/>
    <n v="2092071"/>
    <n v="11"/>
    <n v="40252"/>
    <n v="442772"/>
    <n v="11"/>
    <n v="41888"/>
    <n v="460768"/>
    <m/>
    <m/>
    <n v="0"/>
    <n v="0"/>
    <m/>
    <n v="0"/>
    <m/>
    <m/>
    <n v="0"/>
    <m/>
    <m/>
    <n v="0"/>
    <n v="3"/>
    <n v="93179"/>
    <n v="228717.1734"/>
    <n v="3"/>
    <n v="94047"/>
    <n v="230847.76620000001"/>
    <n v="2"/>
    <n v="79529"/>
    <n v="130141.2556"/>
    <n v="3"/>
    <n v="74933"/>
    <n v="183930.54180000001"/>
    <n v="3"/>
    <n v="65000"/>
    <n v="159549"/>
    <n v="4"/>
    <n v="68858"/>
    <n v="225358.46240000002"/>
    <n v="22"/>
    <n v="44554"/>
    <n v="801989.82160000002"/>
    <n v="16"/>
    <n v="50175"/>
    <n v="656850.96000000008"/>
    <m/>
    <m/>
    <n v="0"/>
    <m/>
    <m/>
    <n v="0"/>
    <m/>
    <m/>
    <n v="0"/>
    <m/>
    <m/>
    <n v="0"/>
  </r>
  <r>
    <x v="4"/>
    <s v="Atlanta Metropolitan College"/>
    <n v="138901"/>
    <x v="8"/>
    <n v="5"/>
    <n v="60550"/>
    <n v="302750"/>
    <n v="4"/>
    <n v="59359"/>
    <n v="237436"/>
    <n v="14"/>
    <n v="53949"/>
    <n v="755286"/>
    <n v="14"/>
    <n v="54979"/>
    <n v="769706"/>
    <n v="20"/>
    <n v="46025"/>
    <n v="920500"/>
    <n v="19"/>
    <n v="45367"/>
    <n v="861973"/>
    <n v="4"/>
    <n v="38250"/>
    <n v="153000"/>
    <n v="4"/>
    <n v="43250"/>
    <n v="173000"/>
    <m/>
    <m/>
    <n v="0"/>
    <n v="0"/>
    <m/>
    <n v="0"/>
    <m/>
    <m/>
    <n v="0"/>
    <m/>
    <m/>
    <n v="0"/>
    <n v="3"/>
    <n v="83387"/>
    <n v="204681.73020000002"/>
    <n v="4"/>
    <n v="83212"/>
    <n v="272336.23360000004"/>
    <n v="0"/>
    <m/>
    <n v="0"/>
    <n v="0"/>
    <m/>
    <n v="0"/>
    <n v="1"/>
    <n v="59091"/>
    <n v="48348.256200000003"/>
    <n v="0"/>
    <m/>
    <n v="0"/>
    <n v="3"/>
    <n v="39539"/>
    <n v="97052.429400000008"/>
    <n v="1"/>
    <n v="40675"/>
    <n v="33280.285000000003"/>
    <m/>
    <m/>
    <n v="0"/>
    <m/>
    <m/>
    <n v="0"/>
    <m/>
    <m/>
    <n v="0"/>
    <m/>
    <m/>
    <n v="0"/>
  </r>
  <r>
    <x v="4"/>
    <s v="East Georgia College"/>
    <n v="139621"/>
    <x v="8"/>
    <n v="1"/>
    <n v="60037"/>
    <n v="60037"/>
    <n v="1"/>
    <n v="61838"/>
    <n v="61838"/>
    <n v="7"/>
    <n v="47877"/>
    <n v="335139"/>
    <n v="7"/>
    <n v="49477"/>
    <n v="346339"/>
    <n v="12"/>
    <n v="42853"/>
    <n v="514236"/>
    <n v="14"/>
    <n v="45309"/>
    <n v="634326"/>
    <n v="17"/>
    <n v="36878"/>
    <n v="626926"/>
    <n v="22"/>
    <n v="37081"/>
    <n v="815782"/>
    <m/>
    <m/>
    <n v="0"/>
    <n v="0"/>
    <m/>
    <n v="0"/>
    <m/>
    <m/>
    <n v="0"/>
    <m/>
    <m/>
    <n v="0"/>
    <n v="1"/>
    <n v="88140"/>
    <n v="72116.148000000001"/>
    <n v="1"/>
    <n v="88140"/>
    <n v="72116.148000000001"/>
    <n v="3"/>
    <n v="69210"/>
    <n v="169882.86600000001"/>
    <n v="3"/>
    <n v="70663"/>
    <n v="173449.39980000001"/>
    <n v="0"/>
    <m/>
    <n v="0"/>
    <n v="0"/>
    <m/>
    <n v="0"/>
    <n v="1"/>
    <n v="48290"/>
    <n v="39510.878000000004"/>
    <n v="1"/>
    <n v="49980"/>
    <n v="40893.635999999999"/>
    <m/>
    <m/>
    <n v="0"/>
    <m/>
    <m/>
    <n v="0"/>
    <m/>
    <m/>
    <n v="0"/>
    <m/>
    <m/>
    <n v="0"/>
  </r>
  <r>
    <x v="4"/>
    <s v="South Georgia College "/>
    <n v="140997"/>
    <x v="8"/>
    <n v="2"/>
    <n v="53750"/>
    <n v="107500"/>
    <n v="4"/>
    <n v="52571"/>
    <n v="210284"/>
    <n v="7"/>
    <n v="46012"/>
    <n v="322084"/>
    <n v="8"/>
    <n v="46375"/>
    <n v="371000"/>
    <n v="16"/>
    <n v="42527"/>
    <n v="680432"/>
    <n v="17"/>
    <n v="42334"/>
    <n v="719678"/>
    <n v="11"/>
    <n v="39818"/>
    <n v="437998"/>
    <n v="10"/>
    <n v="40020"/>
    <n v="400200"/>
    <m/>
    <m/>
    <n v="0"/>
    <n v="0"/>
    <m/>
    <n v="0"/>
    <m/>
    <m/>
    <n v="0"/>
    <m/>
    <m/>
    <n v="0"/>
    <n v="1"/>
    <n v="74800"/>
    <n v="61201.36"/>
    <n v="1"/>
    <n v="77050"/>
    <n v="63042.310000000005"/>
    <n v="4"/>
    <n v="67287"/>
    <n v="220216.89360000001"/>
    <n v="4"/>
    <n v="69303"/>
    <n v="226814.8584"/>
    <n v="2"/>
    <n v="80575"/>
    <n v="131852.93"/>
    <n v="2"/>
    <n v="101418"/>
    <n v="165960.41520000002"/>
    <n v="1"/>
    <n v="55750"/>
    <n v="45614.65"/>
    <n v="1"/>
    <n v="57420"/>
    <n v="46981.044000000002"/>
    <m/>
    <m/>
    <n v="0"/>
    <m/>
    <m/>
    <n v="0"/>
    <m/>
    <m/>
    <n v="0"/>
    <m/>
    <m/>
    <n v="0"/>
  </r>
  <r>
    <x v="4"/>
    <s v="Waycross College "/>
    <n v="141307"/>
    <x v="8"/>
    <n v="2"/>
    <n v="53375"/>
    <n v="106750"/>
    <n v="2"/>
    <n v="55220"/>
    <n v="110440"/>
    <n v="1"/>
    <n v="47230"/>
    <n v="47230"/>
    <n v="5"/>
    <n v="44262"/>
    <n v="221310"/>
    <n v="6"/>
    <n v="40637"/>
    <n v="243822"/>
    <n v="4"/>
    <n v="38070"/>
    <n v="152280"/>
    <n v="10"/>
    <n v="35819"/>
    <n v="358190"/>
    <n v="10"/>
    <n v="36922"/>
    <n v="369220"/>
    <m/>
    <m/>
    <n v="0"/>
    <n v="0"/>
    <m/>
    <n v="0"/>
    <m/>
    <m/>
    <n v="0"/>
    <m/>
    <m/>
    <n v="0"/>
    <n v="1"/>
    <n v="79090"/>
    <n v="64711.438000000002"/>
    <n v="1"/>
    <n v="81540"/>
    <n v="66716.028000000006"/>
    <n v="1"/>
    <n v="71010"/>
    <n v="58100.382000000005"/>
    <n v="1"/>
    <n v="73210"/>
    <n v="59900.422000000006"/>
    <n v="0"/>
    <m/>
    <n v="0"/>
    <n v="0"/>
    <m/>
    <n v="0"/>
    <n v="0"/>
    <m/>
    <n v="0"/>
    <n v="0"/>
    <m/>
    <n v="0"/>
    <m/>
    <m/>
    <n v="0"/>
    <m/>
    <m/>
    <n v="0"/>
    <m/>
    <m/>
    <n v="0"/>
    <m/>
    <m/>
    <n v="0"/>
  </r>
  <r>
    <x v="4"/>
    <s v="Albany Technical College"/>
    <n v="138682"/>
    <x v="9"/>
    <m/>
    <m/>
    <n v="0"/>
    <m/>
    <m/>
    <n v="0"/>
    <m/>
    <m/>
    <n v="0"/>
    <m/>
    <m/>
    <n v="0"/>
    <m/>
    <m/>
    <n v="0"/>
    <m/>
    <m/>
    <n v="0"/>
    <m/>
    <m/>
    <n v="0"/>
    <m/>
    <m/>
    <n v="0"/>
    <m/>
    <m/>
    <n v="0"/>
    <m/>
    <m/>
    <n v="0"/>
    <m/>
    <m/>
    <n v="0"/>
    <m/>
    <m/>
    <n v="0"/>
    <m/>
    <m/>
    <n v="0"/>
    <m/>
    <m/>
    <n v="0"/>
    <m/>
    <m/>
    <n v="0"/>
    <m/>
    <m/>
    <n v="0"/>
    <m/>
    <m/>
    <n v="0"/>
    <m/>
    <m/>
    <n v="0"/>
    <m/>
    <m/>
    <n v="0"/>
    <m/>
    <m/>
    <n v="0"/>
    <m/>
    <m/>
    <n v="0"/>
    <m/>
    <m/>
    <n v="0"/>
    <n v="78"/>
    <n v="51755"/>
    <n v="3302983.398"/>
    <n v="73"/>
    <n v="52467"/>
    <n v="3133780.4562000004"/>
  </r>
  <r>
    <x v="4"/>
    <s v="Athens Technical College"/>
    <n v="246813"/>
    <x v="9"/>
    <m/>
    <m/>
    <n v="0"/>
    <m/>
    <m/>
    <n v="0"/>
    <m/>
    <m/>
    <n v="0"/>
    <m/>
    <m/>
    <n v="0"/>
    <m/>
    <m/>
    <n v="0"/>
    <m/>
    <m/>
    <n v="0"/>
    <m/>
    <m/>
    <n v="0"/>
    <m/>
    <m/>
    <n v="0"/>
    <m/>
    <m/>
    <n v="0"/>
    <m/>
    <m/>
    <n v="0"/>
    <n v="17"/>
    <n v="55725"/>
    <n v="947325"/>
    <n v="16"/>
    <n v="56814"/>
    <n v="909024"/>
    <m/>
    <m/>
    <n v="0"/>
    <m/>
    <m/>
    <n v="0"/>
    <m/>
    <m/>
    <n v="0"/>
    <m/>
    <m/>
    <n v="0"/>
    <m/>
    <m/>
    <n v="0"/>
    <m/>
    <m/>
    <n v="0"/>
    <m/>
    <m/>
    <n v="0"/>
    <m/>
    <m/>
    <n v="0"/>
    <m/>
    <m/>
    <n v="0"/>
    <m/>
    <m/>
    <n v="0"/>
    <n v="66"/>
    <n v="63448"/>
    <n v="3426268.1376"/>
    <n v="73"/>
    <n v="58913"/>
    <n v="3518791.0118"/>
  </r>
  <r>
    <x v="4"/>
    <s v="Atlanta Technical College"/>
    <n v="138840"/>
    <x v="9"/>
    <m/>
    <m/>
    <n v="0"/>
    <m/>
    <m/>
    <n v="0"/>
    <m/>
    <m/>
    <n v="0"/>
    <m/>
    <m/>
    <n v="0"/>
    <m/>
    <m/>
    <n v="0"/>
    <m/>
    <m/>
    <n v="0"/>
    <m/>
    <m/>
    <n v="0"/>
    <m/>
    <m/>
    <n v="0"/>
    <m/>
    <m/>
    <n v="0"/>
    <m/>
    <m/>
    <n v="0"/>
    <n v="2"/>
    <n v="48742"/>
    <n v="97484"/>
    <n v="2"/>
    <n v="25113"/>
    <n v="50226"/>
    <m/>
    <m/>
    <n v="0"/>
    <m/>
    <m/>
    <n v="0"/>
    <m/>
    <m/>
    <n v="0"/>
    <m/>
    <m/>
    <n v="0"/>
    <m/>
    <m/>
    <n v="0"/>
    <m/>
    <m/>
    <n v="0"/>
    <m/>
    <m/>
    <n v="0"/>
    <m/>
    <m/>
    <n v="0"/>
    <m/>
    <m/>
    <n v="0"/>
    <m/>
    <m/>
    <n v="0"/>
    <n v="81"/>
    <n v="55526"/>
    <n v="3679941.2291999999"/>
    <n v="87"/>
    <n v="53758"/>
    <n v="3826677.2172000003"/>
  </r>
  <r>
    <x v="4"/>
    <s v="Augusta Technical College"/>
    <n v="138956"/>
    <x v="9"/>
    <m/>
    <m/>
    <n v="0"/>
    <m/>
    <m/>
    <n v="0"/>
    <m/>
    <m/>
    <n v="0"/>
    <m/>
    <m/>
    <n v="0"/>
    <m/>
    <m/>
    <n v="0"/>
    <m/>
    <m/>
    <n v="0"/>
    <m/>
    <m/>
    <n v="0"/>
    <m/>
    <m/>
    <n v="0"/>
    <m/>
    <m/>
    <n v="0"/>
    <m/>
    <m/>
    <n v="0"/>
    <m/>
    <m/>
    <n v="0"/>
    <m/>
    <m/>
    <n v="0"/>
    <m/>
    <m/>
    <n v="0"/>
    <m/>
    <m/>
    <n v="0"/>
    <m/>
    <m/>
    <n v="0"/>
    <m/>
    <m/>
    <n v="0"/>
    <m/>
    <m/>
    <n v="0"/>
    <m/>
    <m/>
    <n v="0"/>
    <m/>
    <m/>
    <n v="0"/>
    <m/>
    <m/>
    <n v="0"/>
    <m/>
    <m/>
    <n v="0"/>
    <m/>
    <m/>
    <n v="0"/>
    <n v="136"/>
    <n v="56880"/>
    <n v="6329333.3760000002"/>
    <n v="133"/>
    <n v="58016"/>
    <n v="6313335.9296000004"/>
  </r>
  <r>
    <x v="4"/>
    <s v="Central Georgia Technical College"/>
    <n v="140304"/>
    <x v="9"/>
    <m/>
    <m/>
    <n v="0"/>
    <m/>
    <m/>
    <n v="0"/>
    <m/>
    <m/>
    <n v="0"/>
    <m/>
    <m/>
    <n v="0"/>
    <m/>
    <m/>
    <n v="0"/>
    <m/>
    <m/>
    <n v="0"/>
    <m/>
    <m/>
    <n v="0"/>
    <m/>
    <m/>
    <n v="0"/>
    <m/>
    <m/>
    <n v="0"/>
    <m/>
    <m/>
    <n v="0"/>
    <n v="2"/>
    <n v="50147"/>
    <n v="100294"/>
    <n v="1"/>
    <n v="47548"/>
    <n v="47548"/>
    <m/>
    <m/>
    <n v="0"/>
    <m/>
    <m/>
    <n v="0"/>
    <m/>
    <m/>
    <n v="0"/>
    <m/>
    <m/>
    <n v="0"/>
    <m/>
    <m/>
    <n v="0"/>
    <m/>
    <m/>
    <n v="0"/>
    <m/>
    <m/>
    <n v="0"/>
    <m/>
    <m/>
    <n v="0"/>
    <m/>
    <m/>
    <n v="0"/>
    <m/>
    <m/>
    <n v="0"/>
    <n v="109"/>
    <n v="62130"/>
    <n v="5540989.4939999999"/>
    <n v="114"/>
    <n v="65746"/>
    <n v="6132445.0008000005"/>
  </r>
  <r>
    <x v="4"/>
    <s v="Chattahoochee Technical College"/>
    <n v="140331"/>
    <x v="9"/>
    <m/>
    <m/>
    <n v="0"/>
    <m/>
    <m/>
    <n v="0"/>
    <m/>
    <m/>
    <n v="0"/>
    <m/>
    <m/>
    <n v="0"/>
    <m/>
    <m/>
    <n v="0"/>
    <m/>
    <m/>
    <n v="0"/>
    <m/>
    <m/>
    <n v="0"/>
    <m/>
    <m/>
    <n v="0"/>
    <m/>
    <m/>
    <n v="0"/>
    <m/>
    <m/>
    <n v="0"/>
    <n v="2"/>
    <n v="42744"/>
    <n v="85488"/>
    <n v="2"/>
    <n v="44028"/>
    <n v="88056"/>
    <m/>
    <m/>
    <n v="0"/>
    <m/>
    <m/>
    <n v="0"/>
    <m/>
    <m/>
    <n v="0"/>
    <m/>
    <m/>
    <n v="0"/>
    <m/>
    <m/>
    <n v="0"/>
    <m/>
    <m/>
    <n v="0"/>
    <m/>
    <m/>
    <n v="0"/>
    <m/>
    <m/>
    <n v="0"/>
    <m/>
    <m/>
    <n v="0"/>
    <m/>
    <m/>
    <n v="0"/>
    <n v="63"/>
    <n v="59659"/>
    <n v="3075218.6094"/>
    <n v="70"/>
    <n v="60422"/>
    <n v="3460609.628"/>
  </r>
  <r>
    <x v="4"/>
    <s v="Columbus Technical College"/>
    <n v="139357"/>
    <x v="9"/>
    <m/>
    <m/>
    <n v="0"/>
    <m/>
    <m/>
    <n v="0"/>
    <m/>
    <m/>
    <n v="0"/>
    <m/>
    <m/>
    <n v="0"/>
    <m/>
    <m/>
    <n v="0"/>
    <m/>
    <m/>
    <n v="0"/>
    <m/>
    <m/>
    <n v="0"/>
    <m/>
    <m/>
    <n v="0"/>
    <m/>
    <m/>
    <n v="0"/>
    <m/>
    <m/>
    <n v="0"/>
    <m/>
    <m/>
    <n v="0"/>
    <m/>
    <m/>
    <n v="0"/>
    <m/>
    <m/>
    <n v="0"/>
    <m/>
    <m/>
    <n v="0"/>
    <m/>
    <m/>
    <n v="0"/>
    <m/>
    <m/>
    <n v="0"/>
    <m/>
    <m/>
    <n v="0"/>
    <m/>
    <m/>
    <n v="0"/>
    <m/>
    <m/>
    <n v="0"/>
    <m/>
    <m/>
    <n v="0"/>
    <m/>
    <m/>
    <n v="0"/>
    <m/>
    <m/>
    <n v="0"/>
    <n v="76"/>
    <n v="54923"/>
    <n v="3415287.8936000001"/>
    <n v="81"/>
    <n v="54774"/>
    <n v="3630103.0308000003"/>
  </r>
  <r>
    <x v="4"/>
    <s v="Coosa Valley Technical College"/>
    <n v="139384"/>
    <x v="9"/>
    <m/>
    <m/>
    <n v="0"/>
    <m/>
    <m/>
    <n v="0"/>
    <m/>
    <m/>
    <n v="0"/>
    <m/>
    <m/>
    <n v="0"/>
    <m/>
    <m/>
    <n v="0"/>
    <m/>
    <m/>
    <n v="0"/>
    <m/>
    <m/>
    <n v="0"/>
    <m/>
    <m/>
    <n v="0"/>
    <m/>
    <m/>
    <n v="0"/>
    <m/>
    <m/>
    <n v="0"/>
    <n v="1"/>
    <n v="54983"/>
    <n v="54983"/>
    <n v="1"/>
    <n v="56358"/>
    <n v="56358"/>
    <m/>
    <m/>
    <n v="0"/>
    <m/>
    <m/>
    <n v="0"/>
    <m/>
    <m/>
    <n v="0"/>
    <m/>
    <m/>
    <n v="0"/>
    <m/>
    <m/>
    <n v="0"/>
    <m/>
    <m/>
    <n v="0"/>
    <m/>
    <m/>
    <n v="0"/>
    <m/>
    <m/>
    <n v="0"/>
    <m/>
    <m/>
    <n v="0"/>
    <m/>
    <m/>
    <n v="0"/>
    <n v="76"/>
    <n v="53077"/>
    <n v="3300497.7064"/>
    <n v="79"/>
    <n v="54086"/>
    <n v="3496000.0508000003"/>
  </r>
  <r>
    <x v="4"/>
    <s v="DeKalb Technical College"/>
    <n v="244446"/>
    <x v="9"/>
    <m/>
    <m/>
    <n v="0"/>
    <m/>
    <m/>
    <n v="0"/>
    <m/>
    <m/>
    <n v="0"/>
    <m/>
    <m/>
    <n v="0"/>
    <m/>
    <m/>
    <n v="0"/>
    <m/>
    <m/>
    <n v="0"/>
    <m/>
    <m/>
    <n v="0"/>
    <m/>
    <m/>
    <n v="0"/>
    <m/>
    <m/>
    <n v="0"/>
    <m/>
    <m/>
    <n v="0"/>
    <m/>
    <m/>
    <n v="0"/>
    <m/>
    <m/>
    <n v="0"/>
    <m/>
    <m/>
    <n v="0"/>
    <m/>
    <m/>
    <n v="0"/>
    <m/>
    <m/>
    <n v="0"/>
    <m/>
    <m/>
    <n v="0"/>
    <m/>
    <m/>
    <n v="0"/>
    <m/>
    <m/>
    <n v="0"/>
    <m/>
    <m/>
    <n v="0"/>
    <m/>
    <m/>
    <n v="0"/>
    <m/>
    <m/>
    <n v="0"/>
    <m/>
    <m/>
    <n v="0"/>
    <n v="101"/>
    <n v="59727"/>
    <n v="4935731.7714"/>
    <n v="100"/>
    <n v="59939"/>
    <n v="4904208.9800000004"/>
  </r>
  <r>
    <x v="4"/>
    <s v="East Central Technical College"/>
    <n v="139126"/>
    <x v="9"/>
    <m/>
    <m/>
    <n v="0"/>
    <m/>
    <m/>
    <n v="0"/>
    <m/>
    <m/>
    <n v="0"/>
    <m/>
    <m/>
    <n v="0"/>
    <m/>
    <m/>
    <n v="0"/>
    <m/>
    <m/>
    <n v="0"/>
    <m/>
    <m/>
    <n v="0"/>
    <m/>
    <m/>
    <n v="0"/>
    <m/>
    <m/>
    <n v="0"/>
    <m/>
    <m/>
    <n v="0"/>
    <n v="2"/>
    <n v="33186"/>
    <n v="66372"/>
    <n v="3"/>
    <n v="30328"/>
    <n v="90984"/>
    <m/>
    <m/>
    <n v="0"/>
    <m/>
    <m/>
    <n v="0"/>
    <m/>
    <m/>
    <n v="0"/>
    <m/>
    <m/>
    <n v="0"/>
    <m/>
    <m/>
    <n v="0"/>
    <m/>
    <m/>
    <n v="0"/>
    <m/>
    <m/>
    <n v="0"/>
    <m/>
    <m/>
    <n v="0"/>
    <m/>
    <m/>
    <n v="0"/>
    <m/>
    <m/>
    <n v="0"/>
    <n v="38"/>
    <n v="44959"/>
    <n v="1397847.2444"/>
    <n v="48"/>
    <n v="42778"/>
    <n v="1680046.0608000001"/>
  </r>
  <r>
    <x v="4"/>
    <s v="Griffin Technical College"/>
    <n v="139986"/>
    <x v="9"/>
    <m/>
    <m/>
    <n v="0"/>
    <m/>
    <m/>
    <n v="0"/>
    <m/>
    <m/>
    <n v="0"/>
    <m/>
    <m/>
    <n v="0"/>
    <m/>
    <m/>
    <n v="0"/>
    <m/>
    <m/>
    <n v="0"/>
    <m/>
    <m/>
    <n v="0"/>
    <m/>
    <m/>
    <n v="0"/>
    <m/>
    <m/>
    <n v="0"/>
    <m/>
    <m/>
    <n v="0"/>
    <m/>
    <m/>
    <n v="0"/>
    <m/>
    <m/>
    <n v="0"/>
    <m/>
    <m/>
    <n v="0"/>
    <m/>
    <m/>
    <n v="0"/>
    <m/>
    <m/>
    <n v="0"/>
    <m/>
    <m/>
    <n v="0"/>
    <m/>
    <m/>
    <n v="0"/>
    <m/>
    <m/>
    <n v="0"/>
    <m/>
    <m/>
    <n v="0"/>
    <m/>
    <m/>
    <n v="0"/>
    <m/>
    <m/>
    <n v="0"/>
    <m/>
    <m/>
    <n v="0"/>
    <n v="76"/>
    <n v="51946"/>
    <n v="3230168.5072000003"/>
    <n v="73"/>
    <n v="52013"/>
    <n v="3106663.6718000001"/>
  </r>
  <r>
    <x v="4"/>
    <s v="Gwinnett Technical College"/>
    <n v="140012"/>
    <x v="9"/>
    <m/>
    <m/>
    <n v="0"/>
    <m/>
    <m/>
    <n v="0"/>
    <m/>
    <m/>
    <n v="0"/>
    <m/>
    <m/>
    <n v="0"/>
    <m/>
    <m/>
    <n v="0"/>
    <m/>
    <m/>
    <n v="0"/>
    <m/>
    <m/>
    <n v="0"/>
    <m/>
    <m/>
    <n v="0"/>
    <m/>
    <m/>
    <n v="0"/>
    <m/>
    <m/>
    <n v="0"/>
    <m/>
    <m/>
    <n v="0"/>
    <m/>
    <m/>
    <n v="0"/>
    <m/>
    <m/>
    <n v="0"/>
    <m/>
    <m/>
    <n v="0"/>
    <m/>
    <m/>
    <n v="0"/>
    <m/>
    <m/>
    <n v="0"/>
    <m/>
    <m/>
    <n v="0"/>
    <m/>
    <m/>
    <n v="0"/>
    <m/>
    <m/>
    <n v="0"/>
    <m/>
    <m/>
    <n v="0"/>
    <m/>
    <m/>
    <n v="0"/>
    <m/>
    <m/>
    <n v="0"/>
    <n v="80"/>
    <n v="69681"/>
    <n v="4561039.5360000003"/>
    <n v="87"/>
    <n v="68729"/>
    <n v="4892363.8986"/>
  </r>
  <r>
    <x v="4"/>
    <s v="Heart of Georgia Technical College"/>
    <n v="140076"/>
    <x v="9"/>
    <m/>
    <m/>
    <n v="0"/>
    <m/>
    <m/>
    <n v="0"/>
    <m/>
    <m/>
    <n v="0"/>
    <m/>
    <m/>
    <n v="0"/>
    <m/>
    <m/>
    <n v="0"/>
    <m/>
    <m/>
    <n v="0"/>
    <m/>
    <m/>
    <n v="0"/>
    <m/>
    <m/>
    <n v="0"/>
    <m/>
    <m/>
    <n v="0"/>
    <m/>
    <m/>
    <n v="0"/>
    <n v="2"/>
    <n v="22451"/>
    <n v="44902"/>
    <m/>
    <m/>
    <n v="0"/>
    <m/>
    <m/>
    <n v="0"/>
    <m/>
    <m/>
    <n v="0"/>
    <m/>
    <m/>
    <n v="0"/>
    <m/>
    <m/>
    <n v="0"/>
    <m/>
    <m/>
    <n v="0"/>
    <m/>
    <m/>
    <n v="0"/>
    <m/>
    <m/>
    <n v="0"/>
    <m/>
    <m/>
    <n v="0"/>
    <m/>
    <m/>
    <n v="0"/>
    <m/>
    <m/>
    <n v="0"/>
    <n v="56"/>
    <n v="51911"/>
    <n v="2378520.4912"/>
    <n v="56"/>
    <n v="49615"/>
    <n v="2273319.608"/>
  </r>
  <r>
    <x v="4"/>
    <s v="Lanier Technical College"/>
    <n v="140243"/>
    <x v="9"/>
    <m/>
    <m/>
    <n v="0"/>
    <m/>
    <m/>
    <n v="0"/>
    <m/>
    <m/>
    <n v="0"/>
    <m/>
    <m/>
    <n v="0"/>
    <m/>
    <m/>
    <n v="0"/>
    <m/>
    <m/>
    <n v="0"/>
    <m/>
    <m/>
    <n v="0"/>
    <m/>
    <m/>
    <n v="0"/>
    <m/>
    <m/>
    <n v="0"/>
    <m/>
    <m/>
    <n v="0"/>
    <n v="1"/>
    <n v="40797"/>
    <n v="40797"/>
    <n v="1"/>
    <n v="42371"/>
    <n v="42371"/>
    <m/>
    <m/>
    <n v="0"/>
    <m/>
    <m/>
    <n v="0"/>
    <m/>
    <m/>
    <n v="0"/>
    <m/>
    <m/>
    <n v="0"/>
    <m/>
    <m/>
    <n v="0"/>
    <m/>
    <m/>
    <n v="0"/>
    <m/>
    <m/>
    <n v="0"/>
    <m/>
    <m/>
    <n v="0"/>
    <m/>
    <m/>
    <n v="0"/>
    <m/>
    <m/>
    <n v="0"/>
    <n v="77"/>
    <n v="53580"/>
    <n v="3375615.0120000001"/>
    <n v="75"/>
    <n v="54543"/>
    <n v="3347031.1950000003"/>
  </r>
  <r>
    <x v="4"/>
    <s v="Middle Georgia Technical College"/>
    <n v="140085"/>
    <x v="9"/>
    <m/>
    <m/>
    <n v="0"/>
    <m/>
    <m/>
    <n v="0"/>
    <m/>
    <m/>
    <n v="0"/>
    <m/>
    <m/>
    <n v="0"/>
    <m/>
    <m/>
    <n v="0"/>
    <m/>
    <m/>
    <n v="0"/>
    <m/>
    <m/>
    <n v="0"/>
    <m/>
    <m/>
    <n v="0"/>
    <m/>
    <m/>
    <n v="0"/>
    <m/>
    <m/>
    <n v="0"/>
    <m/>
    <m/>
    <n v="0"/>
    <m/>
    <m/>
    <n v="0"/>
    <m/>
    <m/>
    <n v="0"/>
    <m/>
    <m/>
    <n v="0"/>
    <m/>
    <m/>
    <n v="0"/>
    <m/>
    <m/>
    <n v="0"/>
    <m/>
    <m/>
    <n v="0"/>
    <m/>
    <m/>
    <n v="0"/>
    <m/>
    <m/>
    <n v="0"/>
    <m/>
    <m/>
    <n v="0"/>
    <m/>
    <m/>
    <n v="0"/>
    <m/>
    <m/>
    <n v="0"/>
    <n v="88"/>
    <n v="47363"/>
    <n v="3410211.7808000003"/>
    <n v="98"/>
    <n v="50472"/>
    <n v="4047026.6592000001"/>
  </r>
  <r>
    <x v="4"/>
    <s v="Moultrie Technical College"/>
    <n v="140599"/>
    <x v="9"/>
    <m/>
    <m/>
    <n v="0"/>
    <m/>
    <m/>
    <n v="0"/>
    <m/>
    <m/>
    <n v="0"/>
    <m/>
    <m/>
    <n v="0"/>
    <m/>
    <m/>
    <n v="0"/>
    <m/>
    <m/>
    <n v="0"/>
    <m/>
    <m/>
    <n v="0"/>
    <m/>
    <m/>
    <n v="0"/>
    <m/>
    <m/>
    <n v="0"/>
    <m/>
    <m/>
    <n v="0"/>
    <m/>
    <m/>
    <n v="0"/>
    <m/>
    <m/>
    <n v="0"/>
    <m/>
    <m/>
    <n v="0"/>
    <m/>
    <m/>
    <n v="0"/>
    <m/>
    <m/>
    <n v="0"/>
    <m/>
    <m/>
    <n v="0"/>
    <m/>
    <m/>
    <n v="0"/>
    <m/>
    <m/>
    <n v="0"/>
    <m/>
    <m/>
    <n v="0"/>
    <m/>
    <m/>
    <n v="0"/>
    <m/>
    <m/>
    <n v="0"/>
    <m/>
    <m/>
    <n v="0"/>
    <n v="56"/>
    <n v="49862"/>
    <n v="2284636.9504"/>
    <n v="54"/>
    <n v="50961"/>
    <n v="2251599.6708"/>
  </r>
  <r>
    <x v="4"/>
    <s v="North Georgia Technical College"/>
    <n v="140678"/>
    <x v="9"/>
    <m/>
    <m/>
    <n v="0"/>
    <m/>
    <m/>
    <n v="0"/>
    <m/>
    <m/>
    <n v="0"/>
    <m/>
    <m/>
    <n v="0"/>
    <m/>
    <m/>
    <n v="0"/>
    <m/>
    <m/>
    <n v="0"/>
    <m/>
    <m/>
    <n v="0"/>
    <m/>
    <m/>
    <n v="0"/>
    <m/>
    <m/>
    <n v="0"/>
    <m/>
    <m/>
    <n v="0"/>
    <n v="2"/>
    <n v="38548"/>
    <n v="77096"/>
    <n v="1"/>
    <n v="38147"/>
    <n v="38147"/>
    <m/>
    <m/>
    <n v="0"/>
    <m/>
    <m/>
    <n v="0"/>
    <m/>
    <m/>
    <n v="0"/>
    <m/>
    <m/>
    <n v="0"/>
    <m/>
    <m/>
    <n v="0"/>
    <m/>
    <m/>
    <n v="0"/>
    <m/>
    <m/>
    <n v="0"/>
    <m/>
    <m/>
    <n v="0"/>
    <m/>
    <m/>
    <n v="0"/>
    <m/>
    <m/>
    <n v="0"/>
    <n v="69"/>
    <n v="46427"/>
    <n v="2621073.4266000004"/>
    <n v="71"/>
    <n v="46809"/>
    <n v="2719237.7897999999"/>
  </r>
  <r>
    <x v="4"/>
    <s v="North Metro Technical College"/>
    <n v="366456"/>
    <x v="9"/>
    <m/>
    <m/>
    <n v="0"/>
    <m/>
    <m/>
    <n v="0"/>
    <m/>
    <m/>
    <n v="0"/>
    <m/>
    <m/>
    <n v="0"/>
    <m/>
    <m/>
    <n v="0"/>
    <m/>
    <m/>
    <n v="0"/>
    <m/>
    <m/>
    <n v="0"/>
    <m/>
    <m/>
    <n v="0"/>
    <m/>
    <m/>
    <n v="0"/>
    <m/>
    <m/>
    <n v="0"/>
    <m/>
    <m/>
    <n v="0"/>
    <m/>
    <m/>
    <n v="0"/>
    <m/>
    <m/>
    <n v="0"/>
    <m/>
    <m/>
    <n v="0"/>
    <m/>
    <m/>
    <n v="0"/>
    <m/>
    <m/>
    <n v="0"/>
    <m/>
    <m/>
    <n v="0"/>
    <m/>
    <m/>
    <n v="0"/>
    <m/>
    <m/>
    <n v="0"/>
    <m/>
    <m/>
    <n v="0"/>
    <m/>
    <m/>
    <n v="0"/>
    <m/>
    <m/>
    <n v="0"/>
    <n v="40"/>
    <n v="55207"/>
    <n v="1806814.696"/>
    <n v="42"/>
    <n v="56963"/>
    <n v="1957499.3172000002"/>
  </r>
  <r>
    <x v="4"/>
    <s v="Northwestern Technical College"/>
    <n v="141273"/>
    <x v="9"/>
    <m/>
    <m/>
    <n v="0"/>
    <m/>
    <m/>
    <n v="0"/>
    <m/>
    <m/>
    <n v="0"/>
    <m/>
    <m/>
    <n v="0"/>
    <m/>
    <m/>
    <n v="0"/>
    <m/>
    <m/>
    <n v="0"/>
    <m/>
    <m/>
    <n v="0"/>
    <m/>
    <m/>
    <n v="0"/>
    <m/>
    <m/>
    <n v="0"/>
    <m/>
    <m/>
    <n v="0"/>
    <n v="11"/>
    <n v="46611"/>
    <n v="512721"/>
    <n v="6"/>
    <n v="58958"/>
    <n v="353748"/>
    <m/>
    <m/>
    <n v="0"/>
    <m/>
    <m/>
    <n v="0"/>
    <m/>
    <m/>
    <n v="0"/>
    <m/>
    <m/>
    <n v="0"/>
    <m/>
    <m/>
    <n v="0"/>
    <m/>
    <m/>
    <n v="0"/>
    <m/>
    <m/>
    <n v="0"/>
    <m/>
    <m/>
    <n v="0"/>
    <m/>
    <m/>
    <n v="0"/>
    <m/>
    <m/>
    <n v="0"/>
    <n v="46"/>
    <n v="52216"/>
    <n v="1965264.0352"/>
    <n v="48"/>
    <n v="48537"/>
    <n v="1906222.7232000001"/>
  </r>
  <r>
    <x v="4"/>
    <s v="Ogeechee Technical College"/>
    <n v="366465"/>
    <x v="9"/>
    <m/>
    <m/>
    <n v="0"/>
    <m/>
    <m/>
    <n v="0"/>
    <m/>
    <m/>
    <n v="0"/>
    <m/>
    <m/>
    <n v="0"/>
    <m/>
    <m/>
    <n v="0"/>
    <m/>
    <m/>
    <n v="0"/>
    <m/>
    <m/>
    <n v="0"/>
    <m/>
    <m/>
    <n v="0"/>
    <m/>
    <m/>
    <n v="0"/>
    <m/>
    <m/>
    <n v="0"/>
    <m/>
    <m/>
    <n v="0"/>
    <m/>
    <m/>
    <n v="0"/>
    <m/>
    <m/>
    <n v="0"/>
    <m/>
    <m/>
    <n v="0"/>
    <m/>
    <m/>
    <n v="0"/>
    <m/>
    <m/>
    <n v="0"/>
    <m/>
    <m/>
    <n v="0"/>
    <m/>
    <m/>
    <n v="0"/>
    <m/>
    <m/>
    <n v="0"/>
    <m/>
    <m/>
    <n v="0"/>
    <m/>
    <m/>
    <n v="0"/>
    <m/>
    <m/>
    <n v="0"/>
    <n v="68"/>
    <n v="50351"/>
    <n v="2801408.7976000002"/>
    <n v="67"/>
    <n v="48757"/>
    <n v="2672829.4857999999"/>
  </r>
  <r>
    <x v="4"/>
    <s v="Okefenokee Technical College"/>
    <n v="248776"/>
    <x v="9"/>
    <m/>
    <m/>
    <n v="0"/>
    <m/>
    <m/>
    <n v="0"/>
    <m/>
    <m/>
    <n v="0"/>
    <m/>
    <m/>
    <n v="0"/>
    <m/>
    <m/>
    <n v="0"/>
    <m/>
    <m/>
    <n v="0"/>
    <m/>
    <m/>
    <n v="0"/>
    <m/>
    <m/>
    <n v="0"/>
    <m/>
    <m/>
    <n v="0"/>
    <m/>
    <m/>
    <n v="0"/>
    <n v="4"/>
    <n v="35526"/>
    <n v="142104"/>
    <n v="6"/>
    <n v="36910"/>
    <n v="221460"/>
    <m/>
    <m/>
    <n v="0"/>
    <m/>
    <m/>
    <n v="0"/>
    <m/>
    <m/>
    <n v="0"/>
    <m/>
    <m/>
    <n v="0"/>
    <m/>
    <m/>
    <n v="0"/>
    <m/>
    <m/>
    <n v="0"/>
    <m/>
    <m/>
    <n v="0"/>
    <m/>
    <m/>
    <n v="0"/>
    <m/>
    <m/>
    <n v="0"/>
    <m/>
    <m/>
    <n v="0"/>
    <n v="45"/>
    <n v="46318"/>
    <n v="1705382.442"/>
    <n v="49"/>
    <n v="47747"/>
    <n v="1914263.1746"/>
  </r>
  <r>
    <x v="4"/>
    <s v="Savannah Technical College"/>
    <n v="140942"/>
    <x v="9"/>
    <m/>
    <m/>
    <n v="0"/>
    <m/>
    <m/>
    <n v="0"/>
    <m/>
    <m/>
    <n v="0"/>
    <m/>
    <m/>
    <n v="0"/>
    <m/>
    <m/>
    <n v="0"/>
    <m/>
    <m/>
    <n v="0"/>
    <m/>
    <m/>
    <n v="0"/>
    <m/>
    <m/>
    <n v="0"/>
    <m/>
    <m/>
    <n v="0"/>
    <m/>
    <m/>
    <n v="0"/>
    <n v="2"/>
    <n v="39149"/>
    <n v="78298"/>
    <n v="3"/>
    <n v="34376"/>
    <n v="103128"/>
    <m/>
    <m/>
    <n v="0"/>
    <m/>
    <m/>
    <n v="0"/>
    <m/>
    <m/>
    <n v="0"/>
    <m/>
    <m/>
    <n v="0"/>
    <m/>
    <m/>
    <n v="0"/>
    <m/>
    <m/>
    <n v="0"/>
    <m/>
    <m/>
    <n v="0"/>
    <m/>
    <m/>
    <n v="0"/>
    <m/>
    <m/>
    <n v="0"/>
    <m/>
    <m/>
    <n v="0"/>
    <n v="83"/>
    <n v="53937"/>
    <n v="3662894.0322000002"/>
    <n v="79"/>
    <n v="54663"/>
    <n v="3533296.0614"/>
  </r>
  <r>
    <x v="4"/>
    <s v="South Georgia Technical College"/>
    <n v="141006"/>
    <x v="9"/>
    <m/>
    <m/>
    <n v="0"/>
    <m/>
    <m/>
    <n v="0"/>
    <m/>
    <m/>
    <n v="0"/>
    <m/>
    <m/>
    <n v="0"/>
    <m/>
    <m/>
    <n v="0"/>
    <m/>
    <m/>
    <n v="0"/>
    <m/>
    <m/>
    <n v="0"/>
    <m/>
    <m/>
    <n v="0"/>
    <m/>
    <m/>
    <n v="0"/>
    <m/>
    <m/>
    <n v="0"/>
    <m/>
    <m/>
    <n v="0"/>
    <m/>
    <m/>
    <n v="0"/>
    <m/>
    <m/>
    <n v="0"/>
    <m/>
    <m/>
    <n v="0"/>
    <m/>
    <m/>
    <n v="0"/>
    <m/>
    <m/>
    <n v="0"/>
    <m/>
    <m/>
    <n v="0"/>
    <m/>
    <m/>
    <n v="0"/>
    <m/>
    <m/>
    <n v="0"/>
    <m/>
    <m/>
    <n v="0"/>
    <m/>
    <m/>
    <n v="0"/>
    <m/>
    <m/>
    <n v="0"/>
    <n v="60"/>
    <n v="50991"/>
    <n v="2503250.1720000003"/>
    <n v="63"/>
    <n v="52074"/>
    <n v="2684237.6484000003"/>
  </r>
  <r>
    <x v="4"/>
    <s v="Southwest Georgia Technical College"/>
    <n v="141158"/>
    <x v="9"/>
    <m/>
    <m/>
    <n v="0"/>
    <m/>
    <m/>
    <n v="0"/>
    <m/>
    <m/>
    <n v="0"/>
    <m/>
    <m/>
    <n v="0"/>
    <m/>
    <m/>
    <n v="0"/>
    <m/>
    <m/>
    <n v="0"/>
    <m/>
    <m/>
    <n v="0"/>
    <m/>
    <m/>
    <n v="0"/>
    <m/>
    <m/>
    <n v="0"/>
    <m/>
    <m/>
    <n v="0"/>
    <m/>
    <m/>
    <n v="0"/>
    <m/>
    <m/>
    <n v="0"/>
    <m/>
    <m/>
    <n v="0"/>
    <m/>
    <m/>
    <n v="0"/>
    <m/>
    <m/>
    <n v="0"/>
    <m/>
    <m/>
    <n v="0"/>
    <m/>
    <m/>
    <n v="0"/>
    <m/>
    <m/>
    <n v="0"/>
    <m/>
    <m/>
    <n v="0"/>
    <m/>
    <m/>
    <n v="0"/>
    <m/>
    <m/>
    <n v="0"/>
    <m/>
    <m/>
    <n v="0"/>
    <n v="55"/>
    <n v="55526"/>
    <n v="2498725.5260000001"/>
    <n v="54"/>
    <n v="55539"/>
    <n v="2453868.5292000002"/>
  </r>
  <r>
    <x v="4"/>
    <s v="Valdosta Technical College"/>
    <n v="141255"/>
    <x v="9"/>
    <m/>
    <m/>
    <n v="0"/>
    <m/>
    <m/>
    <n v="0"/>
    <m/>
    <m/>
    <n v="0"/>
    <m/>
    <m/>
    <n v="0"/>
    <m/>
    <m/>
    <n v="0"/>
    <m/>
    <m/>
    <n v="0"/>
    <m/>
    <m/>
    <n v="0"/>
    <m/>
    <m/>
    <n v="0"/>
    <m/>
    <m/>
    <n v="0"/>
    <m/>
    <m/>
    <n v="0"/>
    <m/>
    <m/>
    <n v="0"/>
    <m/>
    <m/>
    <n v="0"/>
    <m/>
    <m/>
    <n v="0"/>
    <m/>
    <m/>
    <n v="0"/>
    <m/>
    <m/>
    <n v="0"/>
    <m/>
    <m/>
    <n v="0"/>
    <m/>
    <m/>
    <n v="0"/>
    <m/>
    <m/>
    <n v="0"/>
    <m/>
    <m/>
    <n v="0"/>
    <m/>
    <m/>
    <n v="0"/>
    <m/>
    <m/>
    <n v="0"/>
    <m/>
    <m/>
    <n v="0"/>
    <n v="65"/>
    <n v="50353"/>
    <n v="2677923.5989999999"/>
    <n v="69"/>
    <n v="50717"/>
    <n v="2863268.8086000001"/>
  </r>
  <r>
    <x v="4"/>
    <s v="West Central Technical College"/>
    <n v="139278"/>
    <x v="9"/>
    <m/>
    <m/>
    <n v="0"/>
    <m/>
    <m/>
    <n v="0"/>
    <m/>
    <m/>
    <n v="0"/>
    <m/>
    <m/>
    <n v="0"/>
    <m/>
    <m/>
    <n v="0"/>
    <m/>
    <m/>
    <n v="0"/>
    <m/>
    <m/>
    <n v="0"/>
    <m/>
    <m/>
    <n v="0"/>
    <m/>
    <m/>
    <n v="0"/>
    <m/>
    <m/>
    <n v="0"/>
    <n v="2"/>
    <n v="36825"/>
    <n v="73650"/>
    <m/>
    <m/>
    <n v="0"/>
    <m/>
    <m/>
    <n v="0"/>
    <m/>
    <m/>
    <n v="0"/>
    <m/>
    <m/>
    <n v="0"/>
    <m/>
    <m/>
    <n v="0"/>
    <m/>
    <m/>
    <n v="0"/>
    <m/>
    <m/>
    <n v="0"/>
    <m/>
    <m/>
    <n v="0"/>
    <m/>
    <m/>
    <n v="0"/>
    <m/>
    <m/>
    <n v="0"/>
    <m/>
    <m/>
    <n v="0"/>
    <n v="77"/>
    <n v="48323"/>
    <n v="3044416.6522000004"/>
    <n v="84"/>
    <n v="48037"/>
    <n v="3301525.3656000001"/>
  </r>
  <r>
    <x v="4"/>
    <s v="West Georgia Technical College"/>
    <n v="141228"/>
    <x v="9"/>
    <m/>
    <m/>
    <n v="0"/>
    <m/>
    <m/>
    <n v="0"/>
    <m/>
    <m/>
    <n v="0"/>
    <m/>
    <m/>
    <n v="0"/>
    <m/>
    <m/>
    <n v="0"/>
    <m/>
    <m/>
    <n v="0"/>
    <m/>
    <m/>
    <n v="0"/>
    <m/>
    <m/>
    <n v="0"/>
    <m/>
    <m/>
    <n v="0"/>
    <m/>
    <m/>
    <n v="0"/>
    <m/>
    <m/>
    <n v="0"/>
    <m/>
    <m/>
    <n v="0"/>
    <m/>
    <m/>
    <n v="0"/>
    <m/>
    <m/>
    <n v="0"/>
    <m/>
    <m/>
    <n v="0"/>
    <m/>
    <m/>
    <n v="0"/>
    <m/>
    <m/>
    <n v="0"/>
    <m/>
    <m/>
    <n v="0"/>
    <m/>
    <m/>
    <n v="0"/>
    <m/>
    <m/>
    <n v="0"/>
    <m/>
    <m/>
    <n v="0"/>
    <m/>
    <m/>
    <n v="0"/>
    <n v="49"/>
    <n v="48742"/>
    <n v="1954154.5156"/>
    <n v="48"/>
    <n v="54235"/>
    <n v="2130003.696"/>
  </r>
  <r>
    <x v="4"/>
    <s v="Altamaha Technical College"/>
    <n v="366447"/>
    <x v="10"/>
    <m/>
    <m/>
    <n v="0"/>
    <m/>
    <m/>
    <n v="0"/>
    <m/>
    <m/>
    <n v="0"/>
    <m/>
    <m/>
    <n v="0"/>
    <m/>
    <m/>
    <n v="0"/>
    <m/>
    <m/>
    <n v="0"/>
    <m/>
    <m/>
    <n v="0"/>
    <m/>
    <m/>
    <n v="0"/>
    <m/>
    <m/>
    <n v="0"/>
    <m/>
    <m/>
    <n v="0"/>
    <m/>
    <m/>
    <n v="0"/>
    <m/>
    <m/>
    <n v="0"/>
    <m/>
    <m/>
    <n v="0"/>
    <m/>
    <m/>
    <n v="0"/>
    <m/>
    <m/>
    <n v="0"/>
    <m/>
    <m/>
    <n v="0"/>
    <m/>
    <m/>
    <n v="0"/>
    <m/>
    <m/>
    <n v="0"/>
    <m/>
    <m/>
    <n v="0"/>
    <m/>
    <m/>
    <n v="0"/>
    <m/>
    <m/>
    <n v="0"/>
    <m/>
    <m/>
    <n v="0"/>
    <n v="42"/>
    <n v="46593"/>
    <n v="1601140.4892000002"/>
    <n v="39"/>
    <n v="49016"/>
    <n v="1564090.7568000001"/>
  </r>
  <r>
    <x v="4"/>
    <s v="Appalachian Technical College"/>
    <n v="140809"/>
    <x v="10"/>
    <m/>
    <m/>
    <n v="0"/>
    <m/>
    <m/>
    <n v="0"/>
    <m/>
    <m/>
    <n v="0"/>
    <m/>
    <m/>
    <n v="0"/>
    <m/>
    <m/>
    <n v="0"/>
    <m/>
    <m/>
    <n v="0"/>
    <m/>
    <m/>
    <n v="0"/>
    <m/>
    <m/>
    <n v="0"/>
    <m/>
    <m/>
    <n v="0"/>
    <m/>
    <m/>
    <n v="0"/>
    <m/>
    <m/>
    <n v="0"/>
    <m/>
    <m/>
    <n v="0"/>
    <m/>
    <m/>
    <n v="0"/>
    <m/>
    <m/>
    <n v="0"/>
    <m/>
    <m/>
    <n v="0"/>
    <m/>
    <m/>
    <n v="0"/>
    <m/>
    <m/>
    <n v="0"/>
    <m/>
    <m/>
    <n v="0"/>
    <m/>
    <m/>
    <n v="0"/>
    <m/>
    <m/>
    <n v="0"/>
    <m/>
    <m/>
    <n v="0"/>
    <m/>
    <m/>
    <n v="0"/>
    <n v="30"/>
    <n v="46836"/>
    <n v="1149636.456"/>
    <n v="25"/>
    <n v="50082"/>
    <n v="1024427.31"/>
  </r>
  <r>
    <x v="4"/>
    <s v="Flint River Technical College"/>
    <n v="248794"/>
    <x v="10"/>
    <m/>
    <m/>
    <n v="0"/>
    <m/>
    <m/>
    <n v="0"/>
    <m/>
    <m/>
    <n v="0"/>
    <m/>
    <m/>
    <n v="0"/>
    <m/>
    <m/>
    <n v="0"/>
    <m/>
    <m/>
    <n v="0"/>
    <m/>
    <m/>
    <n v="0"/>
    <m/>
    <m/>
    <n v="0"/>
    <m/>
    <m/>
    <n v="0"/>
    <m/>
    <m/>
    <n v="0"/>
    <m/>
    <m/>
    <n v="0"/>
    <m/>
    <m/>
    <n v="0"/>
    <m/>
    <m/>
    <n v="0"/>
    <m/>
    <m/>
    <n v="0"/>
    <m/>
    <m/>
    <n v="0"/>
    <m/>
    <m/>
    <n v="0"/>
    <m/>
    <m/>
    <n v="0"/>
    <m/>
    <m/>
    <n v="0"/>
    <m/>
    <m/>
    <n v="0"/>
    <m/>
    <m/>
    <n v="0"/>
    <m/>
    <m/>
    <n v="0"/>
    <m/>
    <m/>
    <n v="0"/>
    <n v="30"/>
    <n v="46404"/>
    <n v="1139032.584"/>
    <n v="31"/>
    <n v="46547"/>
    <n v="1180627.4174000002"/>
  </r>
  <r>
    <x v="4"/>
    <s v="Sandersville Technical College"/>
    <n v="420431"/>
    <x v="10"/>
    <m/>
    <m/>
    <n v="0"/>
    <m/>
    <m/>
    <n v="0"/>
    <m/>
    <m/>
    <n v="0"/>
    <m/>
    <m/>
    <n v="0"/>
    <m/>
    <m/>
    <n v="0"/>
    <m/>
    <m/>
    <n v="0"/>
    <m/>
    <m/>
    <n v="0"/>
    <m/>
    <m/>
    <n v="0"/>
    <m/>
    <m/>
    <n v="0"/>
    <m/>
    <m/>
    <n v="0"/>
    <n v="1"/>
    <n v="32800"/>
    <n v="32800"/>
    <n v="1"/>
    <n v="25700"/>
    <n v="25700"/>
    <m/>
    <m/>
    <n v="0"/>
    <m/>
    <m/>
    <n v="0"/>
    <m/>
    <m/>
    <n v="0"/>
    <m/>
    <m/>
    <n v="0"/>
    <m/>
    <m/>
    <n v="0"/>
    <m/>
    <m/>
    <n v="0"/>
    <m/>
    <m/>
    <n v="0"/>
    <m/>
    <m/>
    <n v="0"/>
    <m/>
    <m/>
    <n v="0"/>
    <m/>
    <m/>
    <n v="0"/>
    <n v="29"/>
    <n v="44597"/>
    <n v="1058188.6966000001"/>
    <n v="30"/>
    <n v="44413"/>
    <n v="1090161.4980000001"/>
  </r>
  <r>
    <x v="4"/>
    <s v="Southeastern Technical College"/>
    <n v="368911"/>
    <x v="10"/>
    <m/>
    <m/>
    <n v="0"/>
    <m/>
    <m/>
    <n v="0"/>
    <m/>
    <m/>
    <n v="0"/>
    <m/>
    <m/>
    <n v="0"/>
    <m/>
    <m/>
    <n v="0"/>
    <m/>
    <m/>
    <n v="0"/>
    <m/>
    <m/>
    <n v="0"/>
    <m/>
    <m/>
    <n v="0"/>
    <m/>
    <m/>
    <n v="0"/>
    <m/>
    <m/>
    <n v="0"/>
    <m/>
    <m/>
    <n v="0"/>
    <m/>
    <m/>
    <n v="0"/>
    <m/>
    <m/>
    <n v="0"/>
    <m/>
    <m/>
    <n v="0"/>
    <m/>
    <m/>
    <n v="0"/>
    <m/>
    <m/>
    <n v="0"/>
    <m/>
    <m/>
    <n v="0"/>
    <m/>
    <m/>
    <n v="0"/>
    <m/>
    <m/>
    <n v="0"/>
    <m/>
    <m/>
    <n v="0"/>
    <m/>
    <m/>
    <n v="0"/>
    <m/>
    <m/>
    <n v="0"/>
    <n v="41"/>
    <n v="49360"/>
    <n v="1655840.432"/>
    <n v="40"/>
    <n v="51394"/>
    <n v="1682022.8320000002"/>
  </r>
  <r>
    <x v="4"/>
    <s v="Swainsboro Technical College"/>
    <n v="141121"/>
    <x v="10"/>
    <m/>
    <m/>
    <n v="0"/>
    <m/>
    <m/>
    <n v="0"/>
    <m/>
    <m/>
    <n v="0"/>
    <m/>
    <m/>
    <n v="0"/>
    <m/>
    <m/>
    <n v="0"/>
    <m/>
    <m/>
    <n v="0"/>
    <m/>
    <m/>
    <n v="0"/>
    <m/>
    <m/>
    <n v="0"/>
    <m/>
    <m/>
    <n v="0"/>
    <m/>
    <m/>
    <n v="0"/>
    <m/>
    <m/>
    <n v="0"/>
    <m/>
    <m/>
    <n v="0"/>
    <m/>
    <m/>
    <n v="0"/>
    <m/>
    <m/>
    <n v="0"/>
    <m/>
    <m/>
    <n v="0"/>
    <m/>
    <m/>
    <n v="0"/>
    <m/>
    <m/>
    <n v="0"/>
    <m/>
    <m/>
    <n v="0"/>
    <m/>
    <m/>
    <n v="0"/>
    <m/>
    <m/>
    <n v="0"/>
    <m/>
    <m/>
    <n v="0"/>
    <m/>
    <m/>
    <n v="0"/>
    <n v="36"/>
    <n v="47709"/>
    <n v="1405278.1368"/>
    <n v="41"/>
    <n v="48358"/>
    <n v="1622227.1396000001"/>
  </r>
  <r>
    <x v="5"/>
    <s v="University of Kentucky"/>
    <n v="157085"/>
    <x v="0"/>
    <n v="307"/>
    <n v="102433.42019543974"/>
    <n v="31447060"/>
    <n v="299"/>
    <n v="104950.9331103679"/>
    <n v="31380329.000000004"/>
    <n v="295"/>
    <n v="72035.542372881362"/>
    <n v="21250485"/>
    <n v="285"/>
    <n v="73628.84561403509"/>
    <n v="20984221"/>
    <n v="202"/>
    <n v="65102.930693069306"/>
    <n v="13150792"/>
    <n v="207"/>
    <n v="67632.280193236715"/>
    <n v="13999882"/>
    <n v="3"/>
    <n v="35800"/>
    <n v="107400"/>
    <n v="4"/>
    <n v="55382.5"/>
    <n v="221530"/>
    <n v="88"/>
    <n v="44743.022727272728"/>
    <n v="3937386"/>
    <n v="96"/>
    <n v="44729.677083333336"/>
    <n v="4294049"/>
    <m/>
    <m/>
    <n v="0"/>
    <m/>
    <m/>
    <n v="0"/>
    <n v="132"/>
    <n v="122777.66666666667"/>
    <n v="13260282.6664"/>
    <n v="135"/>
    <n v="124999.77777777778"/>
    <n v="13807100.454"/>
    <n v="131"/>
    <n v="93159.366412213742"/>
    <n v="9985212.1613999996"/>
    <n v="125"/>
    <n v="94984.008000000002"/>
    <n v="9714489.4182000011"/>
    <n v="77"/>
    <n v="80932.376623376622"/>
    <n v="5098853.0326000005"/>
    <n v="86"/>
    <n v="81663.604651162794"/>
    <n v="5746275.8739999998"/>
    <n v="2"/>
    <n v="32760"/>
    <n v="53608.464"/>
    <m/>
    <m/>
    <n v="0"/>
    <n v="14"/>
    <n v="60374.285714285717"/>
    <n v="691575.36800000002"/>
    <n v="8"/>
    <n v="70991.375"/>
    <n v="464681.14420000004"/>
    <m/>
    <m/>
    <n v="0"/>
    <m/>
    <m/>
    <n v="0"/>
  </r>
  <r>
    <x v="5"/>
    <s v="University of Louisville"/>
    <n v="157289"/>
    <x v="0"/>
    <n v="172"/>
    <n v="102345.08139534884"/>
    <n v="17603354"/>
    <n v="174"/>
    <n v="100559.72988505747"/>
    <n v="17497393"/>
    <n v="167"/>
    <n v="75422.365269461079"/>
    <n v="12595535"/>
    <n v="162"/>
    <n v="74879.376543209873"/>
    <n v="12130459"/>
    <n v="160"/>
    <n v="56576.45"/>
    <n v="9052232"/>
    <n v="157"/>
    <n v="58377.942675159233"/>
    <n v="9165337"/>
    <n v="70"/>
    <n v="47382.37142857143"/>
    <n v="3316766"/>
    <n v="55"/>
    <n v="48411.672727272729"/>
    <n v="2662642"/>
    <n v="1"/>
    <n v="146760"/>
    <n v="146760"/>
    <n v="3"/>
    <n v="98586.666666666672"/>
    <n v="295760"/>
    <m/>
    <m/>
    <n v="0"/>
    <m/>
    <m/>
    <n v="0"/>
    <n v="130"/>
    <n v="126444.56153846154"/>
    <n v="13449402.2326"/>
    <n v="129"/>
    <n v="125029.78294573643"/>
    <n v="13196618.524400001"/>
    <n v="57"/>
    <n v="101602.73684210527"/>
    <n v="4738487.4791999999"/>
    <n v="65"/>
    <n v="100466.73846153847"/>
    <n v="5343122.5515999999"/>
    <n v="75"/>
    <n v="72515.28"/>
    <n v="4449900.1572000002"/>
    <n v="83"/>
    <n v="72966.240963855424"/>
    <n v="4955181.2036000006"/>
    <n v="28"/>
    <n v="54936.178571428572"/>
    <n v="1258565.8766000001"/>
    <n v="34"/>
    <n v="56188.323529411762"/>
    <n v="1563091.7346000001"/>
    <n v="1"/>
    <n v="90177"/>
    <n v="73782.821400000001"/>
    <m/>
    <m/>
    <n v="0"/>
    <m/>
    <m/>
    <n v="0"/>
    <m/>
    <m/>
    <n v="0"/>
  </r>
  <r>
    <x v="5"/>
    <s v="Eastern Kentucky University "/>
    <n v="156620"/>
    <x v="2"/>
    <n v="116"/>
    <n v="82033.568965517246"/>
    <n v="9515894"/>
    <n v="101"/>
    <n v="83478.188118811886"/>
    <n v="8431297"/>
    <n v="139"/>
    <n v="63772.230215827338"/>
    <n v="8864340"/>
    <n v="128"/>
    <n v="65925.2734375"/>
    <n v="8438435"/>
    <n v="183"/>
    <n v="53841.78142076503"/>
    <n v="9853046"/>
    <n v="162"/>
    <n v="56073.037037037036"/>
    <n v="9083832"/>
    <n v="54"/>
    <n v="49956.314814814818"/>
    <n v="2697641"/>
    <n v="56"/>
    <n v="50759.803571428572"/>
    <n v="2842549"/>
    <n v="117"/>
    <n v="47281.820512820515"/>
    <n v="5531973"/>
    <n v="153"/>
    <n v="49526.836601307186"/>
    <n v="7577605.9999999991"/>
    <m/>
    <m/>
    <n v="0"/>
    <m/>
    <m/>
    <n v="0"/>
    <n v="12"/>
    <n v="98024.916666666672"/>
    <n v="962447.84180000005"/>
    <n v="15"/>
    <n v="100227.73333333334"/>
    <n v="1230094.9712"/>
    <n v="14"/>
    <n v="77936"/>
    <n v="892741.29280000005"/>
    <n v="13"/>
    <n v="80763.230769230766"/>
    <n v="859046.18040000007"/>
    <n v="3"/>
    <n v="59563.666666666664"/>
    <n v="146204.9762"/>
    <n v="4"/>
    <n v="63803.25"/>
    <n v="208815.27660000001"/>
    <m/>
    <m/>
    <n v="0"/>
    <m/>
    <m/>
    <n v="0"/>
    <n v="3"/>
    <n v="75750.666666666672"/>
    <n v="185937.5864"/>
    <n v="3"/>
    <n v="99657"/>
    <n v="244618.07220000002"/>
    <m/>
    <m/>
    <n v="0"/>
    <m/>
    <m/>
    <n v="0"/>
  </r>
  <r>
    <x v="5"/>
    <s v="Murray State University "/>
    <n v="157401"/>
    <x v="2"/>
    <n v="75"/>
    <n v="80421.133333333331"/>
    <n v="6031585"/>
    <n v="79"/>
    <n v="80195.987341772154"/>
    <n v="6335483"/>
    <n v="93"/>
    <n v="64010.731182795702"/>
    <n v="5952998"/>
    <n v="81"/>
    <n v="62857.666666666664"/>
    <n v="5091471"/>
    <n v="98"/>
    <n v="54431.693877551021"/>
    <n v="5334306"/>
    <n v="113"/>
    <n v="52740.24778761062"/>
    <n v="5959648"/>
    <n v="1"/>
    <n v="38415"/>
    <n v="38415"/>
    <n v="1"/>
    <n v="39415"/>
    <n v="39415"/>
    <n v="71"/>
    <n v="43418.295774647886"/>
    <n v="3082699"/>
    <n v="71"/>
    <n v="44670.183098591551"/>
    <n v="3171583"/>
    <m/>
    <m/>
    <n v="0"/>
    <m/>
    <m/>
    <n v="0"/>
    <n v="23"/>
    <n v="95805"/>
    <n v="1802915.973"/>
    <n v="22"/>
    <n v="95616.227272727279"/>
    <n v="1721130.3374000001"/>
    <n v="15"/>
    <n v="84746.333333333328"/>
    <n v="1040091.7490000001"/>
    <n v="14"/>
    <n v="87968.78571428571"/>
    <n v="1007664.8466"/>
    <n v="1"/>
    <n v="94117"/>
    <n v="77006.529399999999"/>
    <m/>
    <m/>
    <n v="0"/>
    <m/>
    <m/>
    <n v="0"/>
    <m/>
    <m/>
    <n v="0"/>
    <n v="18"/>
    <n v="52792.5"/>
    <n v="777506.82300000009"/>
    <n v="17"/>
    <n v="54269.529411764706"/>
    <n v="754856.59240000008"/>
    <m/>
    <m/>
    <n v="0"/>
    <m/>
    <m/>
    <n v="0"/>
  </r>
  <r>
    <x v="5"/>
    <s v="Western Kentucky University "/>
    <n v="157951"/>
    <x v="2"/>
    <n v="122"/>
    <n v="81360.688524590165"/>
    <n v="9926004"/>
    <n v="129"/>
    <n v="82975.255813953481"/>
    <n v="10703808"/>
    <n v="154"/>
    <n v="64274.564935064933"/>
    <n v="9898283"/>
    <n v="160"/>
    <n v="63809.162499999999"/>
    <n v="10209466"/>
    <n v="250"/>
    <n v="53374.031999999999"/>
    <n v="13343508"/>
    <n v="230"/>
    <n v="54249.18260869565"/>
    <n v="12477312"/>
    <n v="132"/>
    <n v="39295.719696969696"/>
    <n v="5187035"/>
    <n v="143"/>
    <n v="40096.685314685317"/>
    <n v="5733826"/>
    <n v="16"/>
    <n v="48285"/>
    <n v="772560"/>
    <n v="13"/>
    <n v="50453.538461538461"/>
    <n v="655896"/>
    <m/>
    <m/>
    <n v="0"/>
    <m/>
    <m/>
    <n v="0"/>
    <n v="22"/>
    <n v="103684.90909090909"/>
    <n v="1866369.8376000002"/>
    <n v="21"/>
    <n v="105872.57142857143"/>
    <n v="1819123.6968"/>
    <n v="17"/>
    <n v="91632"/>
    <n v="1274546.1408000002"/>
    <n v="16"/>
    <n v="92883.75"/>
    <n v="1215959.7480000001"/>
    <n v="1"/>
    <n v="75600"/>
    <n v="61855.920000000006"/>
    <n v="1"/>
    <n v="74328"/>
    <n v="60815.169600000001"/>
    <n v="5"/>
    <n v="58185.599999999999"/>
    <n v="238037.28960000002"/>
    <n v="6"/>
    <n v="59074"/>
    <n v="290006.0808"/>
    <m/>
    <m/>
    <n v="0"/>
    <m/>
    <m/>
    <n v="0"/>
    <m/>
    <m/>
    <n v="0"/>
    <m/>
    <m/>
    <n v="0"/>
  </r>
  <r>
    <x v="5"/>
    <s v="Morehead State University "/>
    <n v="157386"/>
    <x v="3"/>
    <n v="48"/>
    <n v="73466.25"/>
    <n v="3526380"/>
    <n v="49"/>
    <n v="73309.367346938772"/>
    <n v="3592159"/>
    <n v="124"/>
    <n v="59651.120967741932"/>
    <n v="7396739"/>
    <n v="124"/>
    <n v="61342.822580645159"/>
    <n v="7606510"/>
    <n v="118"/>
    <n v="50607.805084745763"/>
    <n v="5971721"/>
    <n v="103"/>
    <n v="51264.834951456309"/>
    <n v="5280278"/>
    <n v="65"/>
    <n v="35934.338461538464"/>
    <n v="2335732"/>
    <n v="66"/>
    <n v="37284.257575757576"/>
    <n v="2460761"/>
    <m/>
    <m/>
    <n v="0"/>
    <m/>
    <m/>
    <n v="0"/>
    <m/>
    <m/>
    <n v="0"/>
    <m/>
    <m/>
    <n v="0"/>
    <n v="13"/>
    <n v="105495"/>
    <n v="1122108.1170000001"/>
    <n v="13"/>
    <n v="106639.92307692308"/>
    <n v="1134286.2058000001"/>
    <n v="6"/>
    <n v="97930.833333333328"/>
    <n v="480762.04700000002"/>
    <n v="8"/>
    <n v="91014.375"/>
    <n v="595743.69299999997"/>
    <n v="2"/>
    <n v="70108.5"/>
    <n v="114725.5494"/>
    <n v="2"/>
    <n v="70539"/>
    <n v="115430.0196"/>
    <n v="3"/>
    <n v="45321"/>
    <n v="111244.92660000001"/>
    <n v="4"/>
    <n v="54178"/>
    <n v="177313.75840000002"/>
    <m/>
    <m/>
    <n v="0"/>
    <m/>
    <m/>
    <n v="0"/>
    <m/>
    <m/>
    <n v="0"/>
    <m/>
    <m/>
    <n v="0"/>
  </r>
  <r>
    <x v="5"/>
    <s v="Northern Kentucky University "/>
    <n v="157447"/>
    <x v="3"/>
    <n v="90"/>
    <n v="88452"/>
    <n v="7960680"/>
    <n v="82"/>
    <n v="90580.158536585368"/>
    <n v="7427573"/>
    <n v="115"/>
    <n v="68118.756521739124"/>
    <n v="7833656.9999999991"/>
    <n v="117"/>
    <n v="70464.487179487172"/>
    <n v="8244344.9999999991"/>
    <n v="136"/>
    <n v="59103.11029411765"/>
    <n v="8038023"/>
    <n v="144"/>
    <n v="61873.631944444445"/>
    <n v="8909803"/>
    <n v="1"/>
    <n v="49034"/>
    <n v="49034"/>
    <n v="1"/>
    <n v="50351"/>
    <n v="50351"/>
    <n v="138"/>
    <n v="41603.920289855072"/>
    <n v="5741341"/>
    <n v="152"/>
    <n v="43014.230263157893"/>
    <n v="6538163"/>
    <m/>
    <m/>
    <n v="0"/>
    <m/>
    <m/>
    <n v="0"/>
    <n v="4"/>
    <n v="91327"/>
    <n v="298895.00560000003"/>
    <n v="9"/>
    <n v="110809.11111111111"/>
    <n v="815976.1324"/>
    <n v="7"/>
    <n v="75518.571428571435"/>
    <n v="432525.06599999999"/>
    <n v="7"/>
    <n v="88870.571428571435"/>
    <n v="508997.31080000004"/>
    <n v="3"/>
    <n v="69177"/>
    <n v="169801.86420000001"/>
    <n v="1"/>
    <n v="75867"/>
    <n v="62074.379400000005"/>
    <n v="1"/>
    <n v="81309"/>
    <n v="66527.02380000001"/>
    <n v="1"/>
    <n v="84396"/>
    <n v="69052.80720000001"/>
    <n v="17"/>
    <n v="51573.705882352944"/>
    <n v="717359.30460000003"/>
    <n v="21"/>
    <n v="50082"/>
    <n v="860518.94040000008"/>
    <m/>
    <m/>
    <n v="0"/>
    <m/>
    <m/>
    <n v="0"/>
  </r>
  <r>
    <x v="5"/>
    <s v="Kentucky State University "/>
    <n v="157058"/>
    <x v="4"/>
    <n v="19"/>
    <n v="70115.263157894733"/>
    <n v="1332190"/>
    <n v="21"/>
    <n v="72790.428571428565"/>
    <n v="1528598.9999999998"/>
    <n v="34"/>
    <n v="57700.382352941175"/>
    <n v="1961813"/>
    <n v="30"/>
    <n v="58402.433333333334"/>
    <n v="1752073"/>
    <n v="55"/>
    <n v="47956.509090909094"/>
    <n v="2637608"/>
    <n v="51"/>
    <n v="49960.490196078434"/>
    <n v="2547985"/>
    <n v="17"/>
    <n v="36720.647058823532"/>
    <n v="624251"/>
    <n v="14"/>
    <n v="39318.642857142855"/>
    <n v="550461"/>
    <m/>
    <m/>
    <n v="0"/>
    <m/>
    <m/>
    <n v="0"/>
    <m/>
    <m/>
    <n v="0"/>
    <m/>
    <m/>
    <n v="0"/>
    <n v="4"/>
    <n v="84850.25"/>
    <n v="277697.8982"/>
    <n v="4"/>
    <n v="84001.75"/>
    <n v="274920.92739999999"/>
    <n v="7"/>
    <n v="73352.571428571435"/>
    <n v="420119.51760000008"/>
    <n v="8"/>
    <n v="81128.875"/>
    <n v="531037.1642"/>
    <n v="2"/>
    <n v="69490.5"/>
    <n v="113714.25420000001"/>
    <n v="1"/>
    <n v="50568"/>
    <n v="41374.7376"/>
    <n v="1"/>
    <n v="62456"/>
    <n v="51101.499200000006"/>
    <n v="2"/>
    <n v="61586"/>
    <n v="100779.33040000001"/>
    <m/>
    <m/>
    <n v="0"/>
    <m/>
    <m/>
    <n v="0"/>
    <m/>
    <m/>
    <n v="0"/>
    <m/>
    <m/>
    <n v="0"/>
  </r>
  <r>
    <x v="5"/>
    <s v="Bluegrass Community and Technical College"/>
    <n v="157173"/>
    <x v="6"/>
    <n v="45"/>
    <n v="60768.755555555559"/>
    <n v="2734594"/>
    <n v="44"/>
    <n v="58464.704545454544"/>
    <n v="2572447"/>
    <n v="106"/>
    <n v="51856.07547169811"/>
    <n v="5496744"/>
    <n v="105"/>
    <n v="51139.514285714286"/>
    <n v="5369649"/>
    <n v="40"/>
    <n v="41778.925000000003"/>
    <n v="1671157"/>
    <n v="45"/>
    <n v="41144.933333333334"/>
    <n v="1851522"/>
    <n v="37"/>
    <n v="38271.891891891893"/>
    <n v="1416060"/>
    <n v="24"/>
    <n v="38494.541666666664"/>
    <n v="923869"/>
    <m/>
    <m/>
    <n v="0"/>
    <m/>
    <m/>
    <n v="0"/>
    <m/>
    <m/>
    <n v="0"/>
    <m/>
    <m/>
    <n v="0"/>
    <n v="5"/>
    <n v="68709.8"/>
    <n v="281091.79180000001"/>
    <n v="4"/>
    <n v="69532"/>
    <n v="227564.3296"/>
    <n v="8"/>
    <n v="60227.75"/>
    <n v="394226.76040000003"/>
    <n v="7"/>
    <n v="59936.142857142855"/>
    <n v="343278.26459999999"/>
    <n v="13"/>
    <n v="48987.769230769234"/>
    <n v="521063.30620000005"/>
    <n v="11"/>
    <n v="49080.36363636364"/>
    <n v="441733.08880000003"/>
    <n v="6"/>
    <n v="42786.5"/>
    <n v="210047.48580000002"/>
    <n v="6"/>
    <n v="42685.333333333336"/>
    <n v="209550.83840000001"/>
    <m/>
    <m/>
    <n v="0"/>
    <m/>
    <m/>
    <n v="0"/>
    <m/>
    <m/>
    <n v="0"/>
    <m/>
    <m/>
    <n v="0"/>
  </r>
  <r>
    <x v="5"/>
    <s v="Jefferson Community and Technical College "/>
    <n v="156921"/>
    <x v="6"/>
    <n v="83"/>
    <n v="58156.951807228914"/>
    <n v="4827027"/>
    <n v="81"/>
    <n v="58377.629629629628"/>
    <n v="4728588"/>
    <n v="90"/>
    <n v="49802.355555555558"/>
    <n v="4482212"/>
    <n v="87"/>
    <n v="49760.643678160923"/>
    <n v="4329176"/>
    <n v="44"/>
    <n v="44713.659090909088"/>
    <n v="1967401"/>
    <n v="40"/>
    <n v="44756.5"/>
    <n v="1790260"/>
    <n v="38"/>
    <n v="42891.710526315786"/>
    <n v="1629885"/>
    <n v="26"/>
    <n v="42709.423076923078"/>
    <n v="1110445"/>
    <m/>
    <m/>
    <n v="0"/>
    <m/>
    <m/>
    <n v="0"/>
    <m/>
    <m/>
    <n v="0"/>
    <m/>
    <m/>
    <n v="0"/>
    <n v="12"/>
    <n v="75282.083333333328"/>
    <n v="739149.60700000008"/>
    <n v="15"/>
    <n v="74541.399999999994"/>
    <n v="914846.60220000008"/>
    <n v="11"/>
    <n v="58354.272727272728"/>
    <n v="525200.12540000002"/>
    <n v="16"/>
    <n v="57678.9375"/>
    <n v="755086.50660000008"/>
    <n v="13"/>
    <n v="51535.923076923078"/>
    <n v="548166.99939999997"/>
    <n v="15"/>
    <n v="51298.6"/>
    <n v="629587.71779999998"/>
    <n v="3"/>
    <n v="44514.333333333336"/>
    <n v="109264.88260000001"/>
    <n v="9"/>
    <n v="48049.222222222219"/>
    <n v="353824.86259999999"/>
    <m/>
    <m/>
    <n v="0"/>
    <m/>
    <m/>
    <n v="0"/>
    <m/>
    <m/>
    <n v="0"/>
    <m/>
    <m/>
    <n v="0"/>
  </r>
  <r>
    <x v="5"/>
    <s v="Ashland Community and Technical College"/>
    <n v="156231"/>
    <x v="7"/>
    <n v="27"/>
    <n v="61321.185185185182"/>
    <n v="1655672"/>
    <n v="26"/>
    <n v="61405.538461538461"/>
    <n v="1596544"/>
    <n v="17"/>
    <n v="50921.588235294119"/>
    <n v="865667"/>
    <n v="23"/>
    <n v="49140.565217391304"/>
    <n v="1130233"/>
    <n v="22"/>
    <n v="41098.909090909088"/>
    <n v="904176"/>
    <n v="15"/>
    <n v="41218"/>
    <n v="618270"/>
    <n v="16"/>
    <n v="38452.9375"/>
    <n v="615247"/>
    <n v="17"/>
    <n v="38163.058823529413"/>
    <n v="648772"/>
    <m/>
    <m/>
    <n v="0"/>
    <m/>
    <m/>
    <n v="0"/>
    <m/>
    <m/>
    <n v="0"/>
    <m/>
    <m/>
    <n v="0"/>
    <n v="4"/>
    <n v="74348.25"/>
    <n v="243326.95260000002"/>
    <n v="4"/>
    <n v="74348.25"/>
    <n v="243326.95260000002"/>
    <n v="7"/>
    <n v="59643.285714285717"/>
    <n v="341600.9546"/>
    <n v="7"/>
    <n v="59643.285714285717"/>
    <n v="341600.9546"/>
    <n v="3"/>
    <n v="49396.666666666664"/>
    <n v="121249.058"/>
    <n v="2"/>
    <n v="50084"/>
    <n v="81957.457600000009"/>
    <m/>
    <m/>
    <n v="0"/>
    <n v="1"/>
    <n v="37000"/>
    <n v="30273.4"/>
    <m/>
    <m/>
    <n v="0"/>
    <m/>
    <m/>
    <n v="0"/>
    <m/>
    <m/>
    <n v="0"/>
    <m/>
    <m/>
    <n v="0"/>
  </r>
  <r>
    <x v="5"/>
    <s v="Big Sandy Community and Technical College "/>
    <n v="157553"/>
    <x v="7"/>
    <n v="31"/>
    <n v="58650.806451612902"/>
    <n v="1818175"/>
    <n v="31"/>
    <n v="56722.967741935485"/>
    <n v="1758412"/>
    <n v="26"/>
    <n v="47013.423076923078"/>
    <n v="1222349"/>
    <n v="23"/>
    <n v="46425.782608695656"/>
    <n v="1067793"/>
    <n v="10"/>
    <n v="39027.4"/>
    <n v="390274"/>
    <n v="13"/>
    <n v="38780.923076923078"/>
    <n v="504152"/>
    <n v="22"/>
    <n v="35490.545454545456"/>
    <n v="780792"/>
    <n v="22"/>
    <n v="35228"/>
    <n v="775016"/>
    <m/>
    <m/>
    <n v="0"/>
    <m/>
    <m/>
    <n v="0"/>
    <m/>
    <m/>
    <n v="0"/>
    <m/>
    <m/>
    <n v="0"/>
    <n v="12"/>
    <n v="67410.083333333328"/>
    <n v="661859.16220000002"/>
    <n v="12"/>
    <n v="68876"/>
    <n v="676252.11840000004"/>
    <n v="4"/>
    <n v="63674.5"/>
    <n v="208393.90360000002"/>
    <n v="3"/>
    <n v="65890"/>
    <n v="161733.59400000001"/>
    <n v="5"/>
    <n v="57532.800000000003"/>
    <n v="235366.68480000002"/>
    <n v="2"/>
    <n v="55848.5"/>
    <n v="91390.485400000005"/>
    <n v="2"/>
    <n v="44529.5"/>
    <n v="72868.073799999998"/>
    <n v="2"/>
    <n v="44529.5"/>
    <n v="72868.073799999998"/>
    <m/>
    <m/>
    <n v="0"/>
    <m/>
    <m/>
    <n v="0"/>
    <m/>
    <m/>
    <n v="0"/>
    <m/>
    <m/>
    <n v="0"/>
  </r>
  <r>
    <x v="5"/>
    <s v="Elizabethtown Community and Technical College "/>
    <n v="156648"/>
    <x v="7"/>
    <n v="36"/>
    <n v="59913.722222222219"/>
    <n v="2156894"/>
    <n v="37"/>
    <n v="58676.351351351354"/>
    <n v="2171025"/>
    <n v="41"/>
    <n v="47037.878048780491"/>
    <n v="1928553"/>
    <n v="39"/>
    <n v="48185.076923076922"/>
    <n v="1879218"/>
    <n v="20"/>
    <n v="40294.75"/>
    <n v="805895"/>
    <n v="17"/>
    <n v="40261.705882352944"/>
    <n v="684449"/>
    <n v="21"/>
    <n v="35683.190476190473"/>
    <n v="749347"/>
    <n v="21"/>
    <n v="35217.523809523809"/>
    <n v="739568"/>
    <m/>
    <m/>
    <n v="0"/>
    <m/>
    <m/>
    <n v="0"/>
    <m/>
    <m/>
    <n v="0"/>
    <m/>
    <m/>
    <n v="0"/>
    <n v="3"/>
    <n v="72338.333333333328"/>
    <n v="177561.67300000001"/>
    <n v="3"/>
    <n v="73171.666666666672"/>
    <n v="179607.17300000001"/>
    <n v="3"/>
    <n v="56680.333333333336"/>
    <n v="139127.54620000001"/>
    <n v="2"/>
    <n v="56245.5"/>
    <n v="92040.136200000008"/>
    <m/>
    <m/>
    <n v="0"/>
    <m/>
    <m/>
    <n v="0"/>
    <m/>
    <m/>
    <n v="0"/>
    <m/>
    <m/>
    <n v="0"/>
    <m/>
    <m/>
    <n v="0"/>
    <m/>
    <m/>
    <n v="0"/>
    <m/>
    <m/>
    <n v="0"/>
    <m/>
    <m/>
    <n v="0"/>
  </r>
  <r>
    <x v="5"/>
    <s v="Madisonville Community College"/>
    <n v="157304"/>
    <x v="7"/>
    <n v="28"/>
    <n v="60116.321428571428"/>
    <n v="1683257"/>
    <n v="30"/>
    <n v="59631.23333333333"/>
    <n v="1788937"/>
    <n v="25"/>
    <n v="49152.639999999999"/>
    <n v="1228816"/>
    <n v="27"/>
    <n v="49111.962962962964"/>
    <n v="1326023"/>
    <n v="24"/>
    <n v="41789.625"/>
    <n v="1002951"/>
    <n v="16"/>
    <n v="41875.3125"/>
    <n v="670005"/>
    <n v="17"/>
    <n v="36370.176470588238"/>
    <n v="618293"/>
    <n v="18"/>
    <n v="36030.166666666664"/>
    <n v="648543"/>
    <m/>
    <m/>
    <n v="0"/>
    <m/>
    <m/>
    <n v="0"/>
    <m/>
    <m/>
    <n v="0"/>
    <m/>
    <m/>
    <n v="0"/>
    <n v="5"/>
    <n v="79687.600000000006"/>
    <n v="326001.97159999999"/>
    <n v="5"/>
    <n v="79687.600000000006"/>
    <n v="326001.97159999999"/>
    <n v="5"/>
    <n v="54620.4"/>
    <n v="223452.0564"/>
    <n v="5"/>
    <n v="54279.6"/>
    <n v="222057.84360000002"/>
    <n v="2"/>
    <n v="51483"/>
    <n v="84246.781199999998"/>
    <n v="1"/>
    <n v="56043"/>
    <n v="45854.382600000004"/>
    <n v="4"/>
    <n v="45306.5"/>
    <n v="148279.11319999999"/>
    <n v="6"/>
    <n v="43562.666666666664"/>
    <n v="213857.8432"/>
    <m/>
    <m/>
    <n v="0"/>
    <m/>
    <m/>
    <n v="0"/>
    <m/>
    <m/>
    <n v="0"/>
    <m/>
    <m/>
    <n v="0"/>
  </r>
  <r>
    <x v="5"/>
    <s v="Maysville Community and Technical College "/>
    <n v="157331"/>
    <x v="7"/>
    <n v="23"/>
    <n v="58967.260869565216"/>
    <n v="1356247"/>
    <n v="23"/>
    <n v="59989.695652173912"/>
    <n v="1379763"/>
    <n v="20"/>
    <n v="48274.7"/>
    <n v="965494"/>
    <n v="24"/>
    <n v="47312.125"/>
    <n v="1135491"/>
    <n v="17"/>
    <n v="41412.117647058825"/>
    <n v="704006"/>
    <n v="19"/>
    <n v="41807.684210526313"/>
    <n v="794346"/>
    <n v="18"/>
    <n v="38948.555555555555"/>
    <n v="701074"/>
    <n v="14"/>
    <n v="37515.071428571428"/>
    <n v="525211"/>
    <m/>
    <m/>
    <n v="0"/>
    <m/>
    <m/>
    <n v="0"/>
    <m/>
    <m/>
    <n v="0"/>
    <m/>
    <m/>
    <n v="0"/>
    <n v="4"/>
    <n v="66122"/>
    <n v="216404.0816"/>
    <n v="5"/>
    <n v="65579.199999999997"/>
    <n v="268284.50719999999"/>
    <n v="6"/>
    <n v="54711.333333333336"/>
    <n v="268588.87760000001"/>
    <n v="5"/>
    <n v="54489.2"/>
    <n v="222915.31720000002"/>
    <n v="1"/>
    <n v="47377"/>
    <n v="38763.861400000002"/>
    <m/>
    <m/>
    <n v="0"/>
    <m/>
    <m/>
    <n v="0"/>
    <m/>
    <m/>
    <n v="0"/>
    <m/>
    <m/>
    <n v="0"/>
    <m/>
    <m/>
    <n v="0"/>
    <m/>
    <m/>
    <n v="0"/>
    <m/>
    <m/>
    <n v="0"/>
  </r>
  <r>
    <x v="5"/>
    <s v="Owensboro Community and Technical College "/>
    <n v="247940"/>
    <x v="7"/>
    <n v="22"/>
    <n v="58299.13636363636"/>
    <n v="1282581"/>
    <n v="22"/>
    <n v="58299.13636363636"/>
    <n v="1282581"/>
    <n v="33"/>
    <n v="51122.242424242424"/>
    <n v="1687034"/>
    <n v="33"/>
    <n v="50326.515151515152"/>
    <n v="1660775"/>
    <n v="17"/>
    <n v="42106.823529411762"/>
    <n v="715816"/>
    <n v="13"/>
    <n v="41431.307692307695"/>
    <n v="538607"/>
    <n v="18"/>
    <n v="37379.722222222219"/>
    <n v="672835"/>
    <n v="22"/>
    <n v="37623.227272727272"/>
    <n v="827711"/>
    <m/>
    <m/>
    <n v="0"/>
    <m/>
    <m/>
    <n v="0"/>
    <m/>
    <m/>
    <n v="0"/>
    <m/>
    <m/>
    <n v="0"/>
    <n v="1"/>
    <n v="65421"/>
    <n v="53527.462200000002"/>
    <n v="1"/>
    <n v="65421"/>
    <n v="53527.462200000002"/>
    <n v="3"/>
    <n v="57481.333333333336"/>
    <n v="141093.6808"/>
    <n v="3"/>
    <n v="57481.333333333336"/>
    <n v="141093.6808"/>
    <n v="2"/>
    <n v="53512"/>
    <n v="87567.036800000002"/>
    <n v="4"/>
    <n v="51991.5"/>
    <n v="170157.7812"/>
    <n v="3"/>
    <n v="43488"/>
    <n v="106745.64480000001"/>
    <n v="4"/>
    <n v="41000.75"/>
    <n v="134187.25460000001"/>
    <m/>
    <m/>
    <n v="0"/>
    <m/>
    <m/>
    <n v="0"/>
    <m/>
    <m/>
    <n v="0"/>
    <m/>
    <m/>
    <n v="0"/>
  </r>
  <r>
    <x v="5"/>
    <s v="Somerset Community and Technical College "/>
    <n v="157711"/>
    <x v="7"/>
    <n v="48"/>
    <n v="58754.4375"/>
    <n v="2820213"/>
    <n v="47"/>
    <n v="59122.808510638301"/>
    <n v="2778772"/>
    <n v="33"/>
    <n v="48538.21212121212"/>
    <n v="1601761"/>
    <n v="34"/>
    <n v="48319.617647058825"/>
    <n v="1642867"/>
    <n v="34"/>
    <n v="40680.441176470587"/>
    <n v="1383135"/>
    <n v="28"/>
    <n v="39768.785714285717"/>
    <n v="1113526"/>
    <n v="21"/>
    <n v="35917.476190476191"/>
    <n v="754267"/>
    <n v="19"/>
    <n v="35438"/>
    <n v="673322"/>
    <m/>
    <m/>
    <n v="0"/>
    <m/>
    <m/>
    <n v="0"/>
    <m/>
    <m/>
    <n v="0"/>
    <m/>
    <m/>
    <n v="0"/>
    <n v="7"/>
    <n v="73396.71428571429"/>
    <n v="420372.34140000003"/>
    <n v="7"/>
    <n v="73396.71428571429"/>
    <n v="420372.34140000003"/>
    <n v="1"/>
    <n v="66396"/>
    <n v="54325.207200000004"/>
    <m/>
    <m/>
    <n v="0"/>
    <n v="5"/>
    <n v="67227.199999999997"/>
    <n v="275026.47519999999"/>
    <n v="6"/>
    <n v="64993.166666666664"/>
    <n v="319064.45380000002"/>
    <n v="1"/>
    <n v="43128"/>
    <n v="35287.329600000005"/>
    <n v="4"/>
    <n v="41697"/>
    <n v="136465.94160000002"/>
    <m/>
    <m/>
    <n v="0"/>
    <m/>
    <m/>
    <n v="0"/>
    <m/>
    <m/>
    <n v="0"/>
    <m/>
    <m/>
    <n v="0"/>
  </r>
  <r>
    <x v="5"/>
    <s v="Southeast Kentucky Community and Technical College"/>
    <n v="157739"/>
    <x v="7"/>
    <n v="47"/>
    <n v="58944.723404255317"/>
    <n v="2770402"/>
    <n v="43"/>
    <n v="59411.372093023259"/>
    <n v="2554689"/>
    <n v="24"/>
    <n v="46302.541666666664"/>
    <n v="1111261"/>
    <n v="23"/>
    <n v="47135.391304347824"/>
    <n v="1084114"/>
    <n v="9"/>
    <n v="42944.555555555555"/>
    <n v="386501"/>
    <n v="5"/>
    <n v="44844.6"/>
    <n v="224223"/>
    <n v="6"/>
    <n v="35891"/>
    <n v="215346"/>
    <n v="10"/>
    <n v="37150"/>
    <n v="371500"/>
    <m/>
    <m/>
    <n v="0"/>
    <m/>
    <m/>
    <n v="0"/>
    <m/>
    <m/>
    <n v="0"/>
    <m/>
    <m/>
    <n v="0"/>
    <n v="9"/>
    <n v="67258.333333333328"/>
    <n v="495276.91500000004"/>
    <n v="9"/>
    <n v="67258.333333333328"/>
    <n v="495276.91500000004"/>
    <n v="6"/>
    <n v="61626.166666666664"/>
    <n v="302535.17739999999"/>
    <n v="7"/>
    <n v="57001.857142857145"/>
    <n v="326472.43660000002"/>
    <n v="3"/>
    <n v="47090.666666666664"/>
    <n v="115588.7504"/>
    <n v="2"/>
    <n v="43860.5"/>
    <n v="71773.32220000001"/>
    <n v="2"/>
    <n v="40132"/>
    <n v="65672.00480000001"/>
    <n v="1"/>
    <n v="42024"/>
    <n v="34384.036800000002"/>
    <m/>
    <m/>
    <n v="0"/>
    <m/>
    <m/>
    <n v="0"/>
    <m/>
    <m/>
    <n v="0"/>
    <m/>
    <m/>
    <n v="0"/>
  </r>
  <r>
    <x v="5"/>
    <s v="West Kentucky Community and Technical College"/>
    <n v="157483"/>
    <x v="7"/>
    <n v="45"/>
    <n v="60268.37777777778"/>
    <n v="2712077"/>
    <n v="42"/>
    <n v="59011.571428571428"/>
    <n v="2478486"/>
    <n v="26"/>
    <n v="47462.961538461539"/>
    <n v="1234037"/>
    <n v="28"/>
    <n v="46761.5"/>
    <n v="1309322"/>
    <n v="14"/>
    <n v="41175.071428571428"/>
    <n v="576451"/>
    <n v="17"/>
    <n v="41493.23529411765"/>
    <n v="705385"/>
    <n v="17"/>
    <n v="37811.882352941175"/>
    <n v="642802"/>
    <n v="18"/>
    <n v="37300.277777777781"/>
    <n v="671405"/>
    <m/>
    <m/>
    <n v="0"/>
    <m/>
    <m/>
    <n v="0"/>
    <m/>
    <m/>
    <n v="0"/>
    <m/>
    <m/>
    <n v="0"/>
    <n v="2"/>
    <n v="78405"/>
    <n v="128301.94200000001"/>
    <n v="6"/>
    <n v="72221.5"/>
    <n v="354549.78779999999"/>
    <n v="11"/>
    <n v="56429.090909090912"/>
    <n v="507873.10400000005"/>
    <n v="10"/>
    <n v="54966.3"/>
    <n v="449734.26660000003"/>
    <n v="6"/>
    <n v="53168"/>
    <n v="261012.3456"/>
    <n v="5"/>
    <n v="54197"/>
    <n v="221719.927"/>
    <n v="5"/>
    <n v="45650.400000000001"/>
    <n v="186755.78640000001"/>
    <n v="6"/>
    <n v="43138.666666666664"/>
    <n v="211776.34240000002"/>
    <m/>
    <m/>
    <n v="0"/>
    <m/>
    <m/>
    <n v="0"/>
    <m/>
    <m/>
    <n v="0"/>
    <m/>
    <m/>
    <n v="0"/>
  </r>
  <r>
    <x v="5"/>
    <s v="Hazard Community and Technical College"/>
    <n v="156790"/>
    <x v="8"/>
    <n v="34"/>
    <n v="58738.117647058825"/>
    <n v="1997096"/>
    <n v="36"/>
    <n v="57883.111111111109"/>
    <n v="2083792"/>
    <n v="32"/>
    <n v="48805.90625"/>
    <n v="1561789"/>
    <n v="30"/>
    <n v="49192.666666666664"/>
    <n v="1475780"/>
    <n v="15"/>
    <n v="42019.666666666664"/>
    <n v="630295"/>
    <n v="8"/>
    <n v="40977.5"/>
    <n v="327820"/>
    <n v="18"/>
    <n v="38580.944444444445"/>
    <n v="694457"/>
    <n v="9"/>
    <n v="38851.111111111109"/>
    <n v="349660"/>
    <m/>
    <m/>
    <n v="0"/>
    <m/>
    <m/>
    <n v="0"/>
    <m/>
    <m/>
    <n v="0"/>
    <m/>
    <m/>
    <n v="0"/>
    <n v="8"/>
    <n v="72158.5"/>
    <n v="472320.6776"/>
    <n v="9"/>
    <n v="71409.888888888891"/>
    <n v="525848.1398"/>
    <n v="4"/>
    <n v="65713"/>
    <n v="215065.50640000001"/>
    <n v="6"/>
    <n v="62808.166666666664"/>
    <n v="308337.8518"/>
    <n v="4"/>
    <n v="54150"/>
    <n v="177222.12"/>
    <n v="3"/>
    <n v="56407.666666666664"/>
    <n v="138458.2586"/>
    <n v="3"/>
    <n v="52637.333333333336"/>
    <n v="129203.5984"/>
    <n v="3"/>
    <n v="52637.333333333336"/>
    <n v="129203.5984"/>
    <m/>
    <m/>
    <n v="0"/>
    <m/>
    <m/>
    <n v="0"/>
    <m/>
    <m/>
    <n v="0"/>
    <m/>
    <m/>
    <n v="0"/>
  </r>
  <r>
    <x v="5"/>
    <s v="Henderson Community College "/>
    <n v="156851"/>
    <x v="8"/>
    <n v="22"/>
    <n v="58878.36363636364"/>
    <n v="1295324"/>
    <n v="22"/>
    <n v="58105.681818181816"/>
    <n v="1278325"/>
    <n v="16"/>
    <n v="49330.125"/>
    <n v="789282"/>
    <n v="14"/>
    <n v="48523.571428571428"/>
    <n v="679330"/>
    <n v="2"/>
    <n v="41419"/>
    <n v="82838"/>
    <n v="4"/>
    <n v="41302"/>
    <n v="165208"/>
    <n v="7"/>
    <n v="37093.285714285717"/>
    <n v="259653.00000000003"/>
    <n v="3"/>
    <n v="37500"/>
    <n v="112500"/>
    <m/>
    <m/>
    <n v="0"/>
    <m/>
    <m/>
    <n v="0"/>
    <m/>
    <m/>
    <n v="0"/>
    <m/>
    <m/>
    <n v="0"/>
    <n v="2"/>
    <n v="77792"/>
    <n v="127298.8288"/>
    <n v="3"/>
    <n v="77340.333333333328"/>
    <n v="189839.5822"/>
    <n v="1"/>
    <n v="74637"/>
    <n v="61067.993399999999"/>
    <m/>
    <m/>
    <n v="0"/>
    <n v="1"/>
    <n v="47506"/>
    <n v="38869.409200000002"/>
    <m/>
    <m/>
    <n v="0"/>
    <m/>
    <m/>
    <n v="0"/>
    <n v="1"/>
    <n v="45000"/>
    <n v="36819"/>
    <m/>
    <m/>
    <n v="0"/>
    <m/>
    <m/>
    <n v="0"/>
    <m/>
    <m/>
    <n v="0"/>
    <m/>
    <m/>
    <n v="0"/>
  </r>
  <r>
    <x v="5"/>
    <s v="Hopkinsville Community College "/>
    <n v="156860"/>
    <x v="8"/>
    <n v="16"/>
    <n v="58323.875"/>
    <n v="933182"/>
    <n v="14"/>
    <n v="59597.214285714283"/>
    <n v="834361"/>
    <n v="19"/>
    <n v="46421.84210526316"/>
    <n v="882015"/>
    <n v="20"/>
    <n v="45343.65"/>
    <n v="906873"/>
    <n v="9"/>
    <n v="39102.777777777781"/>
    <n v="351925"/>
    <n v="6"/>
    <n v="38680.833333333336"/>
    <n v="232085"/>
    <n v="12"/>
    <n v="37230.583333333336"/>
    <n v="446767"/>
    <n v="14"/>
    <n v="36686.857142857145"/>
    <n v="513616"/>
    <m/>
    <m/>
    <n v="0"/>
    <m/>
    <m/>
    <n v="0"/>
    <m/>
    <m/>
    <n v="0"/>
    <m/>
    <m/>
    <n v="0"/>
    <n v="3"/>
    <n v="70621"/>
    <n v="173346.30660000001"/>
    <n v="3"/>
    <n v="70621"/>
    <n v="173346.30660000001"/>
    <n v="6"/>
    <n v="54602.166666666664"/>
    <n v="268052.95660000003"/>
    <n v="4"/>
    <n v="55369.75"/>
    <n v="181214.11780000001"/>
    <n v="1"/>
    <n v="42493"/>
    <n v="34767.772600000004"/>
    <n v="1"/>
    <n v="42493"/>
    <n v="34767.772600000004"/>
    <n v="3"/>
    <n v="40820"/>
    <n v="100196.77200000001"/>
    <n v="3"/>
    <n v="40820"/>
    <n v="100196.77200000001"/>
    <m/>
    <m/>
    <n v="0"/>
    <m/>
    <m/>
    <n v="0"/>
    <m/>
    <m/>
    <n v="0"/>
    <m/>
    <m/>
    <n v="0"/>
  </r>
  <r>
    <x v="5"/>
    <s v="Bowling Green Technical College"/>
    <n v="156338"/>
    <x v="9"/>
    <n v="3"/>
    <n v="63172.666666666664"/>
    <n v="189518"/>
    <n v="3"/>
    <n v="63172.666666666664"/>
    <n v="189518"/>
    <n v="9"/>
    <n v="49447.777777777781"/>
    <n v="445030"/>
    <n v="11"/>
    <n v="48566.36363636364"/>
    <n v="534230"/>
    <n v="8"/>
    <n v="44721.75"/>
    <n v="357774"/>
    <n v="11"/>
    <n v="42807.818181818184"/>
    <n v="470886"/>
    <n v="17"/>
    <n v="36656.76470588235"/>
    <n v="623165"/>
    <n v="14"/>
    <n v="37808.785714285717"/>
    <n v="529323"/>
    <m/>
    <m/>
    <n v="0"/>
    <m/>
    <m/>
    <n v="0"/>
    <m/>
    <m/>
    <n v="0"/>
    <m/>
    <m/>
    <n v="0"/>
    <n v="1"/>
    <n v="66041"/>
    <n v="54034.746200000001"/>
    <n v="2"/>
    <n v="64724.5"/>
    <n v="105915.17180000001"/>
    <n v="5"/>
    <n v="57080"/>
    <n v="233514.28"/>
    <n v="3"/>
    <n v="54960.666666666664"/>
    <n v="134906.45240000001"/>
    <n v="6"/>
    <n v="48702.5"/>
    <n v="239090.31300000002"/>
    <n v="4"/>
    <n v="46413.25"/>
    <n v="151901.28460000001"/>
    <n v="13"/>
    <n v="42989.230769230766"/>
    <n v="457259.25200000004"/>
    <n v="15"/>
    <n v="42252.73333333333"/>
    <n v="518567.79620000004"/>
    <m/>
    <m/>
    <n v="0"/>
    <m/>
    <m/>
    <n v="0"/>
    <m/>
    <m/>
    <n v="0"/>
    <m/>
    <m/>
    <n v="0"/>
  </r>
  <r>
    <x v="5"/>
    <s v="Gateway Community and Technical College"/>
    <n v="157438"/>
    <x v="9"/>
    <n v="4"/>
    <n v="64790.25"/>
    <n v="259161"/>
    <n v="3"/>
    <n v="70176.666666666672"/>
    <n v="210530"/>
    <n v="12"/>
    <n v="51611.25"/>
    <n v="619335"/>
    <n v="14"/>
    <n v="51186.071428571428"/>
    <n v="716605"/>
    <n v="17"/>
    <n v="48157.705882352944"/>
    <n v="818681"/>
    <n v="17"/>
    <n v="48453"/>
    <n v="823701"/>
    <n v="13"/>
    <n v="43703.384615384617"/>
    <n v="568144"/>
    <n v="12"/>
    <n v="43096.416666666664"/>
    <n v="517157"/>
    <m/>
    <m/>
    <n v="0"/>
    <m/>
    <m/>
    <n v="0"/>
    <m/>
    <m/>
    <n v="0"/>
    <m/>
    <m/>
    <n v="0"/>
    <m/>
    <m/>
    <n v="0"/>
    <m/>
    <m/>
    <n v="0"/>
    <n v="3"/>
    <n v="71863"/>
    <n v="176394.9198"/>
    <n v="5"/>
    <n v="66117.8"/>
    <n v="270487.91980000003"/>
    <n v="6"/>
    <n v="53434.166666666664"/>
    <n v="262319.011"/>
    <n v="7"/>
    <n v="51608.571428571428"/>
    <n v="295582.93200000003"/>
    <n v="12"/>
    <n v="44668.833333333336"/>
    <n v="438576.47320000001"/>
    <n v="14"/>
    <n v="44671.357142857145"/>
    <n v="511701.46180000005"/>
    <m/>
    <m/>
    <n v="0"/>
    <m/>
    <m/>
    <n v="0"/>
    <m/>
    <m/>
    <n v="0"/>
    <m/>
    <m/>
    <n v="0"/>
  </r>
  <r>
    <x v="6"/>
    <s v="Louisiana State University and A&amp;M College"/>
    <n v="159391"/>
    <x v="0"/>
    <n v="355"/>
    <n v="107596"/>
    <n v="38196580"/>
    <n v="367"/>
    <n v="111964"/>
    <n v="41090788"/>
    <n v="239"/>
    <n v="76132"/>
    <n v="18195548"/>
    <n v="257"/>
    <n v="80228"/>
    <n v="20618596"/>
    <n v="273"/>
    <n v="65661"/>
    <n v="17925453"/>
    <n v="299"/>
    <n v="67635"/>
    <n v="20222865"/>
    <n v="240"/>
    <n v="41279"/>
    <n v="9906960"/>
    <n v="230"/>
    <n v="43184"/>
    <n v="9932320"/>
    <n v="14"/>
    <n v="51210"/>
    <n v="716940"/>
    <n v="17"/>
    <n v="56079"/>
    <n v="953343"/>
    <n v="0"/>
    <n v="0"/>
    <n v="0"/>
    <n v="0"/>
    <n v="0"/>
    <n v="0"/>
    <n v="69"/>
    <n v="121697"/>
    <n v="6870501.4926000005"/>
    <n v="69"/>
    <n v="126568"/>
    <n v="7145497.6944000004"/>
    <n v="29"/>
    <n v="95296"/>
    <n v="2261164.4287999999"/>
    <n v="31"/>
    <n v="95424"/>
    <n v="2420353.4208"/>
    <n v="26"/>
    <n v="89110"/>
    <n v="1895654.8520000002"/>
    <n v="28"/>
    <n v="97479"/>
    <n v="2233204.8984000003"/>
    <n v="17"/>
    <n v="56630"/>
    <n v="787689.32200000004"/>
    <n v="17"/>
    <n v="57127"/>
    <n v="794602.29379999998"/>
    <n v="5"/>
    <n v="60637"/>
    <n v="248065.967"/>
    <n v="4"/>
    <n v="57366"/>
    <n v="187747.4448"/>
    <n v="0"/>
    <n v="0"/>
    <n v="0"/>
    <n v="0"/>
    <n v="0"/>
    <n v="0"/>
  </r>
  <r>
    <x v="6"/>
    <s v="Louisiana Tech University "/>
    <n v="159647"/>
    <x v="1"/>
    <n v="53"/>
    <n v="74638"/>
    <n v="3955814"/>
    <n v="45"/>
    <n v="77473"/>
    <n v="3486285"/>
    <n v="77"/>
    <n v="65823"/>
    <n v="5068371"/>
    <n v="80"/>
    <n v="67832"/>
    <n v="5426560"/>
    <n v="143"/>
    <n v="57009"/>
    <n v="8152287"/>
    <n v="143"/>
    <n v="58133"/>
    <n v="8313019"/>
    <n v="53"/>
    <n v="37694"/>
    <n v="1997782"/>
    <n v="48"/>
    <n v="39103"/>
    <n v="1876944"/>
    <n v="29"/>
    <n v="51001.413793103449"/>
    <n v="1479041"/>
    <n v="35"/>
    <n v="51447.428571428572"/>
    <n v="1800660"/>
    <m/>
    <m/>
    <n v="0"/>
    <m/>
    <m/>
    <n v="0"/>
    <n v="31"/>
    <n v="111791"/>
    <n v="2835489.2822000002"/>
    <n v="33"/>
    <n v="117125"/>
    <n v="3162445.2750000004"/>
    <n v="16"/>
    <n v="90630"/>
    <n v="1186455.456"/>
    <n v="18"/>
    <n v="92568"/>
    <n v="1363304.4768000001"/>
    <n v="11"/>
    <n v="78304"/>
    <n v="704751.66080000007"/>
    <n v="9"/>
    <n v="80428"/>
    <n v="592255.70640000002"/>
    <n v="14"/>
    <n v="46161"/>
    <n v="528765.02280000004"/>
    <n v="11"/>
    <n v="51886"/>
    <n v="466984.37720000005"/>
    <n v="5"/>
    <n v="42901"/>
    <n v="175507.99100000001"/>
    <n v="12"/>
    <n v="41289"/>
    <n v="405391.91760000004"/>
    <m/>
    <m/>
    <n v="0"/>
    <m/>
    <m/>
    <n v="0"/>
  </r>
  <r>
    <x v="6"/>
    <s v="University of Louisiana at Lafayette"/>
    <n v="160658"/>
    <x v="1"/>
    <n v="144"/>
    <n v="100558"/>
    <n v="14480352"/>
    <n v="143"/>
    <n v="106498"/>
    <n v="15229214"/>
    <n v="125"/>
    <n v="73022"/>
    <n v="9127750"/>
    <n v="125"/>
    <n v="78540"/>
    <n v="9817500"/>
    <n v="153"/>
    <n v="59247"/>
    <n v="9064791"/>
    <n v="159"/>
    <n v="63167"/>
    <n v="10043553"/>
    <n v="147"/>
    <n v="42784"/>
    <n v="6289248"/>
    <n v="160"/>
    <n v="43986"/>
    <n v="7037760"/>
    <n v="3"/>
    <n v="42745"/>
    <n v="128235"/>
    <n v="0"/>
    <m/>
    <n v="0"/>
    <n v="0"/>
    <n v="0"/>
    <n v="0"/>
    <n v="0"/>
    <n v="0"/>
    <n v="0"/>
    <n v="0"/>
    <n v="0"/>
    <n v="0"/>
    <n v="0"/>
    <n v="0"/>
    <n v="0"/>
    <n v="1"/>
    <n v="98721"/>
    <n v="80773.522200000007"/>
    <n v="1"/>
    <n v="106619"/>
    <n v="87235.665800000002"/>
    <n v="1"/>
    <n v="53370"/>
    <n v="43667.334000000003"/>
    <n v="1"/>
    <n v="51970"/>
    <n v="42521.853999999999"/>
    <n v="2"/>
    <n v="55098"/>
    <n v="90162.367200000008"/>
    <n v="2"/>
    <n v="51369"/>
    <n v="84060.231599999999"/>
    <n v="0"/>
    <n v="0"/>
    <n v="0"/>
    <n v="0"/>
    <n v="0"/>
    <n v="0"/>
    <n v="0"/>
    <n v="0"/>
    <n v="0"/>
    <n v="0"/>
    <n v="0"/>
    <n v="0"/>
  </r>
  <r>
    <x v="6"/>
    <s v="University of New Orleans"/>
    <n v="159939"/>
    <x v="1"/>
    <n v="143"/>
    <n v="85451"/>
    <n v="12219493"/>
    <n v="133"/>
    <n v="87505"/>
    <n v="11638165"/>
    <n v="86"/>
    <n v="67704"/>
    <n v="5822544"/>
    <n v="84"/>
    <n v="66274"/>
    <n v="5567016"/>
    <n v="75"/>
    <n v="59509"/>
    <n v="4463175"/>
    <n v="97"/>
    <n v="62549"/>
    <n v="6067253"/>
    <n v="116"/>
    <n v="40333"/>
    <n v="4678628"/>
    <n v="122"/>
    <n v="42165"/>
    <n v="5144130"/>
    <n v="0"/>
    <n v="0"/>
    <n v="0"/>
    <n v="0"/>
    <n v="0"/>
    <n v="0"/>
    <n v="0"/>
    <n v="0"/>
    <n v="0"/>
    <n v="0"/>
    <n v="0"/>
    <n v="0"/>
    <n v="7"/>
    <n v="104975"/>
    <n v="601233.81500000006"/>
    <n v="6"/>
    <n v="118935"/>
    <n v="583875.70200000005"/>
    <n v="7"/>
    <n v="64847"/>
    <n v="371404.70780000003"/>
    <n v="10"/>
    <n v="63435"/>
    <n v="519025.17000000004"/>
    <n v="10"/>
    <n v="62048"/>
    <n v="507676.73600000003"/>
    <n v="6"/>
    <n v="46143"/>
    <n v="226525.21560000003"/>
    <n v="1"/>
    <n v="62350"/>
    <n v="51014.770000000004"/>
    <n v="1"/>
    <n v="62350"/>
    <n v="51014.770000000004"/>
    <n v="0"/>
    <n v="0"/>
    <n v="0"/>
    <n v="0"/>
    <n v="0"/>
    <n v="0"/>
    <n v="0"/>
    <n v="0"/>
    <n v="0"/>
    <n v="0"/>
    <n v="0"/>
    <n v="0"/>
  </r>
  <r>
    <x v="6"/>
    <s v="Southeastern Louisiana University "/>
    <n v="160612"/>
    <x v="2"/>
    <n v="82"/>
    <n v="73062"/>
    <n v="5991084"/>
    <n v="86"/>
    <n v="78794"/>
    <n v="6776284"/>
    <n v="105"/>
    <n v="63092"/>
    <n v="6624660"/>
    <n v="106"/>
    <n v="66982"/>
    <n v="7100092"/>
    <n v="118"/>
    <n v="54569"/>
    <n v="6439142"/>
    <n v="113"/>
    <n v="58241"/>
    <n v="6581233"/>
    <n v="203"/>
    <n v="41680"/>
    <n v="8461040"/>
    <n v="214"/>
    <n v="44317"/>
    <n v="9483838"/>
    <n v="0"/>
    <n v="0"/>
    <n v="0"/>
    <n v="0"/>
    <n v="0"/>
    <n v="0"/>
    <n v="0"/>
    <n v="0"/>
    <n v="0"/>
    <n v="0"/>
    <n v="0"/>
    <n v="0"/>
    <n v="13"/>
    <n v="102525"/>
    <n v="1090517.415"/>
    <n v="12"/>
    <n v="107955"/>
    <n v="1059945.372"/>
    <n v="6"/>
    <n v="102824"/>
    <n v="504783.5808"/>
    <n v="7"/>
    <n v="110994"/>
    <n v="635707.03560000006"/>
    <n v="1"/>
    <n v="79710"/>
    <n v="65218.722000000002"/>
    <n v="1"/>
    <n v="84710"/>
    <n v="69309.722000000009"/>
    <n v="0"/>
    <n v="0"/>
    <n v="0"/>
    <n v="1"/>
    <n v="59271"/>
    <n v="48495.532200000001"/>
    <n v="0"/>
    <n v="0"/>
    <n v="0"/>
    <n v="0"/>
    <n v="0"/>
    <n v="0"/>
    <n v="0"/>
    <n v="0"/>
    <n v="0"/>
    <n v="0"/>
    <n v="0"/>
    <n v="0"/>
  </r>
  <r>
    <x v="6"/>
    <s v="Southern University and A&amp;M College at Baton Rouge "/>
    <n v="160621"/>
    <x v="2"/>
    <n v="112"/>
    <n v="76744"/>
    <n v="8595328"/>
    <n v="115"/>
    <n v="77552"/>
    <n v="8918480"/>
    <n v="84"/>
    <n v="63389"/>
    <n v="5324676"/>
    <n v="82"/>
    <n v="62655"/>
    <n v="5137710"/>
    <n v="156"/>
    <n v="56371"/>
    <n v="8793876"/>
    <n v="164"/>
    <n v="54728"/>
    <n v="8975392"/>
    <n v="99"/>
    <n v="39864"/>
    <n v="3946536"/>
    <n v="82"/>
    <n v="42910"/>
    <n v="3518620"/>
    <n v="0"/>
    <n v="0"/>
    <n v="0"/>
    <n v="29"/>
    <n v="28968"/>
    <n v="840072"/>
    <m/>
    <m/>
    <n v="0"/>
    <m/>
    <m/>
    <n v="0"/>
    <n v="1"/>
    <n v="108218"/>
    <n v="88543.967600000004"/>
    <n v="12"/>
    <n v="95886"/>
    <n v="941447.10240000009"/>
    <n v="0"/>
    <n v="0"/>
    <n v="0"/>
    <n v="1"/>
    <n v="70907"/>
    <n v="58016.107400000001"/>
    <n v="0"/>
    <n v="0"/>
    <n v="0"/>
    <n v="4"/>
    <n v="72659"/>
    <n v="237798.37520000001"/>
    <n v="0"/>
    <n v="0"/>
    <n v="0"/>
    <n v="1"/>
    <n v="49349"/>
    <n v="40377.351800000004"/>
    <n v="0"/>
    <n v="0"/>
    <n v="0"/>
    <n v="0"/>
    <n v="0"/>
    <n v="0"/>
    <n v="0"/>
    <n v="0"/>
    <n v="0"/>
    <n v="0"/>
    <n v="0"/>
    <n v="0"/>
  </r>
  <r>
    <x v="6"/>
    <s v="University of Louisiana at Monroe"/>
    <n v="159993"/>
    <x v="2"/>
    <n v="54"/>
    <n v="69527"/>
    <n v="3754458"/>
    <n v="49"/>
    <n v="72389"/>
    <n v="3547061"/>
    <n v="75"/>
    <n v="60562"/>
    <n v="4542150"/>
    <n v="67"/>
    <n v="63258"/>
    <n v="4238286"/>
    <n v="119"/>
    <n v="50396"/>
    <n v="5997124"/>
    <n v="121"/>
    <n v="51555"/>
    <n v="6238155"/>
    <n v="63"/>
    <n v="38498"/>
    <n v="2425374"/>
    <n v="72"/>
    <n v="39598"/>
    <n v="2851056"/>
    <n v="0"/>
    <n v="0"/>
    <n v="0"/>
    <n v="0"/>
    <m/>
    <n v="0"/>
    <n v="0"/>
    <n v="0"/>
    <n v="0"/>
    <n v="0"/>
    <n v="0"/>
    <n v="0"/>
    <n v="5"/>
    <n v="107019"/>
    <n v="437814.72899999999"/>
    <n v="3"/>
    <n v="120751"/>
    <n v="296395.40460000001"/>
    <n v="11"/>
    <n v="98926"/>
    <n v="890353.78520000004"/>
    <n v="13"/>
    <n v="99584"/>
    <n v="1059235.1744000001"/>
    <n v="28"/>
    <n v="91530"/>
    <n v="2096915.6880000001"/>
    <n v="38"/>
    <n v="90773"/>
    <n v="2822277.8067999999"/>
    <n v="3"/>
    <n v="51691"/>
    <n v="126880.7286"/>
    <n v="7"/>
    <n v="60715"/>
    <n v="347739.09100000001"/>
    <n v="0"/>
    <n v="0"/>
    <n v="0"/>
    <n v="0"/>
    <n v="0"/>
    <n v="0"/>
    <n v="0"/>
    <n v="0"/>
    <n v="0"/>
    <n v="0"/>
    <n v="0"/>
    <n v="0"/>
  </r>
  <r>
    <x v="6"/>
    <s v="Grambling State University"/>
    <n v="159009"/>
    <x v="3"/>
    <n v="52"/>
    <n v="70328"/>
    <n v="3657056"/>
    <n v="52"/>
    <n v="70726"/>
    <n v="3677752"/>
    <n v="44"/>
    <n v="58965"/>
    <n v="2594460"/>
    <n v="36"/>
    <n v="58932"/>
    <n v="2121552"/>
    <n v="81"/>
    <n v="51178"/>
    <n v="4145418"/>
    <n v="83"/>
    <n v="50937"/>
    <n v="4227771"/>
    <n v="28"/>
    <n v="40932"/>
    <n v="1146096"/>
    <n v="25"/>
    <n v="42048"/>
    <n v="1051200"/>
    <n v="0"/>
    <n v="0"/>
    <n v="0"/>
    <n v="13"/>
    <n v="43561"/>
    <n v="566293"/>
    <n v="0"/>
    <n v="0"/>
    <n v="0"/>
    <n v="0"/>
    <n v="0"/>
    <n v="0"/>
    <n v="12"/>
    <n v="87528"/>
    <n v="859384.91520000005"/>
    <n v="7"/>
    <n v="87430"/>
    <n v="500746.58199999999"/>
    <n v="12"/>
    <n v="72754"/>
    <n v="714327.87360000005"/>
    <n v="13"/>
    <n v="74313"/>
    <n v="790437.65580000007"/>
    <n v="13"/>
    <n v="68278"/>
    <n v="726245.77480000001"/>
    <n v="19"/>
    <n v="63085"/>
    <n v="980706.79300000006"/>
    <n v="7"/>
    <n v="43256"/>
    <n v="247744.41440000001"/>
    <n v="9"/>
    <n v="44819"/>
    <n v="330038.15220000001"/>
    <n v="0"/>
    <n v="0"/>
    <n v="0"/>
    <n v="1"/>
    <n v="69644"/>
    <n v="56982.720800000003"/>
    <n v="0"/>
    <n v="0"/>
    <n v="0"/>
    <n v="0"/>
    <n v="0"/>
    <n v="0"/>
  </r>
  <r>
    <x v="6"/>
    <s v="Louisiana State University in Shreveport"/>
    <n v="159416"/>
    <x v="3"/>
    <n v="45"/>
    <n v="67524"/>
    <n v="3038580"/>
    <n v="33"/>
    <n v="65966"/>
    <n v="2176878"/>
    <n v="33"/>
    <n v="57498"/>
    <n v="1897434"/>
    <n v="31"/>
    <n v="58495"/>
    <n v="1813345"/>
    <n v="33"/>
    <n v="53901"/>
    <n v="1778733"/>
    <n v="37"/>
    <n v="54037"/>
    <n v="1999369"/>
    <n v="20"/>
    <n v="36772"/>
    <n v="735440"/>
    <n v="27"/>
    <n v="37177"/>
    <n v="1003779"/>
    <n v="0"/>
    <n v="0"/>
    <n v="0"/>
    <n v="0"/>
    <n v="0"/>
    <n v="0"/>
    <n v="0"/>
    <n v="0"/>
    <n v="0"/>
    <n v="0"/>
    <n v="0"/>
    <n v="0"/>
    <n v="1"/>
    <n v="79668"/>
    <n v="65184.357600000003"/>
    <n v="1"/>
    <n v="55917"/>
    <n v="45751.289400000001"/>
    <n v="0"/>
    <n v="0"/>
    <n v="0"/>
    <n v="1"/>
    <n v="98000"/>
    <n v="80183.600000000006"/>
    <n v="1"/>
    <n v="39640"/>
    <n v="32433.448"/>
    <n v="0"/>
    <n v="0"/>
    <n v="0"/>
    <n v="3"/>
    <n v="54121"/>
    <n v="132845.40660000002"/>
    <n v="4"/>
    <n v="58231"/>
    <n v="190578.41680000001"/>
    <n v="0"/>
    <n v="0"/>
    <n v="0"/>
    <n v="3"/>
    <n v="33333"/>
    <n v="81819.181800000006"/>
    <n v="0"/>
    <n v="0"/>
    <n v="0"/>
    <m/>
    <m/>
    <n v="0"/>
  </r>
  <r>
    <x v="6"/>
    <s v="McNeese State University"/>
    <n v="159717"/>
    <x v="3"/>
    <n v="63"/>
    <n v="77994"/>
    <n v="4913622"/>
    <n v="64"/>
    <n v="81114"/>
    <n v="5191296"/>
    <n v="56"/>
    <n v="62366"/>
    <n v="3492496"/>
    <n v="49"/>
    <n v="65542"/>
    <n v="3211558"/>
    <n v="135"/>
    <n v="53531"/>
    <n v="7226685"/>
    <n v="143"/>
    <n v="55584"/>
    <n v="7948512"/>
    <n v="56"/>
    <n v="40607"/>
    <n v="2273992"/>
    <n v="61"/>
    <n v="42138"/>
    <n v="2570418"/>
    <n v="0"/>
    <n v="0"/>
    <n v="0"/>
    <n v="0"/>
    <n v="0"/>
    <n v="0"/>
    <n v="0"/>
    <n v="0"/>
    <n v="0"/>
    <n v="0"/>
    <n v="0"/>
    <n v="0"/>
    <n v="0"/>
    <n v="0"/>
    <n v="0"/>
    <n v="0"/>
    <n v="0"/>
    <n v="0"/>
    <n v="0"/>
    <n v="0"/>
    <n v="0"/>
    <n v="0"/>
    <n v="0"/>
    <n v="0"/>
    <n v="5"/>
    <n v="56793"/>
    <n v="232340.163"/>
    <n v="5"/>
    <n v="59557"/>
    <n v="243647.68700000001"/>
    <n v="0"/>
    <n v="0"/>
    <n v="0"/>
    <n v="0"/>
    <n v="0"/>
    <n v="0"/>
    <n v="0"/>
    <n v="0"/>
    <n v="0"/>
    <n v="0"/>
    <n v="0"/>
    <n v="0"/>
    <n v="0"/>
    <n v="0"/>
    <n v="0"/>
    <n v="0"/>
    <n v="0"/>
    <n v="0"/>
  </r>
  <r>
    <x v="6"/>
    <s v="Nicholls State University "/>
    <n v="159966"/>
    <x v="3"/>
    <n v="39"/>
    <n v="74879"/>
    <n v="2920281"/>
    <n v="35"/>
    <n v="73016"/>
    <n v="2555560"/>
    <n v="60"/>
    <n v="59604"/>
    <n v="3576240"/>
    <n v="57"/>
    <n v="58128"/>
    <n v="3313296"/>
    <n v="95"/>
    <n v="50345"/>
    <n v="4782775"/>
    <n v="93"/>
    <n v="51339"/>
    <n v="4774527"/>
    <n v="74"/>
    <n v="38498"/>
    <n v="2848852"/>
    <n v="79"/>
    <n v="38188"/>
    <n v="3016852"/>
    <n v="4"/>
    <n v="29323.25"/>
    <n v="117293"/>
    <n v="3"/>
    <n v="25671"/>
    <n v="77013"/>
    <m/>
    <m/>
    <n v="0"/>
    <m/>
    <m/>
    <n v="0"/>
    <n v="2"/>
    <n v="77596"/>
    <n v="126978.0944"/>
    <n v="7"/>
    <n v="90291"/>
    <n v="517132.67340000003"/>
    <n v="2"/>
    <n v="66259"/>
    <n v="108426.2276"/>
    <n v="7"/>
    <n v="66840"/>
    <n v="382819.41600000003"/>
    <n v="11"/>
    <n v="50989"/>
    <n v="458911.19780000002"/>
    <n v="12"/>
    <n v="53696"/>
    <n v="527208.8064"/>
    <n v="1"/>
    <n v="38179"/>
    <n v="31238.057800000002"/>
    <n v="3"/>
    <n v="55585"/>
    <n v="136438.94100000002"/>
    <n v="0"/>
    <n v="0"/>
    <n v="0"/>
    <n v="1"/>
    <n v="30943"/>
    <n v="25317.562600000001"/>
    <n v="0"/>
    <n v="0"/>
    <n v="0"/>
    <m/>
    <m/>
    <n v="0"/>
  </r>
  <r>
    <x v="6"/>
    <s v="Northwestern State University"/>
    <n v="160038"/>
    <x v="3"/>
    <n v="43"/>
    <n v="75709"/>
    <n v="3255487"/>
    <n v="47"/>
    <n v="76012"/>
    <n v="3572564"/>
    <n v="63"/>
    <n v="62080"/>
    <n v="3911040"/>
    <n v="60"/>
    <n v="62937"/>
    <n v="3776220"/>
    <n v="121"/>
    <n v="48913"/>
    <n v="5918473"/>
    <n v="135"/>
    <n v="50006"/>
    <n v="6750810"/>
    <n v="56"/>
    <n v="39760"/>
    <n v="2226560"/>
    <n v="59"/>
    <n v="39772"/>
    <n v="2346548"/>
    <n v="0"/>
    <m/>
    <n v="0"/>
    <n v="0"/>
    <m/>
    <n v="0"/>
    <n v="0"/>
    <n v="0"/>
    <n v="0"/>
    <n v="0"/>
    <n v="0"/>
    <n v="0"/>
    <n v="6"/>
    <n v="92499"/>
    <n v="454096.09080000001"/>
    <n v="8"/>
    <n v="95499"/>
    <n v="625098.25439999998"/>
    <n v="16"/>
    <n v="83853"/>
    <n v="1097736.3936000001"/>
    <n v="16"/>
    <n v="82322"/>
    <n v="1077693.7664000001"/>
    <n v="12"/>
    <n v="64917"/>
    <n v="637381.07280000008"/>
    <n v="12"/>
    <n v="67201"/>
    <n v="659806.29840000009"/>
    <n v="4"/>
    <n v="57041"/>
    <n v="186683.78480000002"/>
    <n v="4"/>
    <n v="58291"/>
    <n v="190774.78480000002"/>
    <n v="0"/>
    <n v="0"/>
    <n v="0"/>
    <n v="0"/>
    <n v="0"/>
    <n v="0"/>
    <n v="0"/>
    <n v="0"/>
    <n v="0"/>
    <n v="0"/>
    <n v="0"/>
    <n v="0"/>
  </r>
  <r>
    <x v="6"/>
    <s v="Southern University at New Orleans"/>
    <n v="160630"/>
    <x v="4"/>
    <n v="12"/>
    <n v="59010"/>
    <n v="708120"/>
    <n v="12"/>
    <n v="67394"/>
    <n v="808728"/>
    <n v="23"/>
    <n v="55436"/>
    <n v="1275028"/>
    <n v="24"/>
    <n v="55734"/>
    <n v="1337616"/>
    <n v="40"/>
    <n v="43603"/>
    <n v="1744120"/>
    <n v="49"/>
    <n v="46902"/>
    <n v="2298198"/>
    <n v="1"/>
    <n v="18000"/>
    <n v="18000"/>
    <n v="3"/>
    <n v="36740"/>
    <n v="110220"/>
    <n v="0"/>
    <n v="0"/>
    <n v="0"/>
    <n v="0"/>
    <n v="0"/>
    <n v="0"/>
    <n v="0"/>
    <n v="0"/>
    <n v="0"/>
    <n v="0"/>
    <n v="0"/>
    <n v="0"/>
    <n v="2"/>
    <n v="37939"/>
    <n v="62083.3796"/>
    <n v="1"/>
    <n v="86882"/>
    <n v="71086.852400000003"/>
    <n v="5"/>
    <n v="49438"/>
    <n v="202250.85800000001"/>
    <n v="5"/>
    <n v="60760"/>
    <n v="248569.16"/>
    <n v="4"/>
    <n v="66338"/>
    <n v="217111.00640000001"/>
    <n v="4"/>
    <n v="58559"/>
    <n v="191651.8952"/>
    <n v="1"/>
    <n v="36500"/>
    <n v="29864.300000000003"/>
    <n v="1"/>
    <n v="36500"/>
    <n v="29864.300000000003"/>
    <n v="0"/>
    <n v="0"/>
    <n v="0"/>
    <n v="0"/>
    <n v="0"/>
    <n v="0"/>
    <n v="0"/>
    <n v="0"/>
    <n v="0"/>
    <n v="0"/>
    <n v="0"/>
    <n v="0"/>
  </r>
  <r>
    <x v="6"/>
    <s v="Louisiana State University at Alexandria"/>
    <n v="159382"/>
    <x v="11"/>
    <n v="17"/>
    <n v="63168"/>
    <n v="1073856"/>
    <n v="17"/>
    <n v="61123"/>
    <n v="1039091"/>
    <n v="17"/>
    <n v="49791"/>
    <n v="846447"/>
    <n v="20"/>
    <n v="48958"/>
    <n v="979160"/>
    <n v="40"/>
    <n v="44698"/>
    <n v="1787920"/>
    <n v="42"/>
    <n v="44826"/>
    <n v="1882692"/>
    <n v="17"/>
    <n v="37663"/>
    <n v="640271"/>
    <n v="17"/>
    <n v="35273"/>
    <n v="599641"/>
    <n v="0"/>
    <n v="0"/>
    <n v="0"/>
    <n v="0"/>
    <n v="0"/>
    <n v="0"/>
    <n v="0"/>
    <n v="0"/>
    <n v="0"/>
    <n v="0"/>
    <n v="0"/>
    <n v="0"/>
    <n v="6"/>
    <n v="80330"/>
    <n v="394356.03600000002"/>
    <n v="6"/>
    <n v="78198"/>
    <n v="383889.62160000001"/>
    <n v="2"/>
    <n v="66560"/>
    <n v="108918.784"/>
    <n v="5"/>
    <n v="68276"/>
    <n v="279317.11600000004"/>
    <n v="4"/>
    <n v="52157"/>
    <n v="170699.4296"/>
    <n v="4"/>
    <n v="44109"/>
    <n v="144359.93520000001"/>
    <n v="2"/>
    <n v="37321"/>
    <n v="61072.0844"/>
    <n v="0"/>
    <n v="0"/>
    <n v="0"/>
    <n v="5"/>
    <n v="50656"/>
    <n v="207233.696"/>
    <n v="0"/>
    <n v="0"/>
    <n v="0"/>
    <m/>
    <m/>
    <n v="0"/>
    <m/>
    <m/>
    <n v="0"/>
  </r>
  <r>
    <x v="6"/>
    <s v="Delgado Community College "/>
    <n v="158662"/>
    <x v="6"/>
    <n v="56"/>
    <n v="79990"/>
    <n v="4479440"/>
    <n v="72"/>
    <n v="81870"/>
    <n v="5894640"/>
    <n v="60"/>
    <n v="70316"/>
    <n v="4218960"/>
    <n v="51"/>
    <n v="75165"/>
    <n v="3833415"/>
    <n v="61"/>
    <n v="64045"/>
    <n v="3906745"/>
    <n v="80"/>
    <n v="63780"/>
    <n v="5102400"/>
    <n v="146"/>
    <n v="52300"/>
    <n v="7635800"/>
    <n v="134"/>
    <n v="55532"/>
    <n v="7441288"/>
    <n v="0"/>
    <n v="0"/>
    <n v="0"/>
    <n v="118"/>
    <n v="40168.889830508473"/>
    <n v="4739929"/>
    <m/>
    <m/>
    <n v="0"/>
    <m/>
    <m/>
    <n v="0"/>
    <n v="7"/>
    <n v="90198"/>
    <n v="516600.02520000003"/>
    <n v="5"/>
    <n v="98214"/>
    <n v="401793.47400000005"/>
    <n v="1"/>
    <n v="100540"/>
    <n v="82261.828000000009"/>
    <n v="2"/>
    <n v="94138"/>
    <n v="154047.42320000002"/>
    <n v="3"/>
    <n v="79371"/>
    <n v="194824.05660000001"/>
    <n v="5"/>
    <n v="76158"/>
    <n v="311562.37800000003"/>
    <n v="7"/>
    <n v="57176"/>
    <n v="327469.8224"/>
    <n v="5"/>
    <n v="55668"/>
    <n v="227737.788"/>
    <n v="4"/>
    <n v="39691"/>
    <n v="129900.70480000001"/>
    <n v="4"/>
    <n v="42273"/>
    <n v="138351.07440000001"/>
    <m/>
    <m/>
    <n v="0"/>
    <m/>
    <m/>
    <n v="0"/>
  </r>
  <r>
    <x v="6"/>
    <s v="Baton Rouge Community College"/>
    <n v="437103"/>
    <x v="7"/>
    <n v="0"/>
    <n v="0"/>
    <n v="0"/>
    <n v="4"/>
    <n v="53385"/>
    <n v="213540"/>
    <n v="0"/>
    <n v="0"/>
    <n v="0"/>
    <n v="45"/>
    <n v="47450"/>
    <n v="2135250"/>
    <n v="38"/>
    <n v="49376"/>
    <n v="1876288"/>
    <n v="32"/>
    <n v="47614"/>
    <n v="1523648"/>
    <n v="62"/>
    <n v="41940"/>
    <n v="2600280"/>
    <n v="49"/>
    <n v="39549"/>
    <n v="1937901"/>
    <n v="0"/>
    <n v="0"/>
    <n v="0"/>
    <n v="0"/>
    <m/>
    <n v="0"/>
    <n v="0"/>
    <n v="0"/>
    <n v="0"/>
    <n v="0"/>
    <n v="0"/>
    <n v="0"/>
    <n v="0"/>
    <n v="0"/>
    <n v="0"/>
    <n v="0"/>
    <n v="0"/>
    <n v="0"/>
    <n v="0"/>
    <n v="0"/>
    <n v="0"/>
    <n v="0"/>
    <n v="0"/>
    <n v="0"/>
    <n v="0"/>
    <n v="0"/>
    <n v="0"/>
    <n v="0"/>
    <n v="0"/>
    <n v="0"/>
    <n v="0"/>
    <n v="0"/>
    <n v="0"/>
    <n v="0"/>
    <n v="0"/>
    <n v="0"/>
    <n v="0"/>
    <n v="0"/>
    <n v="0"/>
    <n v="0"/>
    <n v="0"/>
    <n v="0"/>
    <n v="0"/>
    <n v="0"/>
    <n v="0"/>
    <n v="0"/>
    <n v="0"/>
    <n v="0"/>
  </r>
  <r>
    <x v="6"/>
    <s v="Bossier Parish Community College"/>
    <n v="158431"/>
    <x v="7"/>
    <n v="5"/>
    <n v="52592"/>
    <n v="262960"/>
    <n v="9"/>
    <n v="53532"/>
    <n v="481788"/>
    <n v="32"/>
    <n v="49550"/>
    <n v="1585600"/>
    <n v="30"/>
    <n v="51847"/>
    <n v="1555410"/>
    <n v="24"/>
    <n v="45583"/>
    <n v="1093992"/>
    <n v="24"/>
    <n v="44485"/>
    <n v="1067640"/>
    <n v="49"/>
    <n v="37117"/>
    <n v="1818733"/>
    <n v="52"/>
    <n v="36677"/>
    <n v="1907204"/>
    <n v="0"/>
    <n v="0"/>
    <n v="0"/>
    <n v="0"/>
    <n v="0"/>
    <n v="0"/>
    <n v="0"/>
    <n v="0"/>
    <n v="0"/>
    <n v="0"/>
    <n v="0"/>
    <n v="0"/>
    <n v="0"/>
    <n v="0"/>
    <n v="0"/>
    <n v="0"/>
    <n v="0"/>
    <n v="0"/>
    <n v="0"/>
    <n v="0"/>
    <n v="0"/>
    <n v="0"/>
    <n v="0"/>
    <n v="0"/>
    <n v="0"/>
    <n v="0"/>
    <n v="0"/>
    <n v="0"/>
    <n v="0"/>
    <n v="0"/>
    <n v="0"/>
    <n v="0"/>
    <n v="0"/>
    <n v="0"/>
    <n v="0"/>
    <n v="0"/>
    <n v="0"/>
    <n v="0"/>
    <n v="0"/>
    <n v="0"/>
    <n v="0"/>
    <n v="0"/>
    <n v="0"/>
    <n v="0"/>
    <n v="0"/>
    <n v="0"/>
    <n v="0"/>
    <n v="0"/>
  </r>
  <r>
    <x v="6"/>
    <s v="Louisiana State University at Eunice"/>
    <n v="159407"/>
    <x v="7"/>
    <n v="15"/>
    <n v="58526"/>
    <n v="877890"/>
    <n v="16"/>
    <n v="59576"/>
    <n v="953216"/>
    <n v="9"/>
    <n v="48695"/>
    <n v="438255"/>
    <n v="8"/>
    <n v="52367"/>
    <n v="418936"/>
    <n v="16"/>
    <n v="41564"/>
    <n v="665024"/>
    <n v="16"/>
    <n v="43251"/>
    <n v="692016"/>
    <n v="20"/>
    <n v="37405"/>
    <n v="748100"/>
    <n v="22"/>
    <n v="39298"/>
    <n v="864556"/>
    <n v="0"/>
    <n v="0"/>
    <n v="0"/>
    <n v="0"/>
    <n v="0"/>
    <n v="0"/>
    <n v="0"/>
    <n v="0"/>
    <n v="0"/>
    <n v="0"/>
    <n v="0"/>
    <n v="0"/>
    <n v="2"/>
    <n v="75644"/>
    <n v="123783.8416"/>
    <n v="1"/>
    <n v="78847"/>
    <n v="64512.615400000002"/>
    <n v="3"/>
    <n v="71031"/>
    <n v="174352.69260000001"/>
    <n v="4"/>
    <n v="71955"/>
    <n v="235494.32400000002"/>
    <n v="0"/>
    <n v="0"/>
    <n v="0"/>
    <n v="1"/>
    <n v="54000"/>
    <n v="44182.8"/>
    <n v="2"/>
    <n v="46911"/>
    <n v="76765.160400000008"/>
    <n v="2"/>
    <n v="48300"/>
    <n v="79038.12000000001"/>
    <n v="0"/>
    <n v="0"/>
    <n v="0"/>
    <n v="0"/>
    <n v="0"/>
    <n v="0"/>
    <n v="0"/>
    <n v="0"/>
    <n v="0"/>
    <n v="0"/>
    <n v="0"/>
    <n v="0"/>
  </r>
  <r>
    <x v="6"/>
    <s v="Louisiana Delta Community College"/>
    <n v="440624"/>
    <x v="8"/>
    <n v="0"/>
    <n v="0"/>
    <n v="0"/>
    <n v="1"/>
    <n v="40000"/>
    <n v="40000"/>
    <n v="3"/>
    <n v="44211"/>
    <n v="132633"/>
    <n v="7"/>
    <n v="45314"/>
    <n v="317198"/>
    <n v="9"/>
    <n v="39744"/>
    <n v="357696"/>
    <n v="11"/>
    <n v="44913"/>
    <n v="494043"/>
    <n v="16"/>
    <n v="34929"/>
    <n v="558864"/>
    <n v="15"/>
    <n v="34717"/>
    <n v="520755"/>
    <n v="0"/>
    <n v="0"/>
    <n v="0"/>
    <n v="0"/>
    <n v="0"/>
    <n v="0"/>
    <n v="0"/>
    <n v="0"/>
    <n v="0"/>
    <n v="0"/>
    <n v="0"/>
    <n v="0"/>
    <n v="0"/>
    <n v="0"/>
    <n v="0"/>
    <n v="0"/>
    <n v="0"/>
    <n v="0"/>
    <n v="0"/>
    <n v="0"/>
    <n v="0"/>
    <n v="0"/>
    <n v="0"/>
    <n v="0"/>
    <n v="0"/>
    <n v="0"/>
    <n v="0"/>
    <n v="0"/>
    <n v="0"/>
    <n v="0"/>
    <n v="2"/>
    <n v="48500"/>
    <n v="79365.400000000009"/>
    <n v="2"/>
    <n v="50400"/>
    <n v="82474.559999999998"/>
    <n v="0"/>
    <n v="0"/>
    <n v="0"/>
    <n v="0"/>
    <n v="0"/>
    <n v="0"/>
    <n v="0"/>
    <n v="0"/>
    <n v="0"/>
    <n v="0"/>
    <n v="0"/>
    <n v="0"/>
  </r>
  <r>
    <x v="6"/>
    <s v="Nunez Community College"/>
    <n v="158884"/>
    <x v="8"/>
    <n v="0"/>
    <n v="0"/>
    <n v="0"/>
    <n v="0"/>
    <n v="0"/>
    <n v="0"/>
    <n v="6"/>
    <n v="51629"/>
    <n v="309774"/>
    <n v="6"/>
    <n v="55083"/>
    <n v="330498"/>
    <n v="7"/>
    <n v="45063"/>
    <n v="315441"/>
    <n v="7"/>
    <n v="48687"/>
    <n v="340809"/>
    <n v="22"/>
    <n v="41129"/>
    <n v="904838"/>
    <n v="24"/>
    <n v="44022"/>
    <n v="1056528"/>
    <n v="0"/>
    <n v="0"/>
    <n v="0"/>
    <n v="0"/>
    <n v="0"/>
    <n v="0"/>
    <n v="0"/>
    <n v="0"/>
    <n v="0"/>
    <n v="0"/>
    <n v="0"/>
    <n v="0"/>
    <n v="0"/>
    <n v="0"/>
    <n v="0"/>
    <n v="0"/>
    <n v="0"/>
    <n v="0"/>
    <n v="0"/>
    <n v="0"/>
    <n v="0"/>
    <n v="0"/>
    <n v="0"/>
    <n v="0"/>
    <n v="1"/>
    <n v="54035"/>
    <n v="44211.437000000005"/>
    <n v="1"/>
    <n v="56035"/>
    <n v="45847.837"/>
    <n v="2"/>
    <n v="58000"/>
    <n v="94911.200000000012"/>
    <n v="1"/>
    <n v="65000"/>
    <n v="53183"/>
    <n v="0"/>
    <n v="0"/>
    <n v="0"/>
    <n v="0"/>
    <n v="0"/>
    <n v="0"/>
    <n v="0"/>
    <n v="0"/>
    <n v="0"/>
    <n v="0"/>
    <n v="0"/>
    <n v="0"/>
  </r>
  <r>
    <x v="6"/>
    <s v="River Parishes Community College"/>
    <n v="436304"/>
    <x v="8"/>
    <n v="0"/>
    <n v="0"/>
    <n v="0"/>
    <n v="0"/>
    <n v="0"/>
    <n v="0"/>
    <n v="0"/>
    <n v="0"/>
    <n v="0"/>
    <n v="2"/>
    <n v="52024"/>
    <n v="104048"/>
    <n v="8"/>
    <n v="46072"/>
    <n v="368576"/>
    <n v="8"/>
    <n v="42593"/>
    <n v="340744"/>
    <n v="11"/>
    <n v="36351"/>
    <n v="399861"/>
    <n v="8"/>
    <n v="35510"/>
    <n v="284080"/>
    <n v="0"/>
    <n v="0"/>
    <n v="0"/>
    <n v="0"/>
    <n v="0"/>
    <n v="0"/>
    <n v="0"/>
    <n v="0"/>
    <n v="0"/>
    <n v="0"/>
    <n v="0"/>
    <n v="0"/>
    <n v="0"/>
    <n v="0"/>
    <n v="0"/>
    <n v="0"/>
    <n v="0"/>
    <n v="0"/>
    <n v="0"/>
    <n v="0"/>
    <n v="0"/>
    <n v="0"/>
    <n v="0"/>
    <n v="0"/>
    <n v="0"/>
    <n v="0"/>
    <n v="0"/>
    <n v="0"/>
    <n v="0"/>
    <n v="0"/>
    <n v="0"/>
    <n v="0"/>
    <n v="0"/>
    <n v="1"/>
    <n v="55000"/>
    <n v="45001"/>
    <n v="0"/>
    <n v="0"/>
    <n v="0"/>
    <n v="3"/>
    <n v="46307"/>
    <n v="113665.16220000001"/>
    <n v="0"/>
    <n v="0"/>
    <n v="0"/>
    <m/>
    <m/>
    <n v="0"/>
  </r>
  <r>
    <x v="6"/>
    <s v="South Louisiana Community College"/>
    <n v="434061"/>
    <x v="8"/>
    <n v="0"/>
    <n v="0"/>
    <n v="0"/>
    <n v="0"/>
    <n v="0"/>
    <n v="0"/>
    <n v="0"/>
    <n v="0"/>
    <n v="0"/>
    <n v="0"/>
    <n v="0"/>
    <n v="0"/>
    <n v="0"/>
    <n v="0"/>
    <n v="0"/>
    <n v="5"/>
    <n v="47821"/>
    <n v="239105"/>
    <n v="27"/>
    <n v="38496"/>
    <n v="1039392"/>
    <n v="31"/>
    <n v="36740"/>
    <n v="1138940"/>
    <n v="0"/>
    <n v="0"/>
    <n v="0"/>
    <n v="0"/>
    <n v="0"/>
    <n v="0"/>
    <n v="0"/>
    <n v="0"/>
    <n v="0"/>
    <n v="0"/>
    <n v="0"/>
    <n v="0"/>
    <n v="0"/>
    <n v="0"/>
    <n v="0"/>
    <n v="0"/>
    <n v="0"/>
    <n v="0"/>
    <n v="0"/>
    <n v="0"/>
    <n v="0"/>
    <n v="0"/>
    <n v="0"/>
    <n v="0"/>
    <n v="0"/>
    <n v="0"/>
    <n v="0"/>
    <n v="0"/>
    <n v="0"/>
    <n v="0"/>
    <n v="0"/>
    <n v="0"/>
    <n v="0"/>
    <n v="0"/>
    <n v="0"/>
    <n v="0"/>
    <n v="0"/>
    <n v="0"/>
    <n v="0"/>
    <n v="0"/>
    <n v="0"/>
    <n v="0"/>
    <n v="0"/>
    <n v="0"/>
    <n v="0"/>
    <n v="0"/>
    <n v="0"/>
    <n v="0"/>
  </r>
  <r>
    <x v="6"/>
    <s v="Southern University in Shreveport"/>
    <n v="160649"/>
    <x v="8"/>
    <n v="2"/>
    <n v="68127"/>
    <n v="136254"/>
    <n v="2"/>
    <n v="68127"/>
    <n v="136254"/>
    <n v="14"/>
    <n v="48148"/>
    <n v="674072"/>
    <n v="14"/>
    <n v="48148"/>
    <n v="674072"/>
    <n v="21"/>
    <n v="43381"/>
    <n v="911001"/>
    <n v="19"/>
    <n v="45653"/>
    <n v="867407"/>
    <n v="7"/>
    <n v="47131"/>
    <n v="329917"/>
    <n v="6"/>
    <n v="46652"/>
    <n v="279912"/>
    <n v="0"/>
    <n v="0"/>
    <n v="0"/>
    <n v="0"/>
    <n v="0"/>
    <n v="0"/>
    <n v="0"/>
    <n v="0"/>
    <n v="0"/>
    <n v="0"/>
    <n v="0"/>
    <n v="0"/>
    <n v="0"/>
    <n v="0"/>
    <n v="0"/>
    <n v="0"/>
    <n v="0"/>
    <n v="0"/>
    <n v="1"/>
    <n v="52300"/>
    <n v="42791.86"/>
    <n v="1"/>
    <n v="52300"/>
    <n v="42791.86"/>
    <n v="3"/>
    <n v="61809"/>
    <n v="151716.3714"/>
    <n v="3"/>
    <n v="61809"/>
    <n v="151716.3714"/>
    <n v="20"/>
    <n v="46769"/>
    <n v="765327.91600000008"/>
    <n v="20"/>
    <n v="46769"/>
    <n v="765327.91600000008"/>
    <n v="0"/>
    <n v="0"/>
    <n v="0"/>
    <n v="0"/>
    <n v="0"/>
    <n v="0"/>
    <n v="0"/>
    <n v="0"/>
    <n v="0"/>
    <n v="0"/>
    <n v="0"/>
    <n v="0"/>
  </r>
  <r>
    <x v="6"/>
    <s v="Sowela Technical Community College"/>
    <n v="160579"/>
    <x v="9"/>
    <n v="0"/>
    <n v="0"/>
    <n v="0"/>
    <n v="0"/>
    <n v="0"/>
    <n v="0"/>
    <n v="0"/>
    <n v="0"/>
    <n v="0"/>
    <n v="0"/>
    <n v="0"/>
    <n v="0"/>
    <n v="0"/>
    <n v="0"/>
    <n v="0"/>
    <n v="0"/>
    <n v="0"/>
    <n v="0"/>
    <n v="12"/>
    <n v="35041"/>
    <n v="420492"/>
    <n v="24"/>
    <n v="35636"/>
    <n v="855264"/>
    <n v="0"/>
    <n v="0"/>
    <n v="0"/>
    <n v="0"/>
    <n v="0"/>
    <n v="0"/>
    <n v="0"/>
    <n v="0"/>
    <n v="0"/>
    <n v="0"/>
    <n v="0"/>
    <n v="0"/>
    <n v="0"/>
    <n v="0"/>
    <n v="0"/>
    <n v="0"/>
    <n v="0"/>
    <n v="0"/>
    <n v="0"/>
    <n v="0"/>
    <n v="0"/>
    <n v="0"/>
    <n v="0"/>
    <n v="0"/>
    <n v="0"/>
    <n v="0"/>
    <n v="0"/>
    <n v="0"/>
    <n v="0"/>
    <n v="0"/>
    <n v="50"/>
    <n v="54178"/>
    <n v="2216421.98"/>
    <n v="47"/>
    <n v="56009"/>
    <n v="2153848.4986"/>
    <n v="0"/>
    <n v="0"/>
    <n v="0"/>
    <n v="0"/>
    <n v="0"/>
    <n v="0"/>
    <n v="0"/>
    <n v="0"/>
    <n v="0"/>
    <n v="0"/>
    <n v="0"/>
    <n v="0"/>
  </r>
  <r>
    <x v="6"/>
    <s v="L.E. Fletcher Technical Community College"/>
    <n v="160481"/>
    <x v="10"/>
    <n v="0"/>
    <n v="0"/>
    <n v="0"/>
    <n v="0"/>
    <n v="0"/>
    <n v="0"/>
    <n v="0"/>
    <n v="0"/>
    <n v="0"/>
    <n v="0"/>
    <n v="0"/>
    <n v="0"/>
    <n v="0"/>
    <n v="0"/>
    <n v="0"/>
    <n v="0"/>
    <n v="0"/>
    <n v="0"/>
    <n v="20"/>
    <n v="34125"/>
    <n v="682500"/>
    <n v="25"/>
    <n v="34419"/>
    <n v="860475"/>
    <n v="1"/>
    <n v="24947"/>
    <n v="24947"/>
    <n v="1"/>
    <n v="25000"/>
    <n v="25000"/>
    <n v="0"/>
    <n v="0"/>
    <n v="0"/>
    <n v="0"/>
    <n v="0"/>
    <n v="0"/>
    <n v="0"/>
    <n v="0"/>
    <n v="0"/>
    <n v="0"/>
    <n v="0"/>
    <n v="0"/>
    <n v="0"/>
    <n v="0"/>
    <n v="0"/>
    <n v="0"/>
    <n v="0"/>
    <n v="0"/>
    <n v="0"/>
    <n v="0"/>
    <n v="0"/>
    <n v="0"/>
    <n v="0"/>
    <n v="0"/>
    <n v="25"/>
    <n v="51493"/>
    <n v="1053289.3149999999"/>
    <n v="19"/>
    <n v="51899"/>
    <n v="806811.47420000006"/>
    <n v="0"/>
    <n v="0"/>
    <n v="0"/>
    <n v="0"/>
    <n v="0"/>
    <n v="0"/>
    <n v="0"/>
    <n v="0"/>
    <n v="0"/>
    <n v="0"/>
    <n v="0"/>
    <n v="0"/>
  </r>
  <r>
    <x v="6"/>
    <s v="Louisiana Technical College-Acadian Campus"/>
    <n v="160560"/>
    <x v="12"/>
    <m/>
    <m/>
    <n v="0"/>
    <n v="0"/>
    <n v="0"/>
    <n v="0"/>
    <m/>
    <m/>
    <n v="0"/>
    <n v="0"/>
    <n v="0"/>
    <n v="0"/>
    <m/>
    <m/>
    <n v="0"/>
    <n v="0"/>
    <n v="0"/>
    <n v="0"/>
    <m/>
    <m/>
    <n v="0"/>
    <m/>
    <m/>
    <n v="0"/>
    <m/>
    <m/>
    <n v="0"/>
    <n v="0"/>
    <n v="0"/>
    <n v="0"/>
    <m/>
    <m/>
    <n v="0"/>
    <m/>
    <m/>
    <n v="0"/>
    <m/>
    <m/>
    <n v="0"/>
    <n v="0"/>
    <n v="0"/>
    <n v="0"/>
    <m/>
    <m/>
    <n v="0"/>
    <n v="0"/>
    <n v="0"/>
    <n v="0"/>
    <m/>
    <m/>
    <n v="0"/>
    <n v="0"/>
    <n v="0"/>
    <n v="0"/>
    <m/>
    <m/>
    <n v="0"/>
    <m/>
    <m/>
    <n v="0"/>
    <m/>
    <m/>
    <n v="0"/>
    <n v="0"/>
    <n v="0"/>
    <n v="0"/>
    <m/>
    <m/>
    <n v="0"/>
    <m/>
    <m/>
    <n v="0"/>
  </r>
  <r>
    <x v="6"/>
    <s v="Louisiana Technical College-Alexandria Campus"/>
    <n v="158088"/>
    <x v="12"/>
    <m/>
    <m/>
    <n v="0"/>
    <m/>
    <m/>
    <n v="0"/>
    <m/>
    <m/>
    <n v="0"/>
    <m/>
    <m/>
    <n v="0"/>
    <m/>
    <m/>
    <n v="0"/>
    <m/>
    <m/>
    <n v="0"/>
    <m/>
    <m/>
    <n v="0"/>
    <m/>
    <m/>
    <n v="0"/>
    <m/>
    <m/>
    <n v="0"/>
    <m/>
    <m/>
    <n v="0"/>
    <m/>
    <m/>
    <n v="0"/>
    <m/>
    <m/>
    <n v="0"/>
    <m/>
    <m/>
    <n v="0"/>
    <m/>
    <m/>
    <n v="0"/>
    <m/>
    <m/>
    <n v="0"/>
    <m/>
    <m/>
    <n v="0"/>
    <m/>
    <m/>
    <n v="0"/>
    <m/>
    <m/>
    <n v="0"/>
    <m/>
    <m/>
    <n v="0"/>
    <m/>
    <m/>
    <n v="0"/>
    <m/>
    <m/>
    <n v="0"/>
    <m/>
    <m/>
    <n v="0"/>
    <m/>
    <m/>
    <n v="0"/>
    <m/>
    <m/>
    <n v="0"/>
  </r>
  <r>
    <x v="6"/>
    <s v="Louisiana Technical College-All Campuses"/>
    <m/>
    <x v="12"/>
    <n v="0"/>
    <n v="0"/>
    <n v="0"/>
    <m/>
    <m/>
    <n v="0"/>
    <n v="0"/>
    <n v="0"/>
    <n v="0"/>
    <m/>
    <m/>
    <n v="0"/>
    <n v="0"/>
    <n v="0"/>
    <n v="0"/>
    <m/>
    <m/>
    <n v="0"/>
    <m/>
    <m/>
    <m/>
    <m/>
    <m/>
    <m/>
    <n v="0"/>
    <n v="0"/>
    <n v="0"/>
    <m/>
    <m/>
    <n v="0"/>
    <n v="90"/>
    <n v="37235.488888888889"/>
    <n v="3351194"/>
    <n v="77"/>
    <n v="39488.558441558438"/>
    <n v="3040618.9999999995"/>
    <n v="0"/>
    <n v="0"/>
    <n v="0"/>
    <m/>
    <m/>
    <n v="0"/>
    <n v="0"/>
    <n v="0"/>
    <n v="0"/>
    <m/>
    <m/>
    <n v="0"/>
    <n v="0"/>
    <n v="0"/>
    <n v="0"/>
    <m/>
    <m/>
    <n v="0"/>
    <m/>
    <m/>
    <m/>
    <m/>
    <m/>
    <m/>
    <n v="0"/>
    <n v="0"/>
    <n v="0"/>
    <m/>
    <m/>
    <n v="0"/>
    <n v="406"/>
    <n v="39817.072220197042"/>
    <n v="13226801.367169481"/>
    <n v="441"/>
    <n v="41075.443379591838"/>
    <n v="14821096.14797328"/>
  </r>
  <r>
    <x v="6"/>
    <s v="Louisiana Technical College-Ascension Campus"/>
    <n v="158219"/>
    <x v="12"/>
    <m/>
    <m/>
    <n v="0"/>
    <m/>
    <m/>
    <n v="0"/>
    <m/>
    <m/>
    <n v="0"/>
    <m/>
    <m/>
    <n v="0"/>
    <m/>
    <m/>
    <n v="0"/>
    <m/>
    <m/>
    <n v="0"/>
    <m/>
    <m/>
    <n v="0"/>
    <m/>
    <m/>
    <n v="0"/>
    <m/>
    <m/>
    <n v="0"/>
    <m/>
    <m/>
    <n v="0"/>
    <m/>
    <m/>
    <m/>
    <m/>
    <m/>
    <m/>
    <m/>
    <m/>
    <n v="0"/>
    <m/>
    <m/>
    <n v="0"/>
    <m/>
    <m/>
    <n v="0"/>
    <m/>
    <m/>
    <n v="0"/>
    <m/>
    <m/>
    <n v="0"/>
    <m/>
    <m/>
    <n v="0"/>
    <m/>
    <m/>
    <n v="0"/>
    <m/>
    <m/>
    <n v="0"/>
    <m/>
    <m/>
    <n v="0"/>
    <m/>
    <m/>
    <n v="0"/>
    <m/>
    <m/>
    <m/>
    <m/>
    <m/>
    <m/>
  </r>
  <r>
    <x v="6"/>
    <s v="Louisiana Technical College-Avoyelles Campus"/>
    <n v="158237"/>
    <x v="12"/>
    <m/>
    <m/>
    <n v="0"/>
    <m/>
    <m/>
    <n v="0"/>
    <m/>
    <m/>
    <n v="0"/>
    <m/>
    <m/>
    <n v="0"/>
    <m/>
    <m/>
    <n v="0"/>
    <m/>
    <m/>
    <n v="0"/>
    <m/>
    <m/>
    <n v="0"/>
    <m/>
    <m/>
    <n v="0"/>
    <m/>
    <m/>
    <n v="0"/>
    <m/>
    <m/>
    <n v="0"/>
    <m/>
    <m/>
    <m/>
    <m/>
    <m/>
    <m/>
    <m/>
    <m/>
    <n v="0"/>
    <m/>
    <m/>
    <n v="0"/>
    <m/>
    <m/>
    <n v="0"/>
    <m/>
    <m/>
    <n v="0"/>
    <m/>
    <m/>
    <n v="0"/>
    <m/>
    <m/>
    <n v="0"/>
    <m/>
    <m/>
    <n v="0"/>
    <m/>
    <m/>
    <n v="0"/>
    <m/>
    <m/>
    <n v="0"/>
    <m/>
    <m/>
    <n v="0"/>
    <m/>
    <m/>
    <m/>
    <m/>
    <m/>
    <m/>
  </r>
  <r>
    <x v="6"/>
    <s v="Louisiana Technical College-Bastrop Campus"/>
    <n v="158307"/>
    <x v="12"/>
    <m/>
    <m/>
    <n v="0"/>
    <m/>
    <m/>
    <n v="0"/>
    <m/>
    <m/>
    <n v="0"/>
    <m/>
    <m/>
    <n v="0"/>
    <m/>
    <m/>
    <n v="0"/>
    <m/>
    <m/>
    <n v="0"/>
    <m/>
    <m/>
    <n v="0"/>
    <m/>
    <m/>
    <n v="0"/>
    <m/>
    <m/>
    <n v="0"/>
    <m/>
    <m/>
    <n v="0"/>
    <m/>
    <m/>
    <n v="0"/>
    <m/>
    <m/>
    <n v="0"/>
    <m/>
    <m/>
    <n v="0"/>
    <m/>
    <m/>
    <n v="0"/>
    <m/>
    <m/>
    <n v="0"/>
    <m/>
    <m/>
    <n v="0"/>
    <m/>
    <m/>
    <n v="0"/>
    <m/>
    <m/>
    <n v="0"/>
    <m/>
    <m/>
    <n v="0"/>
    <m/>
    <m/>
    <n v="0"/>
    <m/>
    <m/>
    <n v="0"/>
    <m/>
    <m/>
    <n v="0"/>
    <m/>
    <m/>
    <n v="0"/>
    <m/>
    <m/>
    <n v="0"/>
  </r>
  <r>
    <x v="6"/>
    <s v="Louisiana Technical College-Baton Rouge Campus"/>
    <n v="158352"/>
    <x v="12"/>
    <m/>
    <m/>
    <n v="0"/>
    <m/>
    <m/>
    <n v="0"/>
    <m/>
    <m/>
    <n v="0"/>
    <m/>
    <m/>
    <n v="0"/>
    <m/>
    <m/>
    <n v="0"/>
    <m/>
    <m/>
    <n v="0"/>
    <m/>
    <m/>
    <n v="0"/>
    <m/>
    <m/>
    <n v="0"/>
    <m/>
    <m/>
    <n v="0"/>
    <m/>
    <m/>
    <n v="0"/>
    <m/>
    <m/>
    <n v="0"/>
    <m/>
    <m/>
    <n v="0"/>
    <m/>
    <m/>
    <n v="0"/>
    <m/>
    <m/>
    <n v="0"/>
    <m/>
    <m/>
    <n v="0"/>
    <m/>
    <m/>
    <n v="0"/>
    <m/>
    <m/>
    <n v="0"/>
    <m/>
    <m/>
    <n v="0"/>
    <m/>
    <m/>
    <n v="0"/>
    <m/>
    <m/>
    <n v="0"/>
    <m/>
    <m/>
    <n v="0"/>
    <m/>
    <m/>
    <n v="0"/>
    <m/>
    <m/>
    <n v="0"/>
    <m/>
    <m/>
    <n v="0"/>
  </r>
  <r>
    <x v="6"/>
    <s v="Louisiana Technical College-Charles B. Coreil Campus"/>
    <n v="160816"/>
    <x v="12"/>
    <m/>
    <m/>
    <n v="0"/>
    <m/>
    <m/>
    <n v="0"/>
    <m/>
    <m/>
    <n v="0"/>
    <m/>
    <m/>
    <n v="0"/>
    <m/>
    <m/>
    <n v="0"/>
    <m/>
    <m/>
    <n v="0"/>
    <m/>
    <m/>
    <n v="0"/>
    <m/>
    <m/>
    <n v="0"/>
    <m/>
    <m/>
    <n v="0"/>
    <m/>
    <m/>
    <n v="0"/>
    <m/>
    <m/>
    <n v="0"/>
    <m/>
    <m/>
    <n v="0"/>
    <m/>
    <m/>
    <n v="0"/>
    <m/>
    <m/>
    <n v="0"/>
    <m/>
    <m/>
    <n v="0"/>
    <m/>
    <m/>
    <n v="0"/>
    <m/>
    <m/>
    <n v="0"/>
    <m/>
    <m/>
    <n v="0"/>
    <m/>
    <m/>
    <n v="0"/>
    <m/>
    <m/>
    <n v="0"/>
    <m/>
    <m/>
    <n v="0"/>
    <m/>
    <m/>
    <n v="0"/>
    <m/>
    <m/>
    <n v="0"/>
    <m/>
    <m/>
    <n v="0"/>
  </r>
  <r>
    <x v="6"/>
    <s v="Louisiana Technical College-Delta/Ouachita Campus"/>
    <n v="158769"/>
    <x v="12"/>
    <m/>
    <m/>
    <n v="0"/>
    <m/>
    <m/>
    <n v="0"/>
    <m/>
    <m/>
    <n v="0"/>
    <m/>
    <m/>
    <n v="0"/>
    <m/>
    <m/>
    <n v="0"/>
    <m/>
    <m/>
    <n v="0"/>
    <m/>
    <m/>
    <n v="0"/>
    <m/>
    <m/>
    <n v="0"/>
    <m/>
    <m/>
    <n v="0"/>
    <m/>
    <m/>
    <n v="0"/>
    <m/>
    <m/>
    <n v="0"/>
    <m/>
    <m/>
    <n v="0"/>
    <m/>
    <m/>
    <n v="0"/>
    <m/>
    <m/>
    <n v="0"/>
    <m/>
    <m/>
    <n v="0"/>
    <m/>
    <m/>
    <n v="0"/>
    <m/>
    <m/>
    <n v="0"/>
    <m/>
    <m/>
    <n v="0"/>
    <m/>
    <m/>
    <n v="0"/>
    <m/>
    <m/>
    <n v="0"/>
    <m/>
    <m/>
    <n v="0"/>
    <m/>
    <m/>
    <n v="0"/>
    <m/>
    <m/>
    <n v="0"/>
    <m/>
    <m/>
    <n v="0"/>
  </r>
  <r>
    <x v="6"/>
    <s v="Louisiana Technical College-Evangeline Campus"/>
    <n v="158893"/>
    <x v="12"/>
    <m/>
    <m/>
    <n v="0"/>
    <m/>
    <m/>
    <n v="0"/>
    <m/>
    <m/>
    <n v="0"/>
    <m/>
    <m/>
    <n v="0"/>
    <m/>
    <m/>
    <n v="0"/>
    <m/>
    <m/>
    <n v="0"/>
    <m/>
    <m/>
    <n v="0"/>
    <m/>
    <m/>
    <n v="0"/>
    <m/>
    <m/>
    <n v="0"/>
    <m/>
    <m/>
    <n v="0"/>
    <m/>
    <m/>
    <n v="0"/>
    <m/>
    <m/>
    <n v="0"/>
    <m/>
    <m/>
    <n v="0"/>
    <m/>
    <m/>
    <n v="0"/>
    <m/>
    <m/>
    <n v="0"/>
    <m/>
    <m/>
    <n v="0"/>
    <m/>
    <m/>
    <n v="0"/>
    <m/>
    <m/>
    <n v="0"/>
    <m/>
    <m/>
    <n v="0"/>
    <m/>
    <m/>
    <n v="0"/>
    <m/>
    <m/>
    <n v="0"/>
    <m/>
    <m/>
    <n v="0"/>
    <m/>
    <m/>
    <n v="0"/>
    <m/>
    <m/>
    <n v="0"/>
  </r>
  <r>
    <x v="6"/>
    <s v="Louisiana Technical College-Florida Parishes Campus"/>
    <n v="158936"/>
    <x v="12"/>
    <m/>
    <m/>
    <n v="0"/>
    <m/>
    <m/>
    <n v="0"/>
    <m/>
    <m/>
    <n v="0"/>
    <m/>
    <m/>
    <n v="0"/>
    <m/>
    <m/>
    <n v="0"/>
    <m/>
    <m/>
    <n v="0"/>
    <m/>
    <m/>
    <n v="0"/>
    <m/>
    <m/>
    <n v="0"/>
    <m/>
    <m/>
    <n v="0"/>
    <m/>
    <m/>
    <n v="0"/>
    <m/>
    <m/>
    <n v="0"/>
    <m/>
    <m/>
    <n v="0"/>
    <m/>
    <m/>
    <n v="0"/>
    <m/>
    <m/>
    <n v="0"/>
    <m/>
    <m/>
    <n v="0"/>
    <m/>
    <m/>
    <n v="0"/>
    <m/>
    <m/>
    <n v="0"/>
    <m/>
    <m/>
    <n v="0"/>
    <m/>
    <m/>
    <n v="0"/>
    <m/>
    <m/>
    <n v="0"/>
    <m/>
    <m/>
    <n v="0"/>
    <m/>
    <m/>
    <n v="0"/>
    <m/>
    <m/>
    <n v="0"/>
    <m/>
    <m/>
    <n v="0"/>
  </r>
  <r>
    <x v="6"/>
    <s v="Louisiana Technical College-Folkes Campus"/>
    <n v="158945"/>
    <x v="12"/>
    <m/>
    <m/>
    <n v="0"/>
    <m/>
    <m/>
    <n v="0"/>
    <m/>
    <m/>
    <n v="0"/>
    <m/>
    <m/>
    <n v="0"/>
    <m/>
    <m/>
    <n v="0"/>
    <m/>
    <m/>
    <n v="0"/>
    <m/>
    <m/>
    <n v="0"/>
    <m/>
    <m/>
    <n v="0"/>
    <m/>
    <m/>
    <n v="0"/>
    <m/>
    <m/>
    <n v="0"/>
    <m/>
    <m/>
    <n v="0"/>
    <m/>
    <m/>
    <n v="0"/>
    <m/>
    <m/>
    <n v="0"/>
    <m/>
    <m/>
    <n v="0"/>
    <m/>
    <m/>
    <n v="0"/>
    <m/>
    <m/>
    <n v="0"/>
    <m/>
    <m/>
    <n v="0"/>
    <m/>
    <m/>
    <n v="0"/>
    <m/>
    <m/>
    <n v="0"/>
    <m/>
    <m/>
    <n v="0"/>
    <m/>
    <m/>
    <n v="0"/>
    <m/>
    <m/>
    <n v="0"/>
    <m/>
    <m/>
    <n v="0"/>
    <m/>
    <m/>
    <n v="0"/>
  </r>
  <r>
    <x v="6"/>
    <s v="Louisiana Technical College-Gulf Area Campus"/>
    <n v="159018"/>
    <x v="12"/>
    <m/>
    <m/>
    <n v="0"/>
    <m/>
    <m/>
    <n v="0"/>
    <m/>
    <m/>
    <n v="0"/>
    <m/>
    <m/>
    <n v="0"/>
    <m/>
    <m/>
    <n v="0"/>
    <m/>
    <m/>
    <n v="0"/>
    <m/>
    <m/>
    <n v="0"/>
    <m/>
    <m/>
    <n v="0"/>
    <m/>
    <m/>
    <n v="0"/>
    <m/>
    <m/>
    <n v="0"/>
    <m/>
    <m/>
    <n v="0"/>
    <m/>
    <m/>
    <n v="0"/>
    <m/>
    <m/>
    <n v="0"/>
    <m/>
    <m/>
    <n v="0"/>
    <m/>
    <m/>
    <n v="0"/>
    <m/>
    <m/>
    <n v="0"/>
    <m/>
    <m/>
    <n v="0"/>
    <m/>
    <m/>
    <n v="0"/>
    <m/>
    <m/>
    <n v="0"/>
    <m/>
    <m/>
    <n v="0"/>
    <m/>
    <m/>
    <n v="0"/>
    <m/>
    <m/>
    <n v="0"/>
    <m/>
    <m/>
    <n v="0"/>
    <m/>
    <m/>
    <n v="0"/>
  </r>
  <r>
    <x v="6"/>
    <s v="Louisiana Technical College-Hammond Area Campus"/>
    <n v="159045"/>
    <x v="12"/>
    <m/>
    <m/>
    <n v="0"/>
    <m/>
    <m/>
    <n v="0"/>
    <m/>
    <m/>
    <n v="0"/>
    <m/>
    <m/>
    <n v="0"/>
    <m/>
    <m/>
    <n v="0"/>
    <m/>
    <m/>
    <n v="0"/>
    <m/>
    <m/>
    <n v="0"/>
    <m/>
    <m/>
    <n v="0"/>
    <m/>
    <m/>
    <n v="0"/>
    <m/>
    <m/>
    <n v="0"/>
    <m/>
    <m/>
    <n v="0"/>
    <m/>
    <m/>
    <n v="0"/>
    <m/>
    <m/>
    <n v="0"/>
    <m/>
    <m/>
    <n v="0"/>
    <m/>
    <m/>
    <n v="0"/>
    <m/>
    <m/>
    <n v="0"/>
    <m/>
    <m/>
    <n v="0"/>
    <m/>
    <m/>
    <n v="0"/>
    <m/>
    <m/>
    <n v="0"/>
    <m/>
    <m/>
    <n v="0"/>
    <m/>
    <m/>
    <n v="0"/>
    <m/>
    <m/>
    <n v="0"/>
    <m/>
    <m/>
    <n v="0"/>
    <m/>
    <m/>
    <n v="0"/>
  </r>
  <r>
    <x v="6"/>
    <s v="Louisiana Technical College-Huey P. Long Campus"/>
    <n v="159090"/>
    <x v="12"/>
    <m/>
    <m/>
    <n v="0"/>
    <m/>
    <m/>
    <n v="0"/>
    <m/>
    <m/>
    <n v="0"/>
    <m/>
    <m/>
    <n v="0"/>
    <m/>
    <m/>
    <n v="0"/>
    <m/>
    <m/>
    <n v="0"/>
    <m/>
    <m/>
    <n v="0"/>
    <m/>
    <m/>
    <n v="0"/>
    <m/>
    <m/>
    <n v="0"/>
    <m/>
    <m/>
    <n v="0"/>
    <m/>
    <m/>
    <n v="0"/>
    <m/>
    <m/>
    <n v="0"/>
    <m/>
    <m/>
    <n v="0"/>
    <m/>
    <m/>
    <n v="0"/>
    <m/>
    <m/>
    <n v="0"/>
    <m/>
    <m/>
    <n v="0"/>
    <m/>
    <m/>
    <n v="0"/>
    <m/>
    <m/>
    <n v="0"/>
    <m/>
    <m/>
    <n v="0"/>
    <m/>
    <m/>
    <n v="0"/>
    <m/>
    <m/>
    <n v="0"/>
    <m/>
    <m/>
    <n v="0"/>
    <m/>
    <m/>
    <n v="0"/>
    <m/>
    <m/>
    <n v="0"/>
  </r>
  <r>
    <x v="6"/>
    <s v="Louisiana Technical College-Jefferson Campus"/>
    <n v="159258"/>
    <x v="12"/>
    <m/>
    <m/>
    <n v="0"/>
    <m/>
    <m/>
    <n v="0"/>
    <m/>
    <m/>
    <n v="0"/>
    <m/>
    <m/>
    <n v="0"/>
    <m/>
    <m/>
    <n v="0"/>
    <m/>
    <m/>
    <n v="0"/>
    <m/>
    <m/>
    <n v="0"/>
    <m/>
    <m/>
    <n v="0"/>
    <m/>
    <m/>
    <n v="0"/>
    <m/>
    <m/>
    <n v="0"/>
    <m/>
    <m/>
    <n v="0"/>
    <m/>
    <m/>
    <n v="0"/>
    <m/>
    <m/>
    <n v="0"/>
    <m/>
    <m/>
    <n v="0"/>
    <m/>
    <m/>
    <n v="0"/>
    <m/>
    <m/>
    <n v="0"/>
    <m/>
    <m/>
    <n v="0"/>
    <m/>
    <m/>
    <n v="0"/>
    <m/>
    <m/>
    <n v="0"/>
    <m/>
    <m/>
    <n v="0"/>
    <m/>
    <m/>
    <n v="0"/>
    <m/>
    <m/>
    <n v="0"/>
    <m/>
    <m/>
    <n v="0"/>
    <m/>
    <m/>
    <n v="0"/>
  </r>
  <r>
    <x v="6"/>
    <s v="Louisiana Technical College-Jumonville Memorial Campus"/>
    <n v="160214"/>
    <x v="12"/>
    <m/>
    <m/>
    <n v="0"/>
    <m/>
    <m/>
    <n v="0"/>
    <m/>
    <m/>
    <n v="0"/>
    <m/>
    <m/>
    <n v="0"/>
    <m/>
    <m/>
    <n v="0"/>
    <m/>
    <m/>
    <n v="0"/>
    <m/>
    <m/>
    <n v="0"/>
    <m/>
    <m/>
    <n v="0"/>
    <m/>
    <m/>
    <n v="0"/>
    <m/>
    <m/>
    <n v="0"/>
    <m/>
    <m/>
    <n v="0"/>
    <m/>
    <m/>
    <n v="0"/>
    <m/>
    <m/>
    <n v="0"/>
    <m/>
    <m/>
    <n v="0"/>
    <m/>
    <m/>
    <n v="0"/>
    <m/>
    <m/>
    <n v="0"/>
    <m/>
    <m/>
    <n v="0"/>
    <m/>
    <m/>
    <n v="0"/>
    <m/>
    <m/>
    <n v="0"/>
    <m/>
    <m/>
    <n v="0"/>
    <m/>
    <m/>
    <n v="0"/>
    <m/>
    <m/>
    <n v="0"/>
    <m/>
    <m/>
    <n v="0"/>
    <m/>
    <m/>
    <n v="0"/>
  </r>
  <r>
    <x v="6"/>
    <s v="Louisiana Technical College-Lafayette Campus"/>
    <n v="159443"/>
    <x v="12"/>
    <m/>
    <m/>
    <n v="0"/>
    <m/>
    <m/>
    <n v="0"/>
    <m/>
    <m/>
    <n v="0"/>
    <m/>
    <m/>
    <n v="0"/>
    <m/>
    <m/>
    <n v="0"/>
    <m/>
    <m/>
    <n v="0"/>
    <m/>
    <m/>
    <n v="0"/>
    <m/>
    <m/>
    <n v="0"/>
    <m/>
    <m/>
    <n v="0"/>
    <m/>
    <m/>
    <n v="0"/>
    <m/>
    <m/>
    <n v="0"/>
    <m/>
    <m/>
    <n v="0"/>
    <m/>
    <m/>
    <n v="0"/>
    <m/>
    <m/>
    <n v="0"/>
    <m/>
    <m/>
    <n v="0"/>
    <m/>
    <m/>
    <n v="0"/>
    <m/>
    <m/>
    <n v="0"/>
    <m/>
    <m/>
    <n v="0"/>
    <m/>
    <m/>
    <n v="0"/>
    <m/>
    <m/>
    <n v="0"/>
    <m/>
    <m/>
    <n v="0"/>
    <m/>
    <m/>
    <n v="0"/>
    <m/>
    <m/>
    <n v="0"/>
    <m/>
    <m/>
    <n v="0"/>
  </r>
  <r>
    <x v="6"/>
    <s v="Louisiana Technical College-Lafourche Campus"/>
    <n v="160719"/>
    <x v="12"/>
    <m/>
    <m/>
    <n v="0"/>
    <m/>
    <m/>
    <n v="0"/>
    <m/>
    <m/>
    <n v="0"/>
    <m/>
    <m/>
    <n v="0"/>
    <m/>
    <m/>
    <n v="0"/>
    <m/>
    <m/>
    <n v="0"/>
    <m/>
    <m/>
    <n v="0"/>
    <m/>
    <m/>
    <n v="0"/>
    <m/>
    <m/>
    <n v="0"/>
    <m/>
    <m/>
    <n v="0"/>
    <m/>
    <m/>
    <n v="0"/>
    <m/>
    <m/>
    <n v="0"/>
    <m/>
    <m/>
    <n v="0"/>
    <m/>
    <m/>
    <n v="0"/>
    <m/>
    <m/>
    <n v="0"/>
    <m/>
    <m/>
    <n v="0"/>
    <m/>
    <m/>
    <n v="0"/>
    <m/>
    <m/>
    <n v="0"/>
    <m/>
    <m/>
    <n v="0"/>
    <m/>
    <m/>
    <n v="0"/>
    <m/>
    <m/>
    <n v="0"/>
    <m/>
    <m/>
    <n v="0"/>
    <m/>
    <m/>
    <n v="0"/>
    <m/>
    <m/>
    <n v="0"/>
  </r>
  <r>
    <x v="6"/>
    <s v="Louisiana Technical College-Lamar Salter Campus"/>
    <n v="160843"/>
    <x v="12"/>
    <m/>
    <m/>
    <n v="0"/>
    <m/>
    <m/>
    <n v="0"/>
    <m/>
    <m/>
    <n v="0"/>
    <m/>
    <m/>
    <n v="0"/>
    <m/>
    <m/>
    <n v="0"/>
    <m/>
    <m/>
    <n v="0"/>
    <m/>
    <m/>
    <n v="0"/>
    <m/>
    <m/>
    <n v="0"/>
    <m/>
    <m/>
    <n v="0"/>
    <m/>
    <m/>
    <n v="0"/>
    <m/>
    <m/>
    <n v="0"/>
    <m/>
    <m/>
    <n v="0"/>
    <m/>
    <m/>
    <n v="0"/>
    <m/>
    <m/>
    <n v="0"/>
    <m/>
    <m/>
    <n v="0"/>
    <m/>
    <m/>
    <n v="0"/>
    <m/>
    <m/>
    <n v="0"/>
    <m/>
    <m/>
    <n v="0"/>
    <m/>
    <m/>
    <n v="0"/>
    <m/>
    <m/>
    <n v="0"/>
    <m/>
    <m/>
    <n v="0"/>
    <m/>
    <m/>
    <n v="0"/>
    <m/>
    <m/>
    <n v="0"/>
    <m/>
    <m/>
    <n v="0"/>
  </r>
  <r>
    <x v="6"/>
    <s v="Louisiana Technical College-Mansfield Campus"/>
    <n v="159692"/>
    <x v="12"/>
    <m/>
    <m/>
    <n v="0"/>
    <m/>
    <m/>
    <n v="0"/>
    <m/>
    <m/>
    <n v="0"/>
    <m/>
    <m/>
    <n v="0"/>
    <m/>
    <m/>
    <n v="0"/>
    <m/>
    <m/>
    <n v="0"/>
    <m/>
    <m/>
    <n v="0"/>
    <m/>
    <m/>
    <n v="0"/>
    <m/>
    <m/>
    <n v="0"/>
    <m/>
    <m/>
    <n v="0"/>
    <m/>
    <m/>
    <n v="0"/>
    <m/>
    <m/>
    <n v="0"/>
    <m/>
    <m/>
    <n v="0"/>
    <m/>
    <m/>
    <n v="0"/>
    <m/>
    <m/>
    <n v="0"/>
    <m/>
    <m/>
    <n v="0"/>
    <m/>
    <m/>
    <n v="0"/>
    <m/>
    <m/>
    <n v="0"/>
    <m/>
    <m/>
    <n v="0"/>
    <m/>
    <m/>
    <n v="0"/>
    <m/>
    <m/>
    <n v="0"/>
    <m/>
    <m/>
    <n v="0"/>
    <m/>
    <m/>
    <n v="0"/>
    <m/>
    <m/>
    <n v="0"/>
  </r>
  <r>
    <x v="6"/>
    <s v="Louisiana Technical College-Morgan Smith Campus"/>
    <n v="159249"/>
    <x v="12"/>
    <m/>
    <m/>
    <n v="0"/>
    <m/>
    <m/>
    <n v="0"/>
    <m/>
    <m/>
    <n v="0"/>
    <m/>
    <m/>
    <n v="0"/>
    <m/>
    <m/>
    <n v="0"/>
    <m/>
    <m/>
    <n v="0"/>
    <m/>
    <m/>
    <n v="0"/>
    <m/>
    <m/>
    <n v="0"/>
    <m/>
    <m/>
    <n v="0"/>
    <m/>
    <m/>
    <n v="0"/>
    <m/>
    <m/>
    <n v="0"/>
    <m/>
    <m/>
    <n v="0"/>
    <m/>
    <m/>
    <n v="0"/>
    <m/>
    <m/>
    <n v="0"/>
    <m/>
    <m/>
    <n v="0"/>
    <m/>
    <m/>
    <n v="0"/>
    <m/>
    <m/>
    <n v="0"/>
    <m/>
    <m/>
    <n v="0"/>
    <m/>
    <m/>
    <n v="0"/>
    <m/>
    <m/>
    <n v="0"/>
    <m/>
    <m/>
    <n v="0"/>
    <m/>
    <m/>
    <n v="0"/>
    <m/>
    <m/>
    <n v="0"/>
    <m/>
    <m/>
    <n v="0"/>
  </r>
  <r>
    <x v="6"/>
    <s v="Louisiana Technical College-Nachitoches Campus"/>
    <n v="159823"/>
    <x v="12"/>
    <m/>
    <m/>
    <n v="0"/>
    <m/>
    <m/>
    <n v="0"/>
    <m/>
    <m/>
    <n v="0"/>
    <m/>
    <m/>
    <n v="0"/>
    <m/>
    <m/>
    <n v="0"/>
    <m/>
    <m/>
    <n v="0"/>
    <m/>
    <m/>
    <n v="0"/>
    <m/>
    <m/>
    <n v="0"/>
    <m/>
    <m/>
    <n v="0"/>
    <m/>
    <m/>
    <n v="0"/>
    <m/>
    <m/>
    <n v="0"/>
    <m/>
    <m/>
    <n v="0"/>
    <m/>
    <m/>
    <n v="0"/>
    <m/>
    <m/>
    <n v="0"/>
    <m/>
    <m/>
    <n v="0"/>
    <m/>
    <m/>
    <n v="0"/>
    <m/>
    <m/>
    <n v="0"/>
    <m/>
    <m/>
    <n v="0"/>
    <m/>
    <m/>
    <n v="0"/>
    <m/>
    <m/>
    <n v="0"/>
    <m/>
    <m/>
    <n v="0"/>
    <m/>
    <m/>
    <n v="0"/>
    <m/>
    <m/>
    <n v="0"/>
    <m/>
    <m/>
    <n v="0"/>
  </r>
  <r>
    <x v="6"/>
    <s v="Louisiana Technical College-North Central Campus"/>
    <n v="159984"/>
    <x v="12"/>
    <m/>
    <m/>
    <n v="0"/>
    <m/>
    <m/>
    <n v="0"/>
    <m/>
    <m/>
    <n v="0"/>
    <m/>
    <m/>
    <n v="0"/>
    <m/>
    <m/>
    <n v="0"/>
    <m/>
    <m/>
    <n v="0"/>
    <m/>
    <m/>
    <n v="0"/>
    <m/>
    <m/>
    <n v="0"/>
    <m/>
    <m/>
    <n v="0"/>
    <m/>
    <m/>
    <n v="0"/>
    <m/>
    <m/>
    <n v="0"/>
    <m/>
    <m/>
    <n v="0"/>
    <m/>
    <m/>
    <n v="0"/>
    <m/>
    <m/>
    <n v="0"/>
    <m/>
    <m/>
    <n v="0"/>
    <m/>
    <m/>
    <n v="0"/>
    <m/>
    <m/>
    <n v="0"/>
    <m/>
    <m/>
    <n v="0"/>
    <m/>
    <m/>
    <n v="0"/>
    <m/>
    <m/>
    <n v="0"/>
    <m/>
    <m/>
    <n v="0"/>
    <m/>
    <m/>
    <n v="0"/>
    <m/>
    <m/>
    <n v="0"/>
    <m/>
    <m/>
    <n v="0"/>
  </r>
  <r>
    <x v="6"/>
    <s v="Louisiana Technical College-Northeast Louisiana Campus"/>
    <n v="160001"/>
    <x v="12"/>
    <m/>
    <m/>
    <n v="0"/>
    <m/>
    <m/>
    <n v="0"/>
    <m/>
    <m/>
    <n v="0"/>
    <m/>
    <m/>
    <n v="0"/>
    <m/>
    <m/>
    <n v="0"/>
    <m/>
    <m/>
    <n v="0"/>
    <m/>
    <m/>
    <n v="0"/>
    <m/>
    <m/>
    <n v="0"/>
    <m/>
    <m/>
    <n v="0"/>
    <m/>
    <m/>
    <n v="0"/>
    <m/>
    <m/>
    <n v="0"/>
    <m/>
    <m/>
    <n v="0"/>
    <m/>
    <m/>
    <n v="0"/>
    <m/>
    <m/>
    <n v="0"/>
    <m/>
    <m/>
    <n v="0"/>
    <m/>
    <m/>
    <n v="0"/>
    <m/>
    <m/>
    <n v="0"/>
    <m/>
    <m/>
    <n v="0"/>
    <m/>
    <m/>
    <n v="0"/>
    <m/>
    <m/>
    <n v="0"/>
    <m/>
    <m/>
    <n v="0"/>
    <m/>
    <m/>
    <n v="0"/>
    <m/>
    <m/>
    <n v="0"/>
    <m/>
    <m/>
    <n v="0"/>
  </r>
  <r>
    <x v="6"/>
    <s v="Louisiana Technical College-Northwest Louisiana Campus"/>
    <n v="160010"/>
    <x v="12"/>
    <m/>
    <m/>
    <n v="0"/>
    <m/>
    <m/>
    <n v="0"/>
    <m/>
    <m/>
    <n v="0"/>
    <m/>
    <m/>
    <n v="0"/>
    <m/>
    <m/>
    <n v="0"/>
    <m/>
    <m/>
    <n v="0"/>
    <m/>
    <m/>
    <n v="0"/>
    <m/>
    <m/>
    <n v="0"/>
    <m/>
    <m/>
    <n v="0"/>
    <m/>
    <m/>
    <n v="0"/>
    <m/>
    <m/>
    <n v="0"/>
    <m/>
    <m/>
    <n v="0"/>
    <m/>
    <m/>
    <n v="0"/>
    <m/>
    <m/>
    <n v="0"/>
    <m/>
    <m/>
    <n v="0"/>
    <m/>
    <m/>
    <n v="0"/>
    <m/>
    <m/>
    <n v="0"/>
    <m/>
    <m/>
    <n v="0"/>
    <m/>
    <m/>
    <n v="0"/>
    <m/>
    <m/>
    <n v="0"/>
    <m/>
    <m/>
    <n v="0"/>
    <m/>
    <m/>
    <n v="0"/>
    <m/>
    <m/>
    <n v="0"/>
    <m/>
    <m/>
    <n v="0"/>
  </r>
  <r>
    <x v="6"/>
    <s v="Louisiana Technical College-Oakdale Campus"/>
    <n v="160047"/>
    <x v="12"/>
    <m/>
    <m/>
    <n v="0"/>
    <m/>
    <m/>
    <n v="0"/>
    <m/>
    <m/>
    <n v="0"/>
    <m/>
    <m/>
    <n v="0"/>
    <m/>
    <m/>
    <n v="0"/>
    <m/>
    <m/>
    <n v="0"/>
    <m/>
    <m/>
    <n v="0"/>
    <m/>
    <m/>
    <n v="0"/>
    <m/>
    <m/>
    <n v="0"/>
    <m/>
    <m/>
    <n v="0"/>
    <m/>
    <m/>
    <n v="0"/>
    <m/>
    <m/>
    <n v="0"/>
    <m/>
    <m/>
    <n v="0"/>
    <m/>
    <m/>
    <n v="0"/>
    <m/>
    <m/>
    <n v="0"/>
    <m/>
    <m/>
    <n v="0"/>
    <m/>
    <m/>
    <n v="0"/>
    <m/>
    <m/>
    <n v="0"/>
    <m/>
    <m/>
    <n v="0"/>
    <m/>
    <m/>
    <n v="0"/>
    <m/>
    <m/>
    <n v="0"/>
    <m/>
    <m/>
    <n v="0"/>
    <m/>
    <m/>
    <n v="0"/>
    <m/>
    <m/>
    <n v="0"/>
  </r>
  <r>
    <x v="6"/>
    <s v="Louisiana Technical College-River Parishes Campus"/>
    <n v="160311"/>
    <x v="12"/>
    <m/>
    <m/>
    <n v="0"/>
    <m/>
    <m/>
    <n v="0"/>
    <m/>
    <m/>
    <n v="0"/>
    <m/>
    <m/>
    <n v="0"/>
    <m/>
    <m/>
    <n v="0"/>
    <m/>
    <m/>
    <n v="0"/>
    <m/>
    <m/>
    <n v="0"/>
    <m/>
    <m/>
    <n v="0"/>
    <m/>
    <m/>
    <n v="0"/>
    <m/>
    <m/>
    <n v="0"/>
    <m/>
    <m/>
    <n v="0"/>
    <m/>
    <m/>
    <n v="0"/>
    <m/>
    <m/>
    <n v="0"/>
    <m/>
    <m/>
    <n v="0"/>
    <m/>
    <m/>
    <n v="0"/>
    <m/>
    <m/>
    <n v="0"/>
    <m/>
    <m/>
    <n v="0"/>
    <m/>
    <m/>
    <n v="0"/>
    <m/>
    <m/>
    <n v="0"/>
    <m/>
    <m/>
    <n v="0"/>
    <m/>
    <m/>
    <n v="0"/>
    <m/>
    <m/>
    <n v="0"/>
    <m/>
    <m/>
    <n v="0"/>
    <m/>
    <m/>
    <n v="0"/>
  </r>
  <r>
    <x v="6"/>
    <s v="Louisiana Technical College-Ruston Campus"/>
    <n v="160366"/>
    <x v="12"/>
    <m/>
    <m/>
    <n v="0"/>
    <m/>
    <m/>
    <n v="0"/>
    <m/>
    <m/>
    <n v="0"/>
    <m/>
    <m/>
    <n v="0"/>
    <m/>
    <m/>
    <n v="0"/>
    <m/>
    <m/>
    <n v="0"/>
    <m/>
    <m/>
    <n v="0"/>
    <m/>
    <m/>
    <n v="0"/>
    <m/>
    <m/>
    <n v="0"/>
    <m/>
    <m/>
    <n v="0"/>
    <m/>
    <m/>
    <n v="0"/>
    <m/>
    <m/>
    <n v="0"/>
    <m/>
    <m/>
    <n v="0"/>
    <m/>
    <m/>
    <n v="0"/>
    <m/>
    <m/>
    <n v="0"/>
    <m/>
    <m/>
    <n v="0"/>
    <m/>
    <m/>
    <n v="0"/>
    <m/>
    <m/>
    <n v="0"/>
    <m/>
    <m/>
    <n v="0"/>
    <m/>
    <m/>
    <n v="0"/>
    <m/>
    <m/>
    <n v="0"/>
    <m/>
    <m/>
    <n v="0"/>
    <m/>
    <m/>
    <n v="0"/>
    <m/>
    <m/>
    <n v="0"/>
  </r>
  <r>
    <x v="6"/>
    <s v="Louisiana Technical College-Sabine Valley Campus"/>
    <n v="160384"/>
    <x v="12"/>
    <m/>
    <m/>
    <n v="0"/>
    <m/>
    <m/>
    <n v="0"/>
    <m/>
    <m/>
    <n v="0"/>
    <m/>
    <m/>
    <n v="0"/>
    <m/>
    <m/>
    <n v="0"/>
    <m/>
    <m/>
    <n v="0"/>
    <m/>
    <m/>
    <n v="0"/>
    <m/>
    <m/>
    <n v="0"/>
    <m/>
    <m/>
    <n v="0"/>
    <m/>
    <m/>
    <n v="0"/>
    <m/>
    <m/>
    <n v="0"/>
    <m/>
    <m/>
    <n v="0"/>
    <m/>
    <m/>
    <n v="0"/>
    <m/>
    <m/>
    <n v="0"/>
    <m/>
    <m/>
    <n v="0"/>
    <m/>
    <m/>
    <n v="0"/>
    <m/>
    <m/>
    <n v="0"/>
    <m/>
    <m/>
    <n v="0"/>
    <m/>
    <m/>
    <n v="0"/>
    <m/>
    <m/>
    <n v="0"/>
    <m/>
    <m/>
    <n v="0"/>
    <m/>
    <m/>
    <n v="0"/>
    <m/>
    <m/>
    <n v="0"/>
    <m/>
    <m/>
    <n v="0"/>
  </r>
  <r>
    <x v="6"/>
    <s v="Louisiana Technical College-Shelby M. Jackson Campus"/>
    <n v="158583"/>
    <x v="12"/>
    <m/>
    <m/>
    <n v="0"/>
    <m/>
    <m/>
    <n v="0"/>
    <m/>
    <m/>
    <n v="0"/>
    <m/>
    <m/>
    <n v="0"/>
    <m/>
    <m/>
    <n v="0"/>
    <m/>
    <m/>
    <n v="0"/>
    <m/>
    <m/>
    <n v="0"/>
    <m/>
    <m/>
    <n v="0"/>
    <m/>
    <m/>
    <n v="0"/>
    <m/>
    <m/>
    <n v="0"/>
    <m/>
    <m/>
    <n v="0"/>
    <m/>
    <m/>
    <n v="0"/>
    <m/>
    <m/>
    <n v="0"/>
    <m/>
    <m/>
    <n v="0"/>
    <m/>
    <m/>
    <n v="0"/>
    <m/>
    <m/>
    <n v="0"/>
    <m/>
    <m/>
    <n v="0"/>
    <m/>
    <m/>
    <n v="0"/>
    <m/>
    <m/>
    <n v="0"/>
    <m/>
    <m/>
    <n v="0"/>
    <m/>
    <m/>
    <n v="0"/>
    <m/>
    <m/>
    <n v="0"/>
    <m/>
    <m/>
    <n v="0"/>
    <m/>
    <m/>
    <n v="0"/>
  </r>
  <r>
    <x v="6"/>
    <s v="Louisiana Technical College-Shreveport/Bossier Campus"/>
    <n v="160427"/>
    <x v="12"/>
    <m/>
    <m/>
    <n v="0"/>
    <m/>
    <m/>
    <n v="0"/>
    <m/>
    <m/>
    <n v="0"/>
    <m/>
    <m/>
    <n v="0"/>
    <m/>
    <m/>
    <n v="0"/>
    <m/>
    <m/>
    <n v="0"/>
    <m/>
    <m/>
    <n v="0"/>
    <m/>
    <m/>
    <n v="0"/>
    <m/>
    <m/>
    <n v="0"/>
    <m/>
    <m/>
    <n v="0"/>
    <m/>
    <m/>
    <n v="0"/>
    <m/>
    <m/>
    <n v="0"/>
    <m/>
    <m/>
    <n v="0"/>
    <m/>
    <m/>
    <n v="0"/>
    <m/>
    <m/>
    <n v="0"/>
    <m/>
    <m/>
    <n v="0"/>
    <m/>
    <m/>
    <n v="0"/>
    <m/>
    <m/>
    <n v="0"/>
    <m/>
    <m/>
    <n v="0"/>
    <m/>
    <m/>
    <n v="0"/>
    <m/>
    <m/>
    <n v="0"/>
    <m/>
    <m/>
    <n v="0"/>
    <m/>
    <m/>
    <n v="0"/>
    <m/>
    <m/>
    <n v="0"/>
  </r>
  <r>
    <x v="6"/>
    <s v="Louisiana Technical College-Sidney N. Collier Campus"/>
    <n v="160436"/>
    <x v="12"/>
    <m/>
    <m/>
    <n v="0"/>
    <m/>
    <m/>
    <n v="0"/>
    <m/>
    <m/>
    <n v="0"/>
    <m/>
    <m/>
    <n v="0"/>
    <m/>
    <m/>
    <n v="0"/>
    <m/>
    <m/>
    <n v="0"/>
    <m/>
    <m/>
    <n v="0"/>
    <m/>
    <m/>
    <n v="0"/>
    <m/>
    <m/>
    <n v="0"/>
    <m/>
    <m/>
    <n v="0"/>
    <m/>
    <m/>
    <n v="0"/>
    <m/>
    <m/>
    <n v="0"/>
    <m/>
    <m/>
    <n v="0"/>
    <m/>
    <m/>
    <n v="0"/>
    <m/>
    <m/>
    <n v="0"/>
    <m/>
    <m/>
    <n v="0"/>
    <m/>
    <m/>
    <n v="0"/>
    <m/>
    <m/>
    <n v="0"/>
    <m/>
    <m/>
    <n v="0"/>
    <m/>
    <m/>
    <n v="0"/>
    <m/>
    <m/>
    <n v="0"/>
    <m/>
    <m/>
    <n v="0"/>
    <m/>
    <m/>
    <n v="0"/>
    <m/>
    <m/>
    <n v="0"/>
  </r>
  <r>
    <x v="6"/>
    <s v="Louisiana Technical College-Slidell Campus"/>
    <n v="160454"/>
    <x v="12"/>
    <m/>
    <m/>
    <n v="0"/>
    <m/>
    <m/>
    <n v="0"/>
    <m/>
    <m/>
    <n v="0"/>
    <m/>
    <m/>
    <n v="0"/>
    <m/>
    <m/>
    <n v="0"/>
    <m/>
    <m/>
    <n v="0"/>
    <m/>
    <m/>
    <n v="0"/>
    <m/>
    <m/>
    <n v="0"/>
    <m/>
    <m/>
    <n v="0"/>
    <m/>
    <m/>
    <n v="0"/>
    <m/>
    <m/>
    <n v="0"/>
    <m/>
    <m/>
    <n v="0"/>
    <m/>
    <m/>
    <n v="0"/>
    <m/>
    <m/>
    <n v="0"/>
    <m/>
    <m/>
    <n v="0"/>
    <m/>
    <m/>
    <n v="0"/>
    <m/>
    <m/>
    <n v="0"/>
    <m/>
    <m/>
    <n v="0"/>
    <m/>
    <m/>
    <n v="0"/>
    <m/>
    <m/>
    <n v="0"/>
    <m/>
    <m/>
    <n v="0"/>
    <m/>
    <m/>
    <n v="0"/>
    <m/>
    <m/>
    <n v="0"/>
    <m/>
    <m/>
    <n v="0"/>
  </r>
  <r>
    <x v="6"/>
    <s v="Louisiana Technical College-Sullivan Campus"/>
    <n v="160667"/>
    <x v="12"/>
    <m/>
    <m/>
    <n v="0"/>
    <m/>
    <m/>
    <n v="0"/>
    <m/>
    <m/>
    <n v="0"/>
    <m/>
    <m/>
    <n v="0"/>
    <m/>
    <m/>
    <n v="0"/>
    <m/>
    <m/>
    <n v="0"/>
    <m/>
    <m/>
    <n v="0"/>
    <m/>
    <m/>
    <n v="0"/>
    <m/>
    <m/>
    <n v="0"/>
    <m/>
    <m/>
    <n v="0"/>
    <m/>
    <m/>
    <n v="0"/>
    <m/>
    <m/>
    <n v="0"/>
    <m/>
    <m/>
    <n v="0"/>
    <m/>
    <m/>
    <n v="0"/>
    <m/>
    <m/>
    <n v="0"/>
    <m/>
    <m/>
    <n v="0"/>
    <m/>
    <m/>
    <n v="0"/>
    <m/>
    <m/>
    <n v="0"/>
    <m/>
    <m/>
    <n v="0"/>
    <m/>
    <m/>
    <n v="0"/>
    <m/>
    <m/>
    <n v="0"/>
    <m/>
    <m/>
    <n v="0"/>
    <m/>
    <m/>
    <n v="0"/>
    <m/>
    <m/>
    <n v="0"/>
  </r>
  <r>
    <x v="6"/>
    <s v="Louisiana Technical College-T.H. Harris Campus"/>
    <n v="160676"/>
    <x v="12"/>
    <m/>
    <m/>
    <n v="0"/>
    <m/>
    <m/>
    <n v="0"/>
    <m/>
    <m/>
    <n v="0"/>
    <m/>
    <m/>
    <n v="0"/>
    <m/>
    <m/>
    <n v="0"/>
    <m/>
    <m/>
    <n v="0"/>
    <m/>
    <m/>
    <n v="0"/>
    <m/>
    <m/>
    <n v="0"/>
    <m/>
    <m/>
    <n v="0"/>
    <m/>
    <m/>
    <n v="0"/>
    <m/>
    <m/>
    <n v="0"/>
    <m/>
    <m/>
    <n v="0"/>
    <m/>
    <m/>
    <n v="0"/>
    <m/>
    <m/>
    <n v="0"/>
    <m/>
    <m/>
    <n v="0"/>
    <m/>
    <m/>
    <n v="0"/>
    <m/>
    <m/>
    <n v="0"/>
    <m/>
    <m/>
    <n v="0"/>
    <m/>
    <m/>
    <n v="0"/>
    <m/>
    <m/>
    <n v="0"/>
    <m/>
    <m/>
    <n v="0"/>
    <m/>
    <m/>
    <n v="0"/>
    <m/>
    <m/>
    <n v="0"/>
    <m/>
    <m/>
    <n v="0"/>
  </r>
  <r>
    <x v="6"/>
    <s v="Louisiana Technical College-Tallulah Campus"/>
    <n v="160685"/>
    <x v="12"/>
    <m/>
    <m/>
    <n v="0"/>
    <m/>
    <m/>
    <n v="0"/>
    <m/>
    <m/>
    <n v="0"/>
    <m/>
    <m/>
    <n v="0"/>
    <m/>
    <m/>
    <n v="0"/>
    <m/>
    <m/>
    <n v="0"/>
    <m/>
    <m/>
    <n v="0"/>
    <m/>
    <m/>
    <n v="0"/>
    <m/>
    <m/>
    <n v="0"/>
    <m/>
    <m/>
    <n v="0"/>
    <m/>
    <m/>
    <n v="0"/>
    <m/>
    <m/>
    <n v="0"/>
    <m/>
    <m/>
    <n v="0"/>
    <m/>
    <m/>
    <n v="0"/>
    <m/>
    <m/>
    <n v="0"/>
    <m/>
    <m/>
    <n v="0"/>
    <m/>
    <m/>
    <n v="0"/>
    <m/>
    <m/>
    <n v="0"/>
    <m/>
    <m/>
    <n v="0"/>
    <m/>
    <m/>
    <n v="0"/>
    <m/>
    <m/>
    <n v="0"/>
    <m/>
    <m/>
    <n v="0"/>
    <m/>
    <m/>
    <n v="0"/>
    <m/>
    <m/>
    <n v="0"/>
  </r>
  <r>
    <x v="6"/>
    <s v="Louisiana Technical College-Teche Area Campus"/>
    <n v="160694"/>
    <x v="12"/>
    <m/>
    <m/>
    <n v="0"/>
    <m/>
    <m/>
    <n v="0"/>
    <m/>
    <m/>
    <n v="0"/>
    <m/>
    <m/>
    <n v="0"/>
    <m/>
    <m/>
    <n v="0"/>
    <m/>
    <m/>
    <n v="0"/>
    <m/>
    <m/>
    <n v="0"/>
    <m/>
    <m/>
    <n v="0"/>
    <m/>
    <m/>
    <n v="0"/>
    <m/>
    <m/>
    <n v="0"/>
    <m/>
    <m/>
    <n v="0"/>
    <m/>
    <m/>
    <n v="0"/>
    <m/>
    <m/>
    <n v="0"/>
    <m/>
    <m/>
    <n v="0"/>
    <m/>
    <m/>
    <n v="0"/>
    <m/>
    <m/>
    <n v="0"/>
    <m/>
    <m/>
    <n v="0"/>
    <m/>
    <m/>
    <n v="0"/>
    <m/>
    <m/>
    <n v="0"/>
    <m/>
    <m/>
    <n v="0"/>
    <m/>
    <m/>
    <n v="0"/>
    <m/>
    <m/>
    <n v="0"/>
    <m/>
    <m/>
    <n v="0"/>
    <m/>
    <m/>
    <n v="0"/>
  </r>
  <r>
    <x v="6"/>
    <s v="Louisiana Technical College-West Jefferson Campus"/>
    <n v="159267"/>
    <x v="12"/>
    <m/>
    <m/>
    <n v="0"/>
    <m/>
    <m/>
    <n v="0"/>
    <m/>
    <m/>
    <n v="0"/>
    <m/>
    <m/>
    <n v="0"/>
    <m/>
    <m/>
    <n v="0"/>
    <m/>
    <m/>
    <n v="0"/>
    <m/>
    <m/>
    <n v="0"/>
    <m/>
    <m/>
    <n v="0"/>
    <m/>
    <m/>
    <n v="0"/>
    <m/>
    <m/>
    <n v="0"/>
    <m/>
    <m/>
    <n v="0"/>
    <m/>
    <m/>
    <n v="0"/>
    <m/>
    <m/>
    <n v="0"/>
    <m/>
    <m/>
    <n v="0"/>
    <m/>
    <m/>
    <n v="0"/>
    <m/>
    <m/>
    <n v="0"/>
    <m/>
    <m/>
    <n v="0"/>
    <m/>
    <m/>
    <n v="0"/>
    <m/>
    <m/>
    <n v="0"/>
    <m/>
    <m/>
    <n v="0"/>
    <m/>
    <m/>
    <n v="0"/>
    <m/>
    <m/>
    <n v="0"/>
    <m/>
    <m/>
    <n v="0"/>
    <m/>
    <m/>
    <n v="0"/>
  </r>
  <r>
    <x v="6"/>
    <s v="Louisiana Technical College-Westside Campus"/>
    <n v="160870"/>
    <x v="12"/>
    <m/>
    <m/>
    <n v="0"/>
    <m/>
    <m/>
    <n v="0"/>
    <m/>
    <m/>
    <n v="0"/>
    <m/>
    <m/>
    <n v="0"/>
    <m/>
    <m/>
    <n v="0"/>
    <m/>
    <m/>
    <n v="0"/>
    <m/>
    <m/>
    <n v="0"/>
    <m/>
    <m/>
    <n v="0"/>
    <m/>
    <m/>
    <n v="0"/>
    <m/>
    <m/>
    <n v="0"/>
    <m/>
    <m/>
    <n v="0"/>
    <m/>
    <m/>
    <n v="0"/>
    <m/>
    <m/>
    <n v="0"/>
    <m/>
    <m/>
    <n v="0"/>
    <m/>
    <m/>
    <n v="0"/>
    <m/>
    <m/>
    <n v="0"/>
    <m/>
    <m/>
    <n v="0"/>
    <m/>
    <m/>
    <n v="0"/>
    <m/>
    <m/>
    <n v="0"/>
    <m/>
    <m/>
    <n v="0"/>
    <m/>
    <m/>
    <n v="0"/>
    <m/>
    <m/>
    <n v="0"/>
    <m/>
    <m/>
    <n v="0"/>
    <m/>
    <m/>
    <n v="0"/>
  </r>
  <r>
    <x v="6"/>
    <s v="Louisiana Technical College-Young Memorial Campus"/>
    <n v="160913"/>
    <x v="12"/>
    <m/>
    <m/>
    <n v="0"/>
    <m/>
    <m/>
    <n v="0"/>
    <m/>
    <m/>
    <n v="0"/>
    <m/>
    <m/>
    <n v="0"/>
    <m/>
    <m/>
    <n v="0"/>
    <m/>
    <m/>
    <n v="0"/>
    <m/>
    <m/>
    <n v="0"/>
    <m/>
    <m/>
    <n v="0"/>
    <m/>
    <m/>
    <n v="0"/>
    <m/>
    <m/>
    <n v="0"/>
    <m/>
    <m/>
    <n v="0"/>
    <m/>
    <m/>
    <n v="0"/>
    <m/>
    <m/>
    <n v="0"/>
    <m/>
    <m/>
    <n v="0"/>
    <m/>
    <m/>
    <n v="0"/>
    <m/>
    <m/>
    <n v="0"/>
    <m/>
    <m/>
    <n v="0"/>
    <m/>
    <m/>
    <n v="0"/>
    <m/>
    <m/>
    <n v="0"/>
    <m/>
    <m/>
    <n v="0"/>
    <m/>
    <m/>
    <n v="0"/>
    <m/>
    <m/>
    <n v="0"/>
    <m/>
    <m/>
    <n v="0"/>
    <m/>
    <m/>
    <n v="0"/>
  </r>
  <r>
    <x v="7"/>
    <s v="University of Maryland College Park"/>
    <n v="163286"/>
    <x v="0"/>
    <n v="377"/>
    <n v="124307.31830238727"/>
    <n v="46863859"/>
    <n v="373"/>
    <n v="129913.75871313673"/>
    <n v="48457832"/>
    <n v="307"/>
    <n v="87740.723127035832"/>
    <n v="26936402"/>
    <n v="315"/>
    <n v="93273.53333333334"/>
    <n v="29381163.000000004"/>
    <n v="233"/>
    <n v="76895.502145922743"/>
    <n v="17916652"/>
    <n v="264"/>
    <n v="82733.90151515152"/>
    <n v="21841750"/>
    <n v="13"/>
    <n v="56617.769230769234"/>
    <n v="736031"/>
    <n v="14"/>
    <n v="58507.928571428572"/>
    <n v="819111"/>
    <n v="173"/>
    <n v="56596.98265895954"/>
    <n v="9791278"/>
    <n v="176"/>
    <n v="60738.05113636364"/>
    <n v="10689897"/>
    <m/>
    <m/>
    <n v="0"/>
    <m/>
    <m/>
    <n v="0"/>
    <n v="273"/>
    <n v="154872.17216117217"/>
    <n v="34593580.274599999"/>
    <n v="271"/>
    <n v="168951.68265682657"/>
    <n v="37462028.2892"/>
    <n v="105"/>
    <n v="115626.93333333333"/>
    <n v="9933625.4696000014"/>
    <n v="108"/>
    <n v="121694.10185185185"/>
    <n v="10753572.3266"/>
    <n v="56"/>
    <n v="87252.821428571435"/>
    <n v="3997854.4756"/>
    <n v="50"/>
    <n v="106480.12"/>
    <n v="4356101.7092000004"/>
    <n v="8"/>
    <n v="66075.5"/>
    <n v="432503.7928"/>
    <n v="8"/>
    <n v="74532.875"/>
    <n v="487862.38660000003"/>
    <n v="52"/>
    <n v="64019.711538461539"/>
    <n v="2723808.2550000004"/>
    <n v="63"/>
    <n v="64290.30158730159"/>
    <n v="3313946.4598000003"/>
    <m/>
    <m/>
    <n v="0"/>
    <m/>
    <m/>
    <n v="0"/>
  </r>
  <r>
    <x v="7"/>
    <s v="University of Maryland, Baltimore County"/>
    <n v="163268"/>
    <x v="1"/>
    <n v="100"/>
    <n v="103942.78"/>
    <n v="10394278"/>
    <n v="100"/>
    <n v="106521"/>
    <n v="10652100"/>
    <n v="119"/>
    <n v="73206.957983193279"/>
    <n v="8711628"/>
    <n v="124"/>
    <n v="79594"/>
    <n v="9869656"/>
    <n v="103"/>
    <n v="64524.184466019418"/>
    <n v="6645991"/>
    <n v="99"/>
    <n v="66778"/>
    <n v="6611022"/>
    <n v="12"/>
    <n v="45350"/>
    <n v="544200"/>
    <n v="7"/>
    <n v="49105"/>
    <n v="343735"/>
    <n v="55"/>
    <n v="45130.090909090912"/>
    <n v="2482155"/>
    <n v="67"/>
    <n v="53324"/>
    <n v="3572708"/>
    <m/>
    <m/>
    <n v="0"/>
    <m/>
    <m/>
    <n v="0"/>
    <n v="40"/>
    <n v="161231.20000000001"/>
    <n v="5276774.7136000004"/>
    <n v="38"/>
    <n v="171818"/>
    <n v="5342096.5288000004"/>
    <n v="25"/>
    <n v="95038.88"/>
    <n v="1944020.2904000001"/>
    <n v="30"/>
    <n v="96440"/>
    <n v="2367216.2400000002"/>
    <n v="10"/>
    <n v="84161.8"/>
    <n v="688611.84759999998"/>
    <n v="8"/>
    <n v="79048"/>
    <n v="517416.58880000003"/>
    <n v="5"/>
    <n v="67703"/>
    <n v="276972.973"/>
    <n v="5"/>
    <n v="69249"/>
    <n v="283297.65899999999"/>
    <n v="4"/>
    <n v="58491.25"/>
    <n v="191430.163"/>
    <n v="5"/>
    <n v="65557"/>
    <n v="268193.68700000003"/>
    <m/>
    <m/>
    <n v="0"/>
    <m/>
    <m/>
    <n v="0"/>
  </r>
  <r>
    <x v="7"/>
    <s v="Morgan State University"/>
    <n v="163453"/>
    <x v="2"/>
    <n v="29"/>
    <n v="92836.241379310348"/>
    <n v="2692251"/>
    <n v="28"/>
    <n v="96847.46428571429"/>
    <n v="2711729"/>
    <n v="90"/>
    <n v="75795.788888888885"/>
    <n v="6821621"/>
    <n v="88"/>
    <n v="79963.931818181823"/>
    <n v="7036826"/>
    <n v="119"/>
    <n v="64811.403361344535"/>
    <n v="7712557"/>
    <n v="109"/>
    <n v="66819.486238532103"/>
    <n v="7283323.9999999991"/>
    <n v="12"/>
    <n v="51476.5"/>
    <n v="617718"/>
    <n v="6"/>
    <n v="52189.833333333336"/>
    <n v="313139"/>
    <n v="135"/>
    <n v="41844.392592592594"/>
    <n v="5648993"/>
    <n v="155"/>
    <n v="44115.180645161294"/>
    <n v="6837853.0000000009"/>
    <m/>
    <m/>
    <n v="0"/>
    <m/>
    <m/>
    <n v="0"/>
    <n v="16"/>
    <n v="115060.25"/>
    <n v="1506276.7448"/>
    <n v="21"/>
    <n v="121140.14285714286"/>
    <n v="2081454.1626000002"/>
    <n v="17"/>
    <n v="102329"/>
    <n v="1423334.9926"/>
    <n v="18"/>
    <n v="103906.55555555556"/>
    <n v="1530294.1876000001"/>
    <n v="4"/>
    <n v="85975.75"/>
    <n v="281381.43460000004"/>
    <n v="7"/>
    <n v="84676.571428571435"/>
    <n v="484976.59520000004"/>
    <n v="0"/>
    <n v="0"/>
    <n v="0"/>
    <m/>
    <m/>
    <n v="0"/>
    <n v="3"/>
    <n v="66147.666666666672"/>
    <n v="162366.0626"/>
    <n v="4"/>
    <n v="44429.25"/>
    <n v="145408.04940000002"/>
    <m/>
    <m/>
    <n v="0"/>
    <m/>
    <m/>
    <n v="0"/>
  </r>
  <r>
    <x v="7"/>
    <s v="Towson University "/>
    <n v="164076"/>
    <x v="2"/>
    <n v="132"/>
    <n v="87998.409090909088"/>
    <n v="11615790"/>
    <n v="146"/>
    <n v="90289.57534246576"/>
    <n v="13182278"/>
    <n v="137"/>
    <n v="70968.948905109486"/>
    <n v="9722746"/>
    <n v="153"/>
    <n v="73082.973856209152"/>
    <n v="11181695"/>
    <n v="242"/>
    <n v="59166.17768595041"/>
    <n v="14318215"/>
    <n v="266"/>
    <n v="61063.42105263158"/>
    <n v="16242870"/>
    <n v="27"/>
    <n v="55915.296296296299"/>
    <n v="1509713"/>
    <n v="21"/>
    <n v="49037.047619047618"/>
    <n v="1029778"/>
    <n v="144"/>
    <n v="37614.493055555555"/>
    <n v="5416487"/>
    <n v="158"/>
    <n v="39635.531645569623"/>
    <n v="6262414"/>
    <m/>
    <m/>
    <n v="0"/>
    <m/>
    <m/>
    <n v="0"/>
    <n v="33"/>
    <n v="108089.9696969697"/>
    <n v="2918494.0358000002"/>
    <n v="31"/>
    <n v="111643.51612903226"/>
    <n v="2831748.4717999999"/>
    <n v="10"/>
    <n v="98398.2"/>
    <n v="805094.07240000006"/>
    <n v="11"/>
    <n v="106166.72727272728"/>
    <n v="955521.77880000009"/>
    <n v="2"/>
    <n v="80824.5"/>
    <n v="132261.21180000002"/>
    <n v="2"/>
    <n v="71908"/>
    <n v="117670.2512"/>
    <n v="1"/>
    <n v="42000"/>
    <n v="34364.400000000001"/>
    <m/>
    <m/>
    <n v="0"/>
    <n v="0"/>
    <n v="0"/>
    <n v="0"/>
    <m/>
    <m/>
    <n v="0"/>
    <m/>
    <m/>
    <n v="0"/>
    <m/>
    <m/>
    <n v="0"/>
  </r>
  <r>
    <x v="7"/>
    <s v="Bowie State University "/>
    <n v="162007"/>
    <x v="3"/>
    <n v="27"/>
    <n v="86963.074074074073"/>
    <n v="2348003"/>
    <n v="27"/>
    <n v="89698.629629629635"/>
    <n v="2421863"/>
    <n v="33"/>
    <n v="65127.181818181816"/>
    <n v="2149197"/>
    <n v="27"/>
    <n v="71691.037037037036"/>
    <n v="1935658"/>
    <n v="85"/>
    <n v="59210.564705882352"/>
    <n v="5032898"/>
    <n v="80"/>
    <n v="62084.074999999997"/>
    <n v="4966726"/>
    <n v="3"/>
    <n v="58635"/>
    <n v="175905"/>
    <n v="3"/>
    <n v="62025.333333333336"/>
    <n v="186076"/>
    <n v="52"/>
    <n v="52359.192307692305"/>
    <n v="2722678"/>
    <n v="67"/>
    <n v="54996.044776119401"/>
    <n v="3684735"/>
    <m/>
    <m/>
    <n v="0"/>
    <m/>
    <m/>
    <n v="0"/>
    <n v="6"/>
    <n v="97563.666666666672"/>
    <n v="478959.55240000004"/>
    <n v="5"/>
    <n v="111881.2"/>
    <n v="457705.98920000001"/>
    <n v="5"/>
    <n v="83215.199999999997"/>
    <n v="340433.38320000004"/>
    <n v="4"/>
    <n v="85786.5"/>
    <n v="280762.05720000004"/>
    <n v="4"/>
    <n v="81052"/>
    <n v="265266.98560000001"/>
    <n v="5"/>
    <n v="88939.8"/>
    <n v="363852.7218"/>
    <n v="0"/>
    <n v="0"/>
    <n v="0"/>
    <m/>
    <m/>
    <n v="0"/>
    <n v="1"/>
    <n v="76888"/>
    <n v="62909.761600000005"/>
    <n v="1"/>
    <n v="81201"/>
    <n v="66438.658200000005"/>
    <m/>
    <m/>
    <n v="0"/>
    <m/>
    <m/>
    <n v="0"/>
  </r>
  <r>
    <x v="7"/>
    <s v="Coppin State University"/>
    <n v="162283"/>
    <x v="3"/>
    <n v="18"/>
    <n v="87990.666666666672"/>
    <n v="1583832"/>
    <n v="17"/>
    <n v="89406.352941176476"/>
    <n v="1519908"/>
    <n v="23"/>
    <n v="63601.217391304344"/>
    <n v="1462828"/>
    <n v="23"/>
    <n v="67538.913043478256"/>
    <n v="1553395"/>
    <n v="68"/>
    <n v="58675.75"/>
    <n v="3989951"/>
    <n v="92"/>
    <n v="60408.467391304344"/>
    <n v="5557579"/>
    <n v="2"/>
    <n v="50007"/>
    <n v="100014"/>
    <n v="2"/>
    <n v="52909.5"/>
    <n v="105819"/>
    <n v="22"/>
    <n v="46552.181818181816"/>
    <n v="1024148"/>
    <n v="13"/>
    <n v="47282.846153846156"/>
    <n v="614677"/>
    <m/>
    <m/>
    <n v="0"/>
    <m/>
    <m/>
    <n v="0"/>
    <n v="1"/>
    <n v="129145"/>
    <n v="105666.439"/>
    <n v="2"/>
    <n v="106308.5"/>
    <n v="173963.22940000001"/>
    <n v="2"/>
    <n v="86183.5"/>
    <n v="141030.67939999999"/>
    <n v="2"/>
    <n v="89793"/>
    <n v="146937.26519999999"/>
    <n v="5"/>
    <n v="75463.600000000006"/>
    <n v="308721.58760000003"/>
    <n v="11"/>
    <n v="79538.818181818177"/>
    <n v="715865.27140000009"/>
    <n v="0"/>
    <n v="0"/>
    <n v="0"/>
    <m/>
    <m/>
    <n v="0"/>
    <n v="2"/>
    <n v="69250"/>
    <n v="113320.70000000001"/>
    <m/>
    <m/>
    <n v="0"/>
    <m/>
    <m/>
    <n v="0"/>
    <m/>
    <m/>
    <n v="0"/>
  </r>
  <r>
    <x v="7"/>
    <s v="Frostburg State University "/>
    <n v="162584"/>
    <x v="3"/>
    <n v="78"/>
    <n v="81708.5"/>
    <n v="6373263"/>
    <n v="78"/>
    <n v="85020.666666666672"/>
    <n v="6631612"/>
    <n v="57"/>
    <n v="65479.26315789474"/>
    <n v="3732318"/>
    <n v="58"/>
    <n v="68797.086206896551"/>
    <n v="3990231"/>
    <n v="58"/>
    <n v="57784.793103448275"/>
    <n v="3351518"/>
    <n v="63"/>
    <n v="61420.603174603173"/>
    <n v="3869498"/>
    <n v="7"/>
    <n v="50165"/>
    <n v="351155"/>
    <n v="10"/>
    <n v="50884.5"/>
    <n v="508845"/>
    <n v="24"/>
    <n v="36882.458333333336"/>
    <n v="885179"/>
    <n v="33"/>
    <n v="40474.121212121216"/>
    <n v="1335646"/>
    <m/>
    <m/>
    <n v="0"/>
    <m/>
    <m/>
    <n v="0"/>
    <n v="0"/>
    <m/>
    <n v="0"/>
    <m/>
    <m/>
    <n v="0"/>
    <m/>
    <m/>
    <n v="0"/>
    <m/>
    <m/>
    <n v="0"/>
    <m/>
    <m/>
    <n v="0"/>
    <m/>
    <m/>
    <n v="0"/>
    <n v="0"/>
    <m/>
    <n v="0"/>
    <m/>
    <m/>
    <n v="0"/>
    <n v="9"/>
    <n v="39697.777777777781"/>
    <n v="292326.49599999998"/>
    <m/>
    <m/>
    <n v="0"/>
    <m/>
    <m/>
    <n v="0"/>
    <m/>
    <m/>
    <n v="0"/>
  </r>
  <r>
    <x v="7"/>
    <s v="Salisbury University "/>
    <n v="163851"/>
    <x v="3"/>
    <n v="79"/>
    <n v="83438.253164556969"/>
    <n v="6591622.0000000009"/>
    <n v="75"/>
    <n v="86211.36"/>
    <n v="6465852"/>
    <n v="98"/>
    <n v="65599.673469387752"/>
    <n v="6428768"/>
    <n v="99"/>
    <n v="68491.555555555562"/>
    <n v="6780664.0000000009"/>
    <n v="106"/>
    <n v="60248.330188679247"/>
    <n v="6386323"/>
    <n v="119"/>
    <n v="63674.89075630252"/>
    <n v="7577312"/>
    <n v="12"/>
    <n v="58835.666666666664"/>
    <n v="706028"/>
    <n v="8"/>
    <n v="56041.875"/>
    <n v="448335"/>
    <n v="66"/>
    <n v="43223.272727272728"/>
    <n v="2852736"/>
    <n v="73"/>
    <n v="43452.493150684932"/>
    <n v="3172032"/>
    <m/>
    <m/>
    <n v="0"/>
    <m/>
    <m/>
    <n v="0"/>
    <n v="1"/>
    <n v="99323"/>
    <n v="81266.078600000008"/>
    <n v="3"/>
    <n v="115033"/>
    <n v="282360.00180000003"/>
    <m/>
    <m/>
    <n v="0"/>
    <m/>
    <m/>
    <n v="0"/>
    <m/>
    <m/>
    <n v="0"/>
    <m/>
    <m/>
    <n v="0"/>
    <m/>
    <m/>
    <n v="0"/>
    <m/>
    <m/>
    <n v="0"/>
    <n v="1"/>
    <n v="52275"/>
    <n v="42771.404999999999"/>
    <n v="2"/>
    <n v="49188.5"/>
    <n v="80492.061400000006"/>
    <m/>
    <m/>
    <n v="0"/>
    <m/>
    <m/>
    <n v="0"/>
  </r>
  <r>
    <x v="7"/>
    <s v="University of Baltimore"/>
    <n v="161873"/>
    <x v="3"/>
    <n v="49"/>
    <n v="120897.91836734694"/>
    <n v="5923998"/>
    <n v="49"/>
    <n v="130355.40816326531"/>
    <n v="6387415"/>
    <n v="49"/>
    <n v="90436.469387755104"/>
    <n v="4431387"/>
    <n v="52"/>
    <n v="97601.403846153844"/>
    <n v="5075273"/>
    <n v="45"/>
    <n v="74361.088888888888"/>
    <n v="3346249"/>
    <n v="43"/>
    <n v="80003.860465116275"/>
    <n v="3440166"/>
    <n v="3"/>
    <n v="53758.333333333336"/>
    <n v="161275"/>
    <n v="4"/>
    <n v="63958.5"/>
    <n v="255834"/>
    <n v="5"/>
    <n v="61071.199999999997"/>
    <n v="305356"/>
    <n v="7"/>
    <n v="55755.285714285717"/>
    <n v="390287"/>
    <m/>
    <m/>
    <n v="0"/>
    <m/>
    <m/>
    <n v="0"/>
    <n v="7"/>
    <n v="120778.57142857143"/>
    <n v="691747.19000000006"/>
    <n v="7"/>
    <n v="127516.71428571429"/>
    <n v="730339.22940000007"/>
    <n v="3"/>
    <n v="127953"/>
    <n v="314073.4338"/>
    <n v="3"/>
    <n v="92914.666666666672"/>
    <n v="228068.34080000001"/>
    <n v="0"/>
    <n v="0"/>
    <n v="0"/>
    <m/>
    <m/>
    <n v="0"/>
    <n v="5"/>
    <n v="49435"/>
    <n v="202238.58500000002"/>
    <n v="5"/>
    <n v="51824"/>
    <n v="212011.984"/>
    <n v="0"/>
    <n v="0"/>
    <n v="0"/>
    <m/>
    <m/>
    <n v="0"/>
    <m/>
    <m/>
    <n v="0"/>
    <m/>
    <m/>
    <n v="0"/>
  </r>
  <r>
    <x v="7"/>
    <s v="University of Maryland Eastern Shore "/>
    <n v="163338"/>
    <x v="3"/>
    <n v="18"/>
    <n v="77706.611111111109"/>
    <n v="1398719"/>
    <n v="18"/>
    <n v="80848.222222222219"/>
    <n v="1455268"/>
    <n v="32"/>
    <n v="65254.25"/>
    <n v="2088136"/>
    <n v="38"/>
    <n v="67340.210526315786"/>
    <n v="2558928"/>
    <n v="31"/>
    <n v="60086.645161290326"/>
    <n v="1862686"/>
    <n v="28"/>
    <n v="63076.964285714283"/>
    <n v="1766155"/>
    <n v="1"/>
    <n v="65734"/>
    <n v="65734"/>
    <n v="2"/>
    <n v="61847.5"/>
    <n v="123695"/>
    <n v="50"/>
    <n v="48602.5"/>
    <n v="2430125"/>
    <n v="49"/>
    <n v="47735.530612244896"/>
    <n v="2339041"/>
    <m/>
    <m/>
    <n v="0"/>
    <m/>
    <m/>
    <n v="0"/>
    <n v="15"/>
    <n v="97474.4"/>
    <n v="1196303.3112000001"/>
    <n v="15"/>
    <n v="97566.933333333334"/>
    <n v="1197438.9728000001"/>
    <n v="9"/>
    <n v="93321.222222222219"/>
    <n v="687198.8162"/>
    <n v="10"/>
    <n v="94340"/>
    <n v="771889.88"/>
    <n v="3"/>
    <n v="63685.333333333336"/>
    <n v="156322.01920000001"/>
    <n v="2"/>
    <n v="67322"/>
    <n v="110165.72080000001"/>
    <n v="2"/>
    <n v="69951"/>
    <n v="114467.81640000001"/>
    <n v="2"/>
    <n v="73083.5"/>
    <n v="119593.83940000001"/>
    <n v="8"/>
    <n v="66526.5"/>
    <n v="435455.85840000003"/>
    <n v="9"/>
    <n v="68157.666666666672"/>
    <n v="501899.42580000003"/>
    <m/>
    <m/>
    <n v="0"/>
    <m/>
    <m/>
    <n v="0"/>
  </r>
  <r>
    <x v="7"/>
    <s v="Saint Mary's College of Maryland"/>
    <n v="163912"/>
    <x v="5"/>
    <n v="42"/>
    <n v="86541.309523809527"/>
    <n v="3634735"/>
    <n v="41"/>
    <n v="85009"/>
    <n v="3485369"/>
    <n v="38"/>
    <n v="63715.57894736842"/>
    <n v="2421192"/>
    <n v="43"/>
    <n v="65083.325581395351"/>
    <n v="2798583"/>
    <n v="58"/>
    <n v="51404.086206896551"/>
    <n v="2981437"/>
    <n v="61"/>
    <n v="52263.245901639348"/>
    <n v="3188058"/>
    <n v="14"/>
    <n v="43761.428571428572"/>
    <n v="612660"/>
    <n v="9"/>
    <n v="29489.444444444445"/>
    <n v="265405"/>
    <m/>
    <m/>
    <n v="0"/>
    <m/>
    <m/>
    <n v="0"/>
    <m/>
    <m/>
    <n v="0"/>
    <m/>
    <m/>
    <n v="0"/>
    <m/>
    <m/>
    <n v="0"/>
    <m/>
    <m/>
    <n v="0"/>
    <m/>
    <m/>
    <n v="0"/>
    <m/>
    <m/>
    <n v="0"/>
    <m/>
    <m/>
    <n v="0"/>
    <m/>
    <m/>
    <n v="0"/>
    <m/>
    <m/>
    <n v="0"/>
    <m/>
    <m/>
    <n v="0"/>
    <m/>
    <m/>
    <n v="0"/>
    <m/>
    <m/>
    <n v="0"/>
    <m/>
    <m/>
    <n v="0"/>
    <m/>
    <m/>
    <n v="0"/>
  </r>
  <r>
    <x v="7"/>
    <s v="Anne Arundel Community College "/>
    <n v="161767"/>
    <x v="6"/>
    <n v="69"/>
    <n v="84096.869565217392"/>
    <n v="5802684"/>
    <n v="71"/>
    <n v="71935.112676056335"/>
    <n v="5107393"/>
    <n v="83"/>
    <n v="65567.578313253005"/>
    <n v="5442108.9999999991"/>
    <n v="78"/>
    <n v="68062.717948717953"/>
    <n v="5308892"/>
    <n v="72"/>
    <n v="56342.916666666664"/>
    <n v="4056690"/>
    <n v="77"/>
    <n v="58877.870129870127"/>
    <n v="4533596"/>
    <n v="22"/>
    <n v="49546.545454545456"/>
    <n v="1090024"/>
    <n v="26"/>
    <n v="51649.115384615383"/>
    <n v="1342877"/>
    <n v="0"/>
    <n v="0"/>
    <n v="0"/>
    <m/>
    <m/>
    <n v="0"/>
    <m/>
    <m/>
    <n v="0"/>
    <m/>
    <m/>
    <n v="0"/>
    <n v="1"/>
    <n v="93220"/>
    <n v="76272.604000000007"/>
    <n v="1"/>
    <n v="113007"/>
    <n v="92462.327400000009"/>
    <n v="5"/>
    <n v="81091.600000000006"/>
    <n v="331745.73560000001"/>
    <n v="6"/>
    <n v="81190"/>
    <n v="398577.94800000003"/>
    <n v="5"/>
    <n v="63005.4"/>
    <n v="257755.0914"/>
    <n v="4"/>
    <n v="68475"/>
    <n v="224104.98"/>
    <n v="0"/>
    <n v="0"/>
    <n v="0"/>
    <m/>
    <m/>
    <n v="0"/>
    <n v="0"/>
    <n v="0"/>
    <n v="0"/>
    <m/>
    <m/>
    <n v="0"/>
    <m/>
    <m/>
    <n v="0"/>
    <m/>
    <m/>
    <n v="0"/>
  </r>
  <r>
    <x v="7"/>
    <s v="Community College of Baltimore County"/>
    <n v="434672"/>
    <x v="6"/>
    <n v="47"/>
    <n v="80157.382978723399"/>
    <n v="3767396.9999999995"/>
    <n v="49"/>
    <n v="80951.489795918373"/>
    <n v="3966623.0000000005"/>
    <n v="80"/>
    <n v="63742.462500000001"/>
    <n v="5099397"/>
    <n v="79"/>
    <n v="64412.405063291139"/>
    <n v="5088580"/>
    <n v="164"/>
    <n v="52329.92682926829"/>
    <n v="8582108"/>
    <n v="168"/>
    <n v="52977.654761904763"/>
    <n v="8900246"/>
    <n v="23"/>
    <n v="43128.869565217392"/>
    <n v="991964"/>
    <n v="28"/>
    <n v="43873.214285714283"/>
    <n v="1228450"/>
    <n v="0"/>
    <n v="0"/>
    <n v="0"/>
    <m/>
    <m/>
    <n v="0"/>
    <m/>
    <m/>
    <n v="0"/>
    <m/>
    <m/>
    <n v="0"/>
    <n v="14"/>
    <n v="94491.78571428571"/>
    <n v="1082384.507"/>
    <n v="13"/>
    <n v="97165.307692307688"/>
    <n v="1033508.5118000001"/>
    <n v="9"/>
    <n v="78121.444444444438"/>
    <n v="575270.69260000007"/>
    <n v="14"/>
    <n v="75105.357142857145"/>
    <n v="860316.84500000009"/>
    <n v="23"/>
    <n v="66637.34782608696"/>
    <n v="1254021.5938000001"/>
    <n v="21"/>
    <n v="67254.523809523816"/>
    <n v="1155580.6790000002"/>
    <n v="12"/>
    <n v="54034.833333333336"/>
    <n v="530535.60759999999"/>
    <n v="12"/>
    <n v="54225.333333333336"/>
    <n v="532406.01280000003"/>
    <n v="0"/>
    <n v="0"/>
    <n v="0"/>
    <m/>
    <m/>
    <n v="0"/>
    <m/>
    <m/>
    <n v="0"/>
    <m/>
    <m/>
    <n v="0"/>
  </r>
  <r>
    <x v="7"/>
    <s v="Montgomery College"/>
    <n v="163426"/>
    <x v="6"/>
    <n v="282"/>
    <n v="81825.390070921989"/>
    <n v="23074760"/>
    <n v="287"/>
    <n v="86354.86411149826"/>
    <n v="24783846"/>
    <n v="119"/>
    <n v="65139.756302521011"/>
    <n v="7751631"/>
    <n v="128"/>
    <n v="69198.6796875"/>
    <n v="8857431"/>
    <n v="91"/>
    <n v="56471.934065934067"/>
    <n v="5138946"/>
    <n v="92"/>
    <n v="60230.858695652176"/>
    <n v="5541239"/>
    <n v="7"/>
    <n v="48610.714285714283"/>
    <n v="340275"/>
    <n v="9"/>
    <n v="55324.444444444445"/>
    <n v="497920"/>
    <n v="0"/>
    <n v="0"/>
    <n v="0"/>
    <m/>
    <m/>
    <n v="0"/>
    <m/>
    <m/>
    <n v="0"/>
    <m/>
    <m/>
    <n v="0"/>
    <m/>
    <m/>
    <n v="0"/>
    <m/>
    <m/>
    <n v="0"/>
    <m/>
    <m/>
    <n v="0"/>
    <m/>
    <m/>
    <n v="0"/>
    <m/>
    <m/>
    <n v="0"/>
    <m/>
    <m/>
    <n v="0"/>
    <m/>
    <m/>
    <n v="0"/>
    <m/>
    <m/>
    <n v="0"/>
    <m/>
    <m/>
    <n v="0"/>
    <m/>
    <m/>
    <n v="0"/>
    <m/>
    <m/>
    <n v="0"/>
    <m/>
    <m/>
    <n v="0"/>
  </r>
  <r>
    <x v="7"/>
    <s v="Prince George's Community College "/>
    <n v="163657"/>
    <x v="6"/>
    <n v="86"/>
    <n v="68457.872093023252"/>
    <n v="5887377"/>
    <n v="77"/>
    <n v="70878.2987012987"/>
    <n v="5457629"/>
    <n v="106"/>
    <n v="55472.650943396227"/>
    <n v="5880101"/>
    <n v="105"/>
    <n v="56693.085714285713"/>
    <n v="5952774"/>
    <n v="33"/>
    <n v="46241.242424242424"/>
    <n v="1525961"/>
    <n v="33"/>
    <n v="47306.272727272728"/>
    <n v="1561107"/>
    <n v="2"/>
    <n v="40211"/>
    <n v="80422"/>
    <n v="0"/>
    <m/>
    <n v="0"/>
    <n v="0"/>
    <n v="0"/>
    <n v="0"/>
    <m/>
    <m/>
    <n v="0"/>
    <m/>
    <m/>
    <n v="0"/>
    <m/>
    <m/>
    <n v="0"/>
    <n v="3"/>
    <n v="96288"/>
    <n v="236348.52480000001"/>
    <n v="3"/>
    <n v="93050.666666666672"/>
    <n v="228402.16640000002"/>
    <n v="6"/>
    <n v="63980.666666666664"/>
    <n v="314093.88880000002"/>
    <n v="3"/>
    <n v="69765.333333333328"/>
    <n v="171245.9872"/>
    <n v="2"/>
    <n v="58075"/>
    <n v="95033.930000000008"/>
    <m/>
    <m/>
    <n v="0"/>
    <n v="0"/>
    <n v="0"/>
    <n v="0"/>
    <n v="1"/>
    <n v="45910"/>
    <n v="37563.562000000005"/>
    <n v="0"/>
    <n v="0"/>
    <n v="0"/>
    <m/>
    <m/>
    <n v="0"/>
    <m/>
    <m/>
    <n v="0"/>
    <m/>
    <m/>
    <n v="0"/>
  </r>
  <r>
    <x v="7"/>
    <s v="Allegany College of Maryland"/>
    <n v="161688"/>
    <x v="7"/>
    <n v="31"/>
    <n v="61443.387096774197"/>
    <n v="1904745"/>
    <n v="28"/>
    <n v="62714"/>
    <n v="1755992"/>
    <n v="24"/>
    <n v="47794.291666666664"/>
    <n v="1147063"/>
    <n v="23"/>
    <n v="48533.739130434784"/>
    <n v="1116276"/>
    <n v="23"/>
    <n v="40443.869565217392"/>
    <n v="930209"/>
    <n v="25"/>
    <n v="41802.199999999997"/>
    <n v="1045054.9999999999"/>
    <n v="6"/>
    <n v="35930.833333333336"/>
    <n v="215585"/>
    <n v="4"/>
    <n v="37458.75"/>
    <n v="149835"/>
    <n v="0"/>
    <n v="0"/>
    <n v="0"/>
    <m/>
    <m/>
    <n v="0"/>
    <m/>
    <m/>
    <n v="0"/>
    <m/>
    <m/>
    <n v="0"/>
    <n v="9"/>
    <n v="75904.111111111109"/>
    <n v="558942.69339999999"/>
    <n v="9"/>
    <n v="75638.222222222219"/>
    <n v="556984.74080000003"/>
    <n v="6"/>
    <n v="57935.666666666664"/>
    <n v="284417.77480000001"/>
    <n v="6"/>
    <n v="61013"/>
    <n v="299525.0196"/>
    <n v="9"/>
    <n v="53469.222222222219"/>
    <n v="393736.65860000002"/>
    <n v="10"/>
    <n v="55351.199999999997"/>
    <n v="452883.5184"/>
    <n v="6"/>
    <n v="45165.333333333336"/>
    <n v="221725.6544"/>
    <n v="6"/>
    <n v="48060"/>
    <n v="235936.152"/>
    <n v="0"/>
    <n v="0"/>
    <n v="0"/>
    <m/>
    <m/>
    <n v="0"/>
    <m/>
    <m/>
    <n v="0"/>
    <m/>
    <m/>
    <n v="0"/>
  </r>
  <r>
    <x v="7"/>
    <s v="Baltimore City Community College"/>
    <n v="161864"/>
    <x v="7"/>
    <n v="28"/>
    <n v="74016.928571428565"/>
    <n v="2072473.9999999998"/>
    <n v="24"/>
    <n v="77072.041666666672"/>
    <n v="1849729"/>
    <n v="24"/>
    <n v="60479.875"/>
    <n v="1451517"/>
    <n v="26"/>
    <n v="62574.5"/>
    <n v="1626937"/>
    <n v="77"/>
    <n v="53045.415584415583"/>
    <n v="4084497"/>
    <n v="76"/>
    <n v="54798.184210526313"/>
    <n v="4164662"/>
    <n v="7"/>
    <n v="46280.285714285717"/>
    <n v="323962"/>
    <n v="6"/>
    <n v="44640.333333333336"/>
    <n v="267842"/>
    <n v="0"/>
    <n v="0"/>
    <n v="0"/>
    <n v="1"/>
    <n v="78999"/>
    <n v="78999"/>
    <m/>
    <m/>
    <n v="0"/>
    <m/>
    <m/>
    <n v="0"/>
    <m/>
    <m/>
    <n v="0"/>
    <m/>
    <m/>
    <n v="0"/>
    <m/>
    <m/>
    <n v="0"/>
    <m/>
    <m/>
    <n v="0"/>
    <m/>
    <m/>
    <n v="0"/>
    <m/>
    <m/>
    <n v="0"/>
    <m/>
    <m/>
    <n v="0"/>
    <m/>
    <m/>
    <n v="0"/>
    <m/>
    <m/>
    <n v="0"/>
    <m/>
    <m/>
    <n v="0"/>
    <m/>
    <m/>
    <n v="0"/>
    <m/>
    <m/>
    <n v="0"/>
  </r>
  <r>
    <x v="7"/>
    <s v="College of Southern Maryland (formerly Charles County CC)"/>
    <n v="162122"/>
    <x v="7"/>
    <n v="64"/>
    <n v="80789.515625"/>
    <n v="5170529"/>
    <n v="68"/>
    <n v="81072.294117647063"/>
    <n v="5512916"/>
    <n v="13"/>
    <n v="64789.846153846156"/>
    <n v="842268"/>
    <n v="12"/>
    <n v="63351.333333333336"/>
    <n v="760216"/>
    <n v="20"/>
    <n v="60440.55"/>
    <n v="1208811"/>
    <n v="13"/>
    <n v="60383"/>
    <n v="784979"/>
    <n v="3"/>
    <n v="46183"/>
    <n v="138549"/>
    <n v="4"/>
    <n v="46856.5"/>
    <n v="187426"/>
    <n v="0"/>
    <n v="0"/>
    <n v="0"/>
    <m/>
    <m/>
    <n v="0"/>
    <m/>
    <m/>
    <n v="0"/>
    <m/>
    <m/>
    <n v="0"/>
    <n v="19"/>
    <n v="99701"/>
    <n v="1549931.8058"/>
    <n v="17"/>
    <n v="101533.05882352941"/>
    <n v="1412263.9284000001"/>
    <n v="3"/>
    <n v="69755.666666666672"/>
    <n v="171222.25940000001"/>
    <n v="4"/>
    <n v="74618.75"/>
    <n v="244212.24500000002"/>
    <n v="5"/>
    <n v="70286"/>
    <n v="287540.02600000001"/>
    <n v="1"/>
    <n v="68453"/>
    <n v="56008.244600000005"/>
    <n v="0"/>
    <n v="0"/>
    <n v="0"/>
    <m/>
    <m/>
    <n v="0"/>
    <n v="0"/>
    <n v="0"/>
    <n v="0"/>
    <m/>
    <m/>
    <n v="0"/>
    <m/>
    <m/>
    <n v="0"/>
    <m/>
    <m/>
    <n v="0"/>
  </r>
  <r>
    <x v="7"/>
    <s v="Frederick Community College "/>
    <n v="162557"/>
    <x v="7"/>
    <n v="21"/>
    <n v="79087.761904761908"/>
    <n v="1660843"/>
    <n v="21"/>
    <n v="80313.428571428565"/>
    <n v="1686581.9999999998"/>
    <n v="20"/>
    <n v="69899.3"/>
    <n v="1397986"/>
    <n v="23"/>
    <n v="68943.260869565216"/>
    <n v="1585695"/>
    <n v="42"/>
    <n v="56534.071428571428"/>
    <n v="2374431"/>
    <n v="43"/>
    <n v="52483.953488372092"/>
    <n v="2256810"/>
    <n v="0"/>
    <n v="0"/>
    <n v="0"/>
    <m/>
    <m/>
    <n v="0"/>
    <n v="0"/>
    <n v="0"/>
    <n v="0"/>
    <m/>
    <m/>
    <n v="0"/>
    <m/>
    <m/>
    <n v="0"/>
    <m/>
    <m/>
    <n v="0"/>
    <n v="2"/>
    <n v="98846.5"/>
    <n v="161752.41260000001"/>
    <n v="3"/>
    <n v="99277"/>
    <n v="243685.3242"/>
    <n v="2"/>
    <n v="88737.5"/>
    <n v="145210.04500000001"/>
    <n v="1"/>
    <n v="90037"/>
    <n v="73668.273400000005"/>
    <n v="1"/>
    <n v="63094"/>
    <n v="51623.510800000004"/>
    <n v="1"/>
    <n v="66293"/>
    <n v="54240.9326"/>
    <n v="0"/>
    <n v="0"/>
    <n v="0"/>
    <m/>
    <m/>
    <n v="0"/>
    <n v="0"/>
    <n v="0"/>
    <n v="0"/>
    <m/>
    <m/>
    <n v="0"/>
    <m/>
    <m/>
    <n v="0"/>
    <m/>
    <m/>
    <n v="0"/>
  </r>
  <r>
    <x v="7"/>
    <s v="Hagerstown Community College "/>
    <n v="162690"/>
    <x v="7"/>
    <n v="15"/>
    <n v="71079.733333333337"/>
    <n v="1066196"/>
    <n v="13"/>
    <n v="74538.923076923078"/>
    <n v="969006"/>
    <n v="6"/>
    <n v="56361.833333333336"/>
    <n v="338171"/>
    <n v="6"/>
    <n v="59410.166666666664"/>
    <n v="356461"/>
    <n v="19"/>
    <n v="48898.315789473687"/>
    <n v="929068"/>
    <n v="25"/>
    <n v="51418"/>
    <n v="1285450"/>
    <n v="18"/>
    <n v="46257.333333333336"/>
    <n v="832632"/>
    <n v="15"/>
    <n v="46986.533333333333"/>
    <n v="704798"/>
    <n v="0"/>
    <n v="0"/>
    <n v="0"/>
    <m/>
    <m/>
    <n v="0"/>
    <m/>
    <m/>
    <n v="0"/>
    <m/>
    <m/>
    <n v="0"/>
    <n v="4"/>
    <n v="86875.25"/>
    <n v="284325.31820000004"/>
    <n v="4"/>
    <n v="84257.25"/>
    <n v="275757.12780000002"/>
    <n v="1"/>
    <n v="57074"/>
    <n v="46697.946800000005"/>
    <n v="1"/>
    <n v="60673"/>
    <n v="49642.6486"/>
    <n v="2"/>
    <n v="54486.5"/>
    <n v="89161.708599999998"/>
    <n v="2"/>
    <n v="57405.5"/>
    <n v="93938.36020000001"/>
    <n v="7"/>
    <n v="50143.428571428572"/>
    <n v="287191.47279999999"/>
    <n v="5"/>
    <n v="52696.4"/>
    <n v="215580.9724"/>
    <n v="0"/>
    <n v="0"/>
    <n v="0"/>
    <m/>
    <m/>
    <n v="0"/>
    <m/>
    <m/>
    <n v="0"/>
    <m/>
    <m/>
    <n v="0"/>
  </r>
  <r>
    <x v="7"/>
    <s v="Harford Community College "/>
    <n v="162706"/>
    <x v="7"/>
    <n v="16"/>
    <n v="80480.25"/>
    <n v="1287684"/>
    <n v="17"/>
    <n v="83520.176470588238"/>
    <n v="1419843"/>
    <n v="20"/>
    <n v="67334.45"/>
    <n v="1346689"/>
    <n v="20"/>
    <n v="67531.3"/>
    <n v="1350626"/>
    <n v="20"/>
    <n v="53538.8"/>
    <n v="1070776"/>
    <n v="21"/>
    <n v="54621.142857142855"/>
    <n v="1147044"/>
    <n v="41"/>
    <n v="44690.609756097561"/>
    <n v="1832315"/>
    <n v="2"/>
    <n v="49523"/>
    <n v="99046"/>
    <n v="0"/>
    <n v="0"/>
    <n v="0"/>
    <m/>
    <m/>
    <n v="0"/>
    <m/>
    <m/>
    <n v="0"/>
    <m/>
    <m/>
    <n v="0"/>
    <n v="0"/>
    <n v="0"/>
    <n v="0"/>
    <m/>
    <m/>
    <n v="0"/>
    <n v="1"/>
    <n v="85759"/>
    <n v="70168.013800000001"/>
    <n v="1"/>
    <n v="88332"/>
    <n v="72273.242400000003"/>
    <n v="2"/>
    <n v="78097"/>
    <n v="127797.9308"/>
    <m/>
    <m/>
    <n v="0"/>
    <n v="0"/>
    <n v="0"/>
    <n v="0"/>
    <m/>
    <m/>
    <n v="0"/>
    <n v="0"/>
    <n v="0"/>
    <n v="0"/>
    <n v="1"/>
    <n v="52000"/>
    <n v="42546.400000000001"/>
    <m/>
    <m/>
    <n v="0"/>
    <m/>
    <m/>
    <n v="0"/>
  </r>
  <r>
    <x v="7"/>
    <s v="Howard Community College "/>
    <n v="162779"/>
    <x v="7"/>
    <n v="30"/>
    <n v="80234.366666666669"/>
    <n v="2407031"/>
    <n v="29"/>
    <n v="83652.758620689652"/>
    <n v="2425930"/>
    <n v="27"/>
    <n v="66190.703703703708"/>
    <n v="1787149"/>
    <n v="28"/>
    <n v="68111.178571428565"/>
    <n v="1907112.9999999998"/>
    <n v="38"/>
    <n v="55520.289473684214"/>
    <n v="2109771"/>
    <n v="39"/>
    <n v="58505.615384615383"/>
    <n v="2281719"/>
    <n v="22"/>
    <n v="49757.727272727272"/>
    <n v="1094670"/>
    <n v="24"/>
    <n v="51678.458333333336"/>
    <n v="1240283"/>
    <n v="1"/>
    <n v="49249"/>
    <n v="49249"/>
    <n v="1"/>
    <n v="51980"/>
    <n v="51980"/>
    <m/>
    <m/>
    <n v="0"/>
    <m/>
    <m/>
    <n v="0"/>
    <n v="14"/>
    <n v="99987.5"/>
    <n v="1145336.8149999999"/>
    <n v="15"/>
    <n v="101956.8"/>
    <n v="1251315.8064000001"/>
    <n v="4"/>
    <n v="79830.5"/>
    <n v="261269.2604"/>
    <n v="5"/>
    <n v="86388.2"/>
    <n v="353414.1262"/>
    <n v="3"/>
    <n v="72098.666666666672"/>
    <n v="176973.3872"/>
    <n v="5"/>
    <n v="73537.2"/>
    <n v="300840.68520000001"/>
    <n v="1"/>
    <n v="57746"/>
    <n v="47247.777200000004"/>
    <n v="1"/>
    <n v="72461"/>
    <n v="59287.590200000006"/>
    <n v="1"/>
    <n v="50442"/>
    <n v="41271.644400000005"/>
    <n v="1"/>
    <n v="53424"/>
    <n v="43711.516800000005"/>
    <m/>
    <m/>
    <n v="0"/>
    <m/>
    <m/>
    <n v="0"/>
  </r>
  <r>
    <x v="7"/>
    <s v="Carroll Community College"/>
    <n v="405872"/>
    <x v="8"/>
    <n v="5"/>
    <n v="69472.800000000003"/>
    <n v="347364"/>
    <n v="6"/>
    <n v="70012"/>
    <n v="420072"/>
    <n v="16"/>
    <n v="56985.1875"/>
    <n v="911763"/>
    <n v="16"/>
    <n v="62048.25"/>
    <n v="992772"/>
    <n v="25"/>
    <n v="50972.800000000003"/>
    <n v="1274320"/>
    <n v="27"/>
    <n v="52786.777777777781"/>
    <n v="1425243"/>
    <n v="7"/>
    <n v="39609.142857142855"/>
    <n v="277264"/>
    <n v="12"/>
    <n v="41382"/>
    <n v="496584"/>
    <n v="0"/>
    <n v="0"/>
    <n v="0"/>
    <m/>
    <m/>
    <n v="0"/>
    <m/>
    <m/>
    <n v="0"/>
    <m/>
    <m/>
    <n v="0"/>
    <n v="2"/>
    <n v="86737.5"/>
    <n v="141937.245"/>
    <n v="3"/>
    <n v="90214.666666666672"/>
    <n v="221440.92080000002"/>
    <n v="3"/>
    <n v="80348.333333333328"/>
    <n v="197223.019"/>
    <n v="1"/>
    <n v="86140"/>
    <n v="70479.748000000007"/>
    <n v="2"/>
    <n v="54135.5"/>
    <n v="88587.332200000004"/>
    <n v="2"/>
    <n v="57284.5"/>
    <n v="93740.355800000005"/>
    <n v="1"/>
    <n v="48000"/>
    <n v="39273.599999999999"/>
    <n v="1"/>
    <n v="50823"/>
    <n v="41583.378600000004"/>
    <n v="0"/>
    <n v="0"/>
    <n v="0"/>
    <m/>
    <m/>
    <n v="0"/>
    <m/>
    <m/>
    <n v="0"/>
    <m/>
    <m/>
    <n v="0"/>
  </r>
  <r>
    <x v="7"/>
    <s v="Cecil Community College "/>
    <n v="162104"/>
    <x v="8"/>
    <n v="12"/>
    <n v="72723.916666666672"/>
    <n v="872687"/>
    <n v="11"/>
    <n v="75419.090909090912"/>
    <n v="829610"/>
    <n v="11"/>
    <n v="62143.181818181816"/>
    <n v="683575"/>
    <n v="12"/>
    <n v="63694.583333333336"/>
    <n v="764335"/>
    <n v="15"/>
    <n v="49026.133333333331"/>
    <n v="735392"/>
    <n v="15"/>
    <n v="51261.533333333333"/>
    <n v="768923"/>
    <n v="2"/>
    <n v="43572.5"/>
    <n v="87145"/>
    <n v="3"/>
    <n v="45431"/>
    <n v="136293"/>
    <n v="0"/>
    <n v="0"/>
    <n v="0"/>
    <m/>
    <m/>
    <n v="0"/>
    <m/>
    <m/>
    <n v="0"/>
    <m/>
    <m/>
    <n v="0"/>
    <n v="1"/>
    <n v="78202"/>
    <n v="63984.876400000001"/>
    <n v="1"/>
    <n v="80548"/>
    <n v="65904.373600000006"/>
    <n v="1"/>
    <n v="70380"/>
    <n v="57584.916000000005"/>
    <n v="1"/>
    <n v="74160"/>
    <n v="60677.712"/>
    <n v="0"/>
    <n v="0"/>
    <n v="0"/>
    <m/>
    <m/>
    <n v="0"/>
    <n v="2"/>
    <n v="52111"/>
    <n v="85274.440400000007"/>
    <n v="2"/>
    <n v="53674"/>
    <n v="87832.133600000001"/>
    <n v="0"/>
    <n v="0"/>
    <n v="0"/>
    <m/>
    <m/>
    <n v="0"/>
    <m/>
    <m/>
    <n v="0"/>
    <m/>
    <m/>
    <n v="0"/>
  </r>
  <r>
    <x v="7"/>
    <s v="Chesapeake College "/>
    <n v="162168"/>
    <x v="8"/>
    <n v="11"/>
    <n v="74582.818181818177"/>
    <n v="820411"/>
    <n v="12"/>
    <n v="74413.333333333328"/>
    <n v="892960"/>
    <n v="21"/>
    <n v="65090.428571428572"/>
    <n v="1366899"/>
    <n v="18"/>
    <n v="67883.388888888891"/>
    <n v="1221901"/>
    <n v="11"/>
    <n v="55558.63636363636"/>
    <n v="611145"/>
    <n v="13"/>
    <n v="57153.384615384617"/>
    <n v="742994"/>
    <n v="5"/>
    <n v="51726.6"/>
    <n v="258633"/>
    <n v="7"/>
    <n v="53671.142857142855"/>
    <n v="375698"/>
    <n v="2"/>
    <n v="42323"/>
    <n v="84646"/>
    <n v="1"/>
    <n v="35849"/>
    <n v="35849"/>
    <m/>
    <m/>
    <n v="0"/>
    <m/>
    <m/>
    <n v="0"/>
    <n v="2"/>
    <n v="91453.5"/>
    <n v="149654.5074"/>
    <n v="2"/>
    <n v="93753.5"/>
    <n v="153418.2274"/>
    <n v="1"/>
    <n v="69778"/>
    <n v="57092.359600000003"/>
    <n v="1"/>
    <n v="71872"/>
    <n v="58805.670400000003"/>
    <n v="1"/>
    <n v="79595"/>
    <n v="65124.629000000001"/>
    <n v="2"/>
    <n v="77615"/>
    <n v="127009.186"/>
    <n v="2"/>
    <n v="58439.5"/>
    <n v="95630.397800000006"/>
    <n v="1"/>
    <n v="50077"/>
    <n v="40973.001400000001"/>
    <n v="0"/>
    <n v="0"/>
    <n v="0"/>
    <m/>
    <m/>
    <n v="0"/>
    <m/>
    <m/>
    <n v="0"/>
    <m/>
    <m/>
    <n v="0"/>
  </r>
  <r>
    <x v="7"/>
    <s v="Garrett College "/>
    <n v="162609"/>
    <x v="8"/>
    <n v="12"/>
    <n v="57442.333333333336"/>
    <n v="689308"/>
    <n v="12"/>
    <n v="64792"/>
    <n v="777504"/>
    <n v="4"/>
    <n v="49532.75"/>
    <n v="198131"/>
    <n v="4"/>
    <n v="53165"/>
    <n v="212660"/>
    <n v="1"/>
    <n v="46568"/>
    <n v="46568"/>
    <n v="1"/>
    <n v="50018"/>
    <n v="50018"/>
    <n v="0"/>
    <n v="0"/>
    <n v="0"/>
    <m/>
    <m/>
    <n v="0"/>
    <n v="0"/>
    <n v="0"/>
    <n v="0"/>
    <m/>
    <m/>
    <n v="0"/>
    <m/>
    <m/>
    <n v="0"/>
    <m/>
    <m/>
    <n v="0"/>
    <m/>
    <m/>
    <n v="0"/>
    <m/>
    <m/>
    <n v="0"/>
    <m/>
    <m/>
    <n v="0"/>
    <m/>
    <m/>
    <n v="0"/>
    <m/>
    <m/>
    <n v="0"/>
    <m/>
    <m/>
    <n v="0"/>
    <m/>
    <m/>
    <n v="0"/>
    <m/>
    <m/>
    <n v="0"/>
    <m/>
    <m/>
    <n v="0"/>
    <m/>
    <m/>
    <n v="0"/>
    <m/>
    <m/>
    <n v="0"/>
    <m/>
    <m/>
    <n v="0"/>
  </r>
  <r>
    <x v="7"/>
    <s v="Wor-Wic Community College "/>
    <n v="164313"/>
    <x v="8"/>
    <n v="6"/>
    <n v="80958.5"/>
    <n v="485751"/>
    <n v="6"/>
    <n v="82010.833333333328"/>
    <n v="492065"/>
    <n v="7"/>
    <n v="63674.571428571428"/>
    <n v="445722"/>
    <n v="6"/>
    <n v="64024.666666666664"/>
    <n v="384148"/>
    <n v="15"/>
    <n v="55102.73333333333"/>
    <n v="826541"/>
    <n v="17"/>
    <n v="55531.705882352944"/>
    <n v="944039"/>
    <n v="20"/>
    <n v="44953.4"/>
    <n v="899068"/>
    <n v="21"/>
    <n v="46857.952380952382"/>
    <n v="984017"/>
    <n v="0"/>
    <n v="0"/>
    <n v="0"/>
    <m/>
    <m/>
    <n v="0"/>
    <m/>
    <m/>
    <n v="0"/>
    <m/>
    <m/>
    <n v="0"/>
    <n v="3"/>
    <n v="85099"/>
    <n v="208884.00540000002"/>
    <n v="4"/>
    <n v="88738.5"/>
    <n v="290423.3628"/>
    <n v="5"/>
    <n v="78041.600000000006"/>
    <n v="319268.18560000003"/>
    <n v="4"/>
    <n v="80042.5"/>
    <n v="261963.09400000001"/>
    <n v="1"/>
    <n v="70000"/>
    <n v="57274"/>
    <n v="3"/>
    <n v="65187"/>
    <n v="160008.01020000002"/>
    <n v="5"/>
    <n v="55271.8"/>
    <n v="226116.9338"/>
    <n v="6"/>
    <n v="58445.666666666664"/>
    <n v="286921.46679999999"/>
    <n v="0"/>
    <n v="0"/>
    <n v="0"/>
    <m/>
    <m/>
    <n v="0"/>
    <m/>
    <m/>
    <n v="0"/>
    <m/>
    <m/>
    <n v="0"/>
  </r>
  <r>
    <x v="8"/>
    <s v="Mississippi State University"/>
    <n v="176080"/>
    <x v="0"/>
    <n v="132"/>
    <n v="90423"/>
    <n v="11935836"/>
    <n v="119"/>
    <n v="91360.571428571435"/>
    <n v="10871908"/>
    <n v="127"/>
    <n v="70074"/>
    <n v="8899398"/>
    <n v="136"/>
    <n v="70087.257352941175"/>
    <n v="9531867"/>
    <n v="208"/>
    <n v="61512"/>
    <n v="12794496"/>
    <n v="228"/>
    <n v="61286.438596491229"/>
    <n v="13973308"/>
    <n v="93"/>
    <n v="39135"/>
    <n v="3639555"/>
    <n v="106"/>
    <n v="39581.811320754714"/>
    <n v="4195672"/>
    <n v="44"/>
    <n v="31394"/>
    <n v="1381336"/>
    <n v="46"/>
    <n v="29297.82608695652"/>
    <n v="1347700"/>
    <m/>
    <m/>
    <n v="0"/>
    <m/>
    <m/>
    <n v="0"/>
    <n v="117"/>
    <n v="114786"/>
    <n v="10988394.908400001"/>
    <n v="117"/>
    <n v="114982.47008547008"/>
    <n v="11007202.8718"/>
    <n v="60"/>
    <n v="87711"/>
    <n v="4305908.4120000005"/>
    <n v="54"/>
    <n v="85724.037037037036"/>
    <n v="3787527.9836000004"/>
    <n v="35"/>
    <n v="76994"/>
    <n v="2204877.1780000003"/>
    <n v="35"/>
    <n v="80208.771428571432"/>
    <n v="2296938.5874000001"/>
    <n v="8"/>
    <n v="51834"/>
    <n v="339284.63040000002"/>
    <n v="13"/>
    <n v="53498.923076923078"/>
    <n v="569046.64520000003"/>
    <n v="0"/>
    <n v="0"/>
    <n v="0"/>
    <m/>
    <m/>
    <n v="0"/>
    <m/>
    <m/>
    <n v="0"/>
    <m/>
    <m/>
    <n v="0"/>
  </r>
  <r>
    <x v="8"/>
    <s v="University of Southern Mississippi"/>
    <n v="176372"/>
    <x v="0"/>
    <n v="131"/>
    <n v="85499"/>
    <n v="11200369"/>
    <n v="124"/>
    <n v="84161.862903225803"/>
    <n v="10436071"/>
    <n v="121"/>
    <n v="64584"/>
    <n v="7814664"/>
    <n v="129"/>
    <n v="65539.162790697679"/>
    <n v="8454552"/>
    <n v="254"/>
    <n v="54770"/>
    <n v="13911580"/>
    <n v="270"/>
    <n v="55285.703703703701"/>
    <n v="14927140"/>
    <n v="129"/>
    <n v="44034"/>
    <n v="5680386"/>
    <n v="137"/>
    <n v="44850.810218978106"/>
    <n v="6144561.0000000009"/>
    <n v="3"/>
    <n v="52180"/>
    <n v="156540"/>
    <n v="2"/>
    <n v="51380.5"/>
    <n v="102761"/>
    <m/>
    <m/>
    <n v="0"/>
    <m/>
    <m/>
    <n v="0"/>
    <n v="27"/>
    <n v="103668"/>
    <n v="2290171.2552"/>
    <n v="31"/>
    <n v="103133.90322580645"/>
    <n v="2615908.9482"/>
    <n v="28"/>
    <n v="90286"/>
    <n v="2068416.1456000002"/>
    <n v="27"/>
    <n v="88525.111111111109"/>
    <n v="1955643.6396000001"/>
    <n v="10"/>
    <n v="88579"/>
    <n v="724753.37800000003"/>
    <n v="7"/>
    <n v="85840.71428571429"/>
    <n v="491644.10700000002"/>
    <n v="15"/>
    <n v="49659"/>
    <n v="609464.90700000001"/>
    <n v="15"/>
    <n v="41830.466666666667"/>
    <n v="513385.3174"/>
    <n v="2"/>
    <n v="55825"/>
    <n v="91352.03"/>
    <n v="1"/>
    <n v="55650"/>
    <n v="45532.83"/>
    <m/>
    <m/>
    <n v="0"/>
    <m/>
    <m/>
    <n v="0"/>
  </r>
  <r>
    <x v="8"/>
    <s v="Jackson State University "/>
    <n v="175856"/>
    <x v="1"/>
    <n v="37"/>
    <n v="67030"/>
    <n v="2480110"/>
    <n v="33"/>
    <n v="69929.060606060608"/>
    <n v="2307659"/>
    <n v="69"/>
    <n v="60871"/>
    <n v="4200099"/>
    <n v="67"/>
    <n v="60368.328358208957"/>
    <n v="4044678"/>
    <n v="142"/>
    <n v="54645"/>
    <n v="7759590"/>
    <n v="134"/>
    <n v="55867.985074626864"/>
    <n v="7486310"/>
    <n v="60"/>
    <n v="38695"/>
    <n v="2321700"/>
    <n v="58"/>
    <n v="39366.862068965514"/>
    <n v="2283278"/>
    <n v="0"/>
    <n v="0"/>
    <n v="0"/>
    <m/>
    <n v="7000"/>
    <n v="0"/>
    <m/>
    <m/>
    <n v="0"/>
    <m/>
    <m/>
    <n v="0"/>
    <n v="25"/>
    <n v="94960"/>
    <n v="1942406.8"/>
    <n v="25"/>
    <n v="96325.88"/>
    <n v="1970345.8754"/>
    <n v="30"/>
    <n v="79909"/>
    <n v="1961446.314"/>
    <n v="22"/>
    <n v="79909.045454545456"/>
    <n v="1438394.7818"/>
    <n v="14"/>
    <n v="64302"/>
    <n v="736566.54960000003"/>
    <n v="4"/>
    <n v="68187.25"/>
    <n v="223163.23180000001"/>
    <n v="7"/>
    <n v="46075"/>
    <n v="263889.95500000002"/>
    <n v="1"/>
    <n v="68681"/>
    <n v="56194.794200000004"/>
    <n v="0"/>
    <n v="0"/>
    <n v="0"/>
    <m/>
    <m/>
    <n v="0"/>
    <m/>
    <m/>
    <n v="0"/>
    <m/>
    <m/>
    <n v="0"/>
  </r>
  <r>
    <x v="8"/>
    <s v="University of Mississippi"/>
    <n v="176017"/>
    <x v="1"/>
    <n v="109"/>
    <n v="100929"/>
    <n v="11001261"/>
    <n v="105"/>
    <n v="104642.66666666667"/>
    <n v="10987480"/>
    <n v="141"/>
    <n v="74897"/>
    <n v="10560477"/>
    <n v="157"/>
    <n v="75827.248407643317"/>
    <n v="11904878"/>
    <n v="179"/>
    <n v="60684"/>
    <n v="10862436"/>
    <n v="197"/>
    <n v="61052.492385786805"/>
    <n v="12027341"/>
    <n v="91"/>
    <n v="31652"/>
    <n v="2880332"/>
    <n v="96"/>
    <n v="34708.875"/>
    <n v="3332052"/>
    <n v="3"/>
    <n v="56200"/>
    <n v="168600"/>
    <n v="8"/>
    <n v="44927.25"/>
    <n v="359418"/>
    <m/>
    <m/>
    <n v="0"/>
    <m/>
    <m/>
    <n v="0"/>
    <n v="48"/>
    <n v="120751"/>
    <n v="4742326.4736000001"/>
    <n v="52"/>
    <n v="126088.76923076923"/>
    <n v="5364623.2111999998"/>
    <n v="36"/>
    <n v="97778"/>
    <n v="2880070.5456000003"/>
    <n v="35"/>
    <n v="101851.65714285715"/>
    <n v="2916725.9056000002"/>
    <n v="33"/>
    <n v="78265"/>
    <n v="2113201.9590000003"/>
    <n v="37"/>
    <n v="78996.135135135133"/>
    <n v="2391481.5974000003"/>
    <n v="11"/>
    <n v="53927"/>
    <n v="485353.78540000005"/>
    <n v="13"/>
    <n v="59287.615384615383"/>
    <n v="630618.64980000001"/>
    <n v="2"/>
    <n v="56466"/>
    <n v="92400.962400000004"/>
    <n v="2"/>
    <n v="57650"/>
    <n v="94338.46"/>
    <m/>
    <m/>
    <n v="0"/>
    <m/>
    <m/>
    <n v="0"/>
  </r>
  <r>
    <x v="8"/>
    <s v="Alcorn State University"/>
    <n v="175342"/>
    <x v="3"/>
    <n v="34"/>
    <n v="65472"/>
    <n v="2226048"/>
    <n v="30"/>
    <n v="63569.23333333333"/>
    <n v="1907077"/>
    <n v="35"/>
    <n v="58270"/>
    <n v="2039450"/>
    <n v="34"/>
    <n v="57414.970588235294"/>
    <n v="1952109"/>
    <n v="36"/>
    <n v="52943"/>
    <n v="1905948"/>
    <n v="45"/>
    <n v="54462.911111111112"/>
    <n v="2450831"/>
    <n v="35"/>
    <n v="38654"/>
    <n v="1352890"/>
    <n v="40"/>
    <n v="37543.025000000001"/>
    <n v="1501721"/>
    <n v="0"/>
    <n v="0"/>
    <n v="0"/>
    <m/>
    <m/>
    <n v="0"/>
    <m/>
    <m/>
    <n v="0"/>
    <m/>
    <m/>
    <n v="0"/>
    <n v="6"/>
    <n v="95204"/>
    <n v="467375.4768"/>
    <n v="6"/>
    <n v="98473.166666666672"/>
    <n v="483424.46980000002"/>
    <n v="3"/>
    <n v="85265"/>
    <n v="209291.46900000001"/>
    <n v="4"/>
    <n v="87390.25"/>
    <n v="286010.81020000001"/>
    <n v="6"/>
    <n v="67168"/>
    <n v="329741.14559999999"/>
    <n v="8"/>
    <n v="67839.625"/>
    <n v="444051.04940000002"/>
    <n v="18"/>
    <n v="50539"/>
    <n v="744318.1764"/>
    <n v="8"/>
    <n v="47539.75"/>
    <n v="311176.1876"/>
    <n v="0"/>
    <n v="0"/>
    <n v="0"/>
    <m/>
    <m/>
    <n v="0"/>
    <m/>
    <m/>
    <n v="0"/>
    <m/>
    <m/>
    <n v="0"/>
  </r>
  <r>
    <x v="8"/>
    <s v="Delta State University"/>
    <n v="175616"/>
    <x v="3"/>
    <n v="30"/>
    <n v="62357"/>
    <n v="1870710"/>
    <n v="29"/>
    <n v="62376.34482758621"/>
    <n v="1808914"/>
    <n v="19"/>
    <n v="57992"/>
    <n v="1101848"/>
    <n v="24"/>
    <n v="57819.583333333336"/>
    <n v="1387670"/>
    <n v="63"/>
    <n v="48620"/>
    <n v="3063060"/>
    <n v="57"/>
    <n v="47547.15789473684"/>
    <n v="2710188"/>
    <n v="40"/>
    <n v="43398"/>
    <n v="1735920"/>
    <n v="44"/>
    <n v="45022.840909090912"/>
    <n v="1981005"/>
    <n v="0"/>
    <n v="0"/>
    <n v="0"/>
    <m/>
    <m/>
    <n v="0"/>
    <m/>
    <m/>
    <n v="0"/>
    <m/>
    <m/>
    <n v="0"/>
    <n v="11"/>
    <n v="79037"/>
    <n v="711348.80740000005"/>
    <n v="11"/>
    <n v="82468.818181818177"/>
    <n v="742235.85739999998"/>
    <n v="5"/>
    <n v="76864"/>
    <n v="314450.62400000001"/>
    <n v="5"/>
    <n v="69916.600000000006"/>
    <n v="286028.81060000003"/>
    <n v="8"/>
    <n v="67545"/>
    <n v="442122.55200000003"/>
    <n v="18"/>
    <n v="56494.555555555555"/>
    <n v="832029.21640000003"/>
    <n v="3"/>
    <n v="53478"/>
    <n v="131267.09880000001"/>
    <n v="4"/>
    <n v="78625"/>
    <n v="257323.90000000002"/>
    <n v="0"/>
    <n v="0"/>
    <n v="0"/>
    <m/>
    <m/>
    <n v="0"/>
    <m/>
    <m/>
    <n v="0"/>
    <m/>
    <m/>
    <n v="0"/>
  </r>
  <r>
    <x v="8"/>
    <s v="Mississippi University for Women"/>
    <n v="176035"/>
    <x v="4"/>
    <n v="20"/>
    <n v="58552"/>
    <n v="1171040"/>
    <n v="19"/>
    <n v="56588.26315789474"/>
    <n v="1075177"/>
    <n v="12"/>
    <n v="47889"/>
    <n v="574668"/>
    <n v="14"/>
    <n v="48049.571428571428"/>
    <n v="672694"/>
    <n v="34"/>
    <n v="45221"/>
    <n v="1537514"/>
    <n v="37"/>
    <n v="45326.864864864867"/>
    <n v="1677094"/>
    <n v="42"/>
    <n v="44561"/>
    <n v="1871562"/>
    <n v="40"/>
    <n v="46651.65"/>
    <n v="1866066"/>
    <n v="0"/>
    <n v="0"/>
    <n v="0"/>
    <m/>
    <m/>
    <n v="0"/>
    <m/>
    <m/>
    <n v="0"/>
    <m/>
    <m/>
    <n v="0"/>
    <n v="10"/>
    <n v="68352"/>
    <n v="559256.06400000001"/>
    <n v="9"/>
    <n v="69393.222222222219"/>
    <n v="510997.80980000005"/>
    <n v="2"/>
    <n v="59252"/>
    <n v="96959.972800000003"/>
    <n v="3"/>
    <n v="67001"/>
    <n v="164460.65460000001"/>
    <n v="4"/>
    <n v="73125"/>
    <n v="239323.5"/>
    <n v="2"/>
    <n v="76500"/>
    <n v="125184.6"/>
    <n v="11"/>
    <n v="64855"/>
    <n v="583707.97100000002"/>
    <n v="11"/>
    <n v="62671.727272727272"/>
    <n v="564058.07980000007"/>
    <n v="0"/>
    <n v="0"/>
    <n v="0"/>
    <m/>
    <m/>
    <n v="0"/>
    <m/>
    <m/>
    <n v="0"/>
    <m/>
    <m/>
    <n v="0"/>
  </r>
  <r>
    <x v="8"/>
    <s v="Mississippi Valley State University"/>
    <n v="176044"/>
    <x v="4"/>
    <n v="8"/>
    <n v="63735"/>
    <n v="509880"/>
    <n v="11"/>
    <n v="61805.090909090912"/>
    <n v="679856"/>
    <n v="16"/>
    <n v="58132"/>
    <n v="930112"/>
    <n v="13"/>
    <n v="57739"/>
    <n v="750607"/>
    <n v="61"/>
    <n v="49083"/>
    <n v="2994063"/>
    <n v="61"/>
    <n v="48845.344262295082"/>
    <n v="2979566"/>
    <n v="24"/>
    <n v="40359"/>
    <n v="968616"/>
    <n v="26"/>
    <n v="40112.615384615383"/>
    <n v="1042928"/>
    <n v="0"/>
    <n v="0"/>
    <n v="0"/>
    <m/>
    <m/>
    <n v="0"/>
    <m/>
    <m/>
    <n v="0"/>
    <m/>
    <m/>
    <n v="0"/>
    <n v="9"/>
    <n v="74651"/>
    <n v="549715.03379999998"/>
    <n v="8"/>
    <n v="72667.625"/>
    <n v="475653.20620000002"/>
    <n v="7"/>
    <n v="75600"/>
    <n v="432991.44"/>
    <n v="8"/>
    <n v="76316.625"/>
    <n v="499538.10060000001"/>
    <n v="10"/>
    <n v="66911"/>
    <n v="547465.80200000003"/>
    <n v="9"/>
    <n v="65842"/>
    <n v="484847.31960000005"/>
    <n v="1"/>
    <n v="46913"/>
    <n v="38384.2166"/>
    <n v="2"/>
    <n v="48456.5"/>
    <n v="79294.2166"/>
    <n v="0"/>
    <n v="0"/>
    <n v="0"/>
    <m/>
    <m/>
    <n v="0"/>
    <m/>
    <m/>
    <n v="0"/>
    <m/>
    <m/>
    <n v="0"/>
  </r>
  <r>
    <x v="8"/>
    <s v="Hinds Community College "/>
    <n v="175786"/>
    <x v="6"/>
    <m/>
    <m/>
    <n v="0"/>
    <m/>
    <m/>
    <n v="0"/>
    <m/>
    <m/>
    <n v="0"/>
    <m/>
    <m/>
    <n v="0"/>
    <m/>
    <m/>
    <n v="0"/>
    <m/>
    <m/>
    <n v="0"/>
    <m/>
    <m/>
    <n v="0"/>
    <m/>
    <m/>
    <n v="0"/>
    <m/>
    <m/>
    <n v="0"/>
    <m/>
    <m/>
    <n v="0"/>
    <n v="323"/>
    <n v="48993.5"/>
    <n v="15824900.5"/>
    <n v="284"/>
    <n v="49209.599999999999"/>
    <n v="13975526.4"/>
    <m/>
    <m/>
    <n v="0"/>
    <m/>
    <m/>
    <n v="0"/>
    <m/>
    <m/>
    <n v="0"/>
    <m/>
    <m/>
    <n v="0"/>
    <m/>
    <m/>
    <n v="0"/>
    <m/>
    <m/>
    <n v="0"/>
    <m/>
    <m/>
    <n v="0"/>
    <m/>
    <m/>
    <n v="0"/>
    <m/>
    <m/>
    <n v="0"/>
    <m/>
    <m/>
    <n v="0"/>
    <n v="65"/>
    <n v="44934.1"/>
    <n v="2389730.2403000002"/>
    <n v="122"/>
    <n v="49572.295081967211"/>
    <n v="4948326.324"/>
  </r>
  <r>
    <x v="8"/>
    <s v="Mississippi Gulf Coast Community College "/>
    <n v="176071"/>
    <x v="6"/>
    <m/>
    <m/>
    <n v="0"/>
    <m/>
    <m/>
    <n v="0"/>
    <m/>
    <m/>
    <n v="0"/>
    <m/>
    <m/>
    <n v="0"/>
    <m/>
    <m/>
    <n v="0"/>
    <m/>
    <m/>
    <n v="0"/>
    <m/>
    <m/>
    <n v="0"/>
    <m/>
    <m/>
    <n v="0"/>
    <m/>
    <m/>
    <n v="0"/>
    <m/>
    <m/>
    <n v="0"/>
    <n v="277"/>
    <n v="45601"/>
    <n v="12631477"/>
    <n v="275"/>
    <n v="45443.7"/>
    <n v="12497017.5"/>
    <m/>
    <m/>
    <n v="0"/>
    <m/>
    <m/>
    <n v="0"/>
    <m/>
    <m/>
    <n v="0"/>
    <m/>
    <m/>
    <n v="0"/>
    <m/>
    <m/>
    <n v="0"/>
    <m/>
    <m/>
    <n v="0"/>
    <m/>
    <m/>
    <n v="0"/>
    <m/>
    <m/>
    <n v="0"/>
    <m/>
    <m/>
    <n v="0"/>
    <m/>
    <m/>
    <n v="0"/>
    <n v="133"/>
    <n v="43454.5"/>
    <n v="4728744.7626999998"/>
    <n v="130"/>
    <n v="47486.846153846156"/>
    <n v="5050985.8780000005"/>
  </r>
  <r>
    <x v="8"/>
    <s v="Northwest Mississippi Community College "/>
    <n v="176178"/>
    <x v="6"/>
    <m/>
    <m/>
    <n v="0"/>
    <m/>
    <m/>
    <n v="0"/>
    <m/>
    <m/>
    <n v="0"/>
    <m/>
    <m/>
    <n v="0"/>
    <m/>
    <m/>
    <n v="0"/>
    <m/>
    <m/>
    <n v="0"/>
    <m/>
    <m/>
    <n v="0"/>
    <m/>
    <m/>
    <n v="0"/>
    <m/>
    <m/>
    <n v="0"/>
    <m/>
    <m/>
    <n v="0"/>
    <n v="185"/>
    <n v="44205.2"/>
    <n v="8177961.9999999991"/>
    <n v="176"/>
    <n v="47243.4"/>
    <n v="8314838.4000000004"/>
    <m/>
    <m/>
    <n v="0"/>
    <m/>
    <m/>
    <n v="0"/>
    <m/>
    <m/>
    <n v="0"/>
    <m/>
    <m/>
    <n v="0"/>
    <m/>
    <m/>
    <n v="0"/>
    <m/>
    <m/>
    <n v="0"/>
    <m/>
    <m/>
    <n v="0"/>
    <m/>
    <m/>
    <n v="0"/>
    <m/>
    <m/>
    <n v="0"/>
    <m/>
    <m/>
    <n v="0"/>
    <n v="27"/>
    <n v="56903.199999999997"/>
    <n v="1257071.3524799999"/>
    <n v="38"/>
    <n v="54837.026315789473"/>
    <n v="1704970.8874000001"/>
  </r>
  <r>
    <x v="8"/>
    <s v="Copiah-Lincoln Community College "/>
    <n v="175573"/>
    <x v="7"/>
    <m/>
    <m/>
    <n v="0"/>
    <m/>
    <m/>
    <n v="0"/>
    <m/>
    <m/>
    <n v="0"/>
    <m/>
    <m/>
    <n v="0"/>
    <m/>
    <m/>
    <n v="0"/>
    <m/>
    <m/>
    <n v="0"/>
    <m/>
    <m/>
    <n v="0"/>
    <m/>
    <m/>
    <n v="0"/>
    <m/>
    <m/>
    <n v="0"/>
    <m/>
    <m/>
    <n v="0"/>
    <n v="111"/>
    <n v="44825.1"/>
    <n v="4975586.0999999996"/>
    <n v="112"/>
    <n v="47596.5"/>
    <n v="5330808"/>
    <m/>
    <m/>
    <n v="0"/>
    <m/>
    <m/>
    <n v="0"/>
    <m/>
    <m/>
    <n v="0"/>
    <m/>
    <m/>
    <n v="0"/>
    <m/>
    <m/>
    <n v="0"/>
    <m/>
    <m/>
    <n v="0"/>
    <m/>
    <m/>
    <n v="0"/>
    <m/>
    <m/>
    <n v="0"/>
    <m/>
    <m/>
    <n v="0"/>
    <m/>
    <m/>
    <n v="0"/>
    <n v="0"/>
    <n v="0"/>
    <n v="0"/>
    <n v="0"/>
    <n v="0"/>
    <n v="0"/>
  </r>
  <r>
    <x v="8"/>
    <s v="East Central Community College "/>
    <n v="175643"/>
    <x v="7"/>
    <m/>
    <m/>
    <n v="0"/>
    <m/>
    <m/>
    <n v="0"/>
    <m/>
    <m/>
    <n v="0"/>
    <m/>
    <m/>
    <n v="0"/>
    <m/>
    <m/>
    <n v="0"/>
    <m/>
    <m/>
    <n v="0"/>
    <m/>
    <m/>
    <n v="0"/>
    <m/>
    <m/>
    <n v="0"/>
    <m/>
    <m/>
    <n v="0"/>
    <m/>
    <m/>
    <n v="0"/>
    <n v="74"/>
    <n v="53638.7"/>
    <n v="3969263.8"/>
    <n v="74"/>
    <n v="51759.9"/>
    <n v="3830232.6"/>
    <m/>
    <m/>
    <n v="0"/>
    <m/>
    <m/>
    <n v="0"/>
    <m/>
    <m/>
    <n v="0"/>
    <m/>
    <m/>
    <n v="0"/>
    <m/>
    <m/>
    <n v="0"/>
    <m/>
    <m/>
    <n v="0"/>
    <m/>
    <m/>
    <n v="0"/>
    <m/>
    <m/>
    <n v="0"/>
    <m/>
    <m/>
    <n v="0"/>
    <m/>
    <m/>
    <n v="0"/>
    <n v="16"/>
    <n v="16297"/>
    <n v="213347.28640000001"/>
    <n v="6"/>
    <n v="45453.666666666664"/>
    <n v="223141.1404"/>
  </r>
  <r>
    <x v="8"/>
    <s v="East Mississippi Community College "/>
    <n v="175652"/>
    <x v="7"/>
    <m/>
    <m/>
    <n v="0"/>
    <m/>
    <m/>
    <n v="0"/>
    <m/>
    <m/>
    <n v="0"/>
    <m/>
    <m/>
    <n v="0"/>
    <m/>
    <m/>
    <n v="0"/>
    <m/>
    <m/>
    <n v="0"/>
    <m/>
    <m/>
    <n v="0"/>
    <m/>
    <m/>
    <n v="0"/>
    <m/>
    <m/>
    <n v="0"/>
    <m/>
    <m/>
    <n v="0"/>
    <n v="91"/>
    <n v="48995"/>
    <n v="4458545"/>
    <n v="91.2"/>
    <n v="50522.2"/>
    <n v="4607624.6399999997"/>
    <m/>
    <m/>
    <n v="0"/>
    <m/>
    <m/>
    <n v="0"/>
    <m/>
    <m/>
    <n v="0"/>
    <m/>
    <m/>
    <n v="0"/>
    <m/>
    <m/>
    <n v="0"/>
    <m/>
    <m/>
    <n v="0"/>
    <m/>
    <m/>
    <n v="0"/>
    <m/>
    <m/>
    <n v="0"/>
    <m/>
    <m/>
    <n v="0"/>
    <m/>
    <m/>
    <n v="0"/>
    <n v="17.3"/>
    <n v="45749.2"/>
    <n v="647573.5211120001"/>
    <n v="23.3"/>
    <n v="51989.055793991414"/>
    <n v="991122.47900000005"/>
  </r>
  <r>
    <x v="8"/>
    <s v="Holmes Community College "/>
    <n v="175810"/>
    <x v="7"/>
    <m/>
    <m/>
    <n v="0"/>
    <m/>
    <m/>
    <n v="0"/>
    <m/>
    <m/>
    <n v="0"/>
    <m/>
    <m/>
    <n v="0"/>
    <m/>
    <m/>
    <n v="0"/>
    <m/>
    <m/>
    <n v="0"/>
    <m/>
    <m/>
    <n v="0"/>
    <m/>
    <m/>
    <n v="0"/>
    <m/>
    <m/>
    <n v="0"/>
    <m/>
    <m/>
    <n v="0"/>
    <n v="121.5"/>
    <n v="52798.3"/>
    <n v="6414993.4500000002"/>
    <n v="127"/>
    <n v="55331.6"/>
    <n v="7027113.2000000002"/>
    <m/>
    <m/>
    <n v="0"/>
    <m/>
    <m/>
    <n v="0"/>
    <m/>
    <m/>
    <n v="0"/>
    <m/>
    <m/>
    <n v="0"/>
    <m/>
    <m/>
    <n v="0"/>
    <m/>
    <m/>
    <n v="0"/>
    <m/>
    <m/>
    <n v="0"/>
    <m/>
    <m/>
    <n v="0"/>
    <m/>
    <m/>
    <n v="0"/>
    <m/>
    <m/>
    <n v="0"/>
    <n v="46"/>
    <n v="43245.9"/>
    <n v="1627654.5874800002"/>
    <n v="44"/>
    <n v="57278.63636363636"/>
    <n v="2062076.7320000001"/>
  </r>
  <r>
    <x v="8"/>
    <s v="Itawamba Community College "/>
    <n v="175829"/>
    <x v="7"/>
    <m/>
    <m/>
    <n v="0"/>
    <m/>
    <m/>
    <n v="0"/>
    <m/>
    <m/>
    <n v="0"/>
    <m/>
    <m/>
    <n v="0"/>
    <m/>
    <m/>
    <n v="0"/>
    <m/>
    <m/>
    <n v="0"/>
    <m/>
    <m/>
    <n v="0"/>
    <m/>
    <m/>
    <n v="0"/>
    <m/>
    <m/>
    <n v="0"/>
    <m/>
    <m/>
    <n v="0"/>
    <n v="110"/>
    <n v="50258"/>
    <n v="5528380"/>
    <n v="129"/>
    <n v="52813.2"/>
    <n v="6812902.7999999998"/>
    <m/>
    <m/>
    <n v="0"/>
    <m/>
    <m/>
    <n v="0"/>
    <m/>
    <m/>
    <n v="0"/>
    <m/>
    <m/>
    <n v="0"/>
    <m/>
    <m/>
    <n v="0"/>
    <m/>
    <m/>
    <n v="0"/>
    <m/>
    <m/>
    <n v="0"/>
    <m/>
    <m/>
    <n v="0"/>
    <m/>
    <m/>
    <n v="0"/>
    <m/>
    <m/>
    <n v="0"/>
    <n v="58"/>
    <n v="51562.9"/>
    <n v="2446948.3572400003"/>
    <n v="62"/>
    <n v="66609.080645161288"/>
    <n v="3378972.0866"/>
  </r>
  <r>
    <x v="8"/>
    <s v="Jones County Junior College "/>
    <n v="175883"/>
    <x v="7"/>
    <m/>
    <m/>
    <n v="0"/>
    <m/>
    <m/>
    <n v="0"/>
    <m/>
    <m/>
    <n v="0"/>
    <m/>
    <m/>
    <n v="0"/>
    <m/>
    <m/>
    <n v="0"/>
    <m/>
    <m/>
    <n v="0"/>
    <m/>
    <m/>
    <n v="0"/>
    <m/>
    <m/>
    <n v="0"/>
    <m/>
    <m/>
    <n v="0"/>
    <m/>
    <m/>
    <n v="0"/>
    <n v="154.5"/>
    <n v="53369.5"/>
    <n v="8245587.75"/>
    <n v="135.1"/>
    <n v="54481.5"/>
    <n v="7360450.6499999994"/>
    <m/>
    <m/>
    <n v="0"/>
    <m/>
    <m/>
    <n v="0"/>
    <m/>
    <m/>
    <n v="0"/>
    <m/>
    <m/>
    <n v="0"/>
    <m/>
    <m/>
    <n v="0"/>
    <m/>
    <m/>
    <n v="0"/>
    <m/>
    <m/>
    <n v="0"/>
    <m/>
    <m/>
    <n v="0"/>
    <m/>
    <m/>
    <n v="0"/>
    <m/>
    <m/>
    <n v="0"/>
    <n v="19.5"/>
    <n v="50495.199999999997"/>
    <n v="805645.86647999997"/>
    <n v="12.1"/>
    <n v="63080.826446280997"/>
    <n v="624514.05960000004"/>
  </r>
  <r>
    <x v="8"/>
    <s v="Meridian Community College "/>
    <n v="175935"/>
    <x v="7"/>
    <m/>
    <m/>
    <n v="0"/>
    <m/>
    <m/>
    <n v="0"/>
    <m/>
    <m/>
    <n v="0"/>
    <m/>
    <m/>
    <n v="0"/>
    <m/>
    <m/>
    <n v="0"/>
    <m/>
    <m/>
    <n v="0"/>
    <m/>
    <m/>
    <n v="0"/>
    <m/>
    <m/>
    <n v="0"/>
    <m/>
    <m/>
    <n v="0"/>
    <m/>
    <m/>
    <n v="0"/>
    <n v="85.7"/>
    <n v="44829.9"/>
    <n v="3841922.43"/>
    <n v="92.2"/>
    <n v="45972.5"/>
    <n v="4238664.5"/>
    <m/>
    <m/>
    <n v="0"/>
    <m/>
    <m/>
    <n v="0"/>
    <m/>
    <m/>
    <n v="0"/>
    <m/>
    <m/>
    <n v="0"/>
    <m/>
    <m/>
    <n v="0"/>
    <m/>
    <m/>
    <n v="0"/>
    <m/>
    <m/>
    <n v="0"/>
    <m/>
    <m/>
    <n v="0"/>
    <m/>
    <m/>
    <n v="0"/>
    <m/>
    <m/>
    <n v="0"/>
    <n v="60.9"/>
    <n v="39674.699999999997"/>
    <n v="1976926.0279860001"/>
    <n v="63"/>
    <n v="49160.761904761908"/>
    <n v="2534070.1296000001"/>
  </r>
  <r>
    <x v="8"/>
    <s v="Mississippi Delta Community College "/>
    <n v="176008"/>
    <x v="7"/>
    <m/>
    <m/>
    <n v="0"/>
    <m/>
    <m/>
    <n v="0"/>
    <m/>
    <m/>
    <n v="0"/>
    <m/>
    <m/>
    <n v="0"/>
    <m/>
    <m/>
    <n v="0"/>
    <m/>
    <m/>
    <n v="0"/>
    <m/>
    <m/>
    <n v="0"/>
    <m/>
    <m/>
    <n v="0"/>
    <m/>
    <m/>
    <n v="0"/>
    <m/>
    <m/>
    <n v="0"/>
    <n v="107"/>
    <n v="49192.1"/>
    <n v="5263554.7"/>
    <n v="104"/>
    <n v="50615.4"/>
    <n v="5264001.6000000006"/>
    <m/>
    <m/>
    <n v="0"/>
    <m/>
    <m/>
    <n v="0"/>
    <m/>
    <m/>
    <n v="0"/>
    <m/>
    <m/>
    <n v="0"/>
    <m/>
    <m/>
    <n v="0"/>
    <m/>
    <m/>
    <n v="0"/>
    <m/>
    <m/>
    <n v="0"/>
    <m/>
    <m/>
    <n v="0"/>
    <m/>
    <m/>
    <n v="0"/>
    <m/>
    <m/>
    <n v="0"/>
    <n v="7"/>
    <n v="38316.400000000001"/>
    <n v="219453.34935999999"/>
    <n v="13"/>
    <n v="46431.153846153844"/>
    <n v="493869.61100000003"/>
  </r>
  <r>
    <x v="8"/>
    <s v="Northeast Mississippi Community College "/>
    <n v="176169"/>
    <x v="7"/>
    <m/>
    <m/>
    <n v="0"/>
    <m/>
    <m/>
    <n v="0"/>
    <m/>
    <m/>
    <n v="0"/>
    <m/>
    <m/>
    <n v="0"/>
    <m/>
    <m/>
    <n v="0"/>
    <m/>
    <m/>
    <n v="0"/>
    <m/>
    <m/>
    <n v="0"/>
    <m/>
    <m/>
    <n v="0"/>
    <m/>
    <m/>
    <n v="0"/>
    <m/>
    <m/>
    <n v="0"/>
    <n v="105"/>
    <n v="52084.9"/>
    <n v="5468914.5"/>
    <n v="107"/>
    <n v="52437.4"/>
    <n v="5610801.7999999998"/>
    <m/>
    <m/>
    <n v="0"/>
    <m/>
    <m/>
    <n v="0"/>
    <m/>
    <m/>
    <n v="0"/>
    <m/>
    <m/>
    <n v="0"/>
    <m/>
    <m/>
    <n v="0"/>
    <m/>
    <m/>
    <n v="0"/>
    <m/>
    <m/>
    <n v="0"/>
    <m/>
    <m/>
    <n v="0"/>
    <m/>
    <m/>
    <n v="0"/>
    <m/>
    <m/>
    <n v="0"/>
    <n v="26"/>
    <n v="48756.9"/>
    <n v="1037215.2850800002"/>
    <n v="26"/>
    <n v="59850.115384615383"/>
    <n v="1273203.4746000001"/>
  </r>
  <r>
    <x v="8"/>
    <s v="Pearl River Community College "/>
    <n v="176239"/>
    <x v="7"/>
    <m/>
    <m/>
    <n v="0"/>
    <m/>
    <m/>
    <n v="0"/>
    <m/>
    <m/>
    <n v="0"/>
    <m/>
    <m/>
    <n v="0"/>
    <m/>
    <m/>
    <n v="0"/>
    <m/>
    <m/>
    <n v="0"/>
    <m/>
    <m/>
    <n v="0"/>
    <m/>
    <m/>
    <n v="0"/>
    <m/>
    <m/>
    <n v="0"/>
    <m/>
    <m/>
    <n v="0"/>
    <n v="155"/>
    <n v="43779"/>
    <n v="6785745"/>
    <n v="156"/>
    <n v="45865.599999999999"/>
    <n v="7155033.5999999996"/>
    <m/>
    <m/>
    <n v="0"/>
    <m/>
    <m/>
    <n v="0"/>
    <m/>
    <m/>
    <n v="0"/>
    <m/>
    <m/>
    <n v="0"/>
    <m/>
    <m/>
    <n v="0"/>
    <m/>
    <m/>
    <n v="0"/>
    <m/>
    <m/>
    <n v="0"/>
    <m/>
    <m/>
    <n v="0"/>
    <m/>
    <m/>
    <n v="0"/>
    <m/>
    <m/>
    <n v="0"/>
    <n v="18"/>
    <n v="44050.9"/>
    <n v="648764.03484000009"/>
    <n v="18"/>
    <n v="56531.888888888891"/>
    <n v="832579.04680000001"/>
  </r>
  <r>
    <x v="8"/>
    <s v="Coahoma Community College "/>
    <n v="175519"/>
    <x v="8"/>
    <m/>
    <m/>
    <n v="0"/>
    <m/>
    <m/>
    <n v="0"/>
    <m/>
    <m/>
    <n v="0"/>
    <m/>
    <m/>
    <n v="0"/>
    <m/>
    <m/>
    <n v="0"/>
    <m/>
    <m/>
    <n v="0"/>
    <m/>
    <m/>
    <n v="0"/>
    <m/>
    <m/>
    <n v="0"/>
    <m/>
    <m/>
    <n v="0"/>
    <m/>
    <m/>
    <n v="0"/>
    <n v="24"/>
    <n v="44685"/>
    <n v="1072440"/>
    <n v="26"/>
    <n v="46973.1"/>
    <n v="1221300.5999999999"/>
    <m/>
    <m/>
    <n v="0"/>
    <m/>
    <m/>
    <n v="0"/>
    <m/>
    <m/>
    <n v="0"/>
    <m/>
    <m/>
    <n v="0"/>
    <m/>
    <m/>
    <n v="0"/>
    <m/>
    <m/>
    <n v="0"/>
    <m/>
    <m/>
    <n v="0"/>
    <m/>
    <m/>
    <n v="0"/>
    <m/>
    <m/>
    <n v="0"/>
    <m/>
    <m/>
    <n v="0"/>
    <n v="45"/>
    <n v="35015.1"/>
    <n v="1289220.9669000001"/>
    <n v="51"/>
    <n v="43846.941176470587"/>
    <n v="1829653.9308"/>
  </r>
  <r>
    <x v="8"/>
    <s v="Southwest Mississippi Community College"/>
    <n v="176354"/>
    <x v="8"/>
    <m/>
    <m/>
    <n v="0"/>
    <m/>
    <m/>
    <n v="0"/>
    <m/>
    <m/>
    <n v="0"/>
    <m/>
    <m/>
    <n v="0"/>
    <m/>
    <m/>
    <n v="0"/>
    <m/>
    <m/>
    <n v="0"/>
    <m/>
    <m/>
    <n v="0"/>
    <m/>
    <m/>
    <n v="0"/>
    <m/>
    <m/>
    <n v="0"/>
    <m/>
    <m/>
    <n v="0"/>
    <n v="61"/>
    <n v="54934.2"/>
    <n v="3350986.1999999997"/>
    <n v="66"/>
    <n v="54667.199999999997"/>
    <n v="3608035.1999999997"/>
    <m/>
    <m/>
    <n v="0"/>
    <m/>
    <m/>
    <n v="0"/>
    <m/>
    <m/>
    <n v="0"/>
    <m/>
    <m/>
    <n v="0"/>
    <m/>
    <m/>
    <n v="0"/>
    <m/>
    <m/>
    <n v="0"/>
    <m/>
    <m/>
    <n v="0"/>
    <m/>
    <m/>
    <n v="0"/>
    <m/>
    <m/>
    <n v="0"/>
    <m/>
    <m/>
    <n v="0"/>
    <n v="8"/>
    <n v="32795.9"/>
    <n v="214668.84304000001"/>
    <n v="9"/>
    <n v="41864.777777777781"/>
    <n v="308283.85060000001"/>
  </r>
  <r>
    <x v="9"/>
    <s v="North Carolina State University "/>
    <n v="199193"/>
    <x v="0"/>
    <n v="349"/>
    <n v="115995"/>
    <n v="40482255"/>
    <n v="363"/>
    <n v="120263"/>
    <n v="43655469"/>
    <n v="271"/>
    <n v="83924"/>
    <n v="22743404"/>
    <n v="293"/>
    <n v="87220"/>
    <n v="25555460"/>
    <n v="231"/>
    <n v="73476"/>
    <n v="16972956"/>
    <n v="243"/>
    <n v="75678"/>
    <n v="18389754"/>
    <n v="3"/>
    <n v="52870"/>
    <n v="158610"/>
    <n v="4"/>
    <n v="57084"/>
    <n v="228336"/>
    <n v="231"/>
    <n v="47605"/>
    <n v="10996755"/>
    <n v="239"/>
    <n v="49589"/>
    <n v="11851771"/>
    <m/>
    <m/>
    <n v="0"/>
    <m/>
    <m/>
    <n v="0"/>
    <n v="286"/>
    <n v="127655"/>
    <n v="29871933.806000002"/>
    <n v="295"/>
    <n v="130635"/>
    <n v="31531239.315000001"/>
    <n v="139"/>
    <n v="95544"/>
    <n v="10866200.0112"/>
    <n v="132"/>
    <n v="97593"/>
    <n v="10540278.223200001"/>
    <n v="137"/>
    <n v="78200"/>
    <n v="8765703.8800000008"/>
    <n v="127"/>
    <n v="78149"/>
    <n v="8120571.9986000005"/>
    <n v="1"/>
    <n v="46700"/>
    <n v="38209.94"/>
    <n v="2"/>
    <n v="49750"/>
    <n v="81410.900000000009"/>
    <n v="75"/>
    <n v="78453"/>
    <n v="4814268.3450000007"/>
    <n v="70"/>
    <n v="82052"/>
    <n v="4699446.2480000006"/>
    <m/>
    <m/>
    <n v="0"/>
    <m/>
    <m/>
    <n v="0"/>
  </r>
  <r>
    <x v="9"/>
    <s v="University of North Carolina at Chapel Hill "/>
    <n v="199120"/>
    <x v="0"/>
    <n v="469"/>
    <n v="134919"/>
    <n v="63277011"/>
    <n v="475"/>
    <n v="139898"/>
    <n v="66451550"/>
    <n v="236"/>
    <n v="88770"/>
    <n v="20949720"/>
    <n v="254"/>
    <n v="93129"/>
    <n v="23654766"/>
    <n v="222"/>
    <n v="80122"/>
    <n v="17787084"/>
    <n v="240"/>
    <n v="84929"/>
    <n v="20382960"/>
    <n v="3"/>
    <n v="122271"/>
    <n v="366813"/>
    <n v="11"/>
    <n v="131545"/>
    <n v="1446995"/>
    <n v="180"/>
    <n v="60114"/>
    <n v="10820520"/>
    <n v="194"/>
    <n v="66888"/>
    <n v="12976272"/>
    <m/>
    <m/>
    <n v="0"/>
    <m/>
    <m/>
    <n v="0"/>
    <n v="109"/>
    <n v="188305"/>
    <n v="16793755.459000003"/>
    <n v="119"/>
    <n v="188383"/>
    <n v="18342061.501400001"/>
    <n v="103"/>
    <n v="117087"/>
    <n v="9867460.0902000014"/>
    <n v="103"/>
    <n v="117825"/>
    <n v="9929654.745000001"/>
    <n v="92"/>
    <n v="84540"/>
    <n v="6363697.7760000005"/>
    <n v="87"/>
    <n v="90467"/>
    <n v="6439748.6478000004"/>
    <n v="8"/>
    <n v="76289"/>
    <n v="499357.27840000001"/>
    <n v="6"/>
    <n v="68360"/>
    <n v="335592.91200000001"/>
    <n v="92"/>
    <n v="101001"/>
    <n v="7602789.6743999999"/>
    <n v="111"/>
    <n v="106977"/>
    <n v="9715672.5354000013"/>
    <m/>
    <m/>
    <n v="0"/>
    <m/>
    <m/>
    <n v="0"/>
  </r>
  <r>
    <x v="9"/>
    <s v="University of North Carolina at Charlotte"/>
    <n v="199139"/>
    <x v="1"/>
    <n v="161"/>
    <n v="102999"/>
    <n v="16582839"/>
    <n v="163"/>
    <n v="108140"/>
    <n v="17626820"/>
    <n v="234"/>
    <n v="76680"/>
    <n v="17943120"/>
    <n v="257"/>
    <n v="82156"/>
    <n v="21114092"/>
    <n v="266"/>
    <n v="67043"/>
    <n v="17833438"/>
    <n v="259"/>
    <n v="69809"/>
    <n v="18080531"/>
    <m/>
    <m/>
    <n v="0"/>
    <m/>
    <m/>
    <n v="0"/>
    <n v="175"/>
    <n v="46155"/>
    <n v="8077125"/>
    <n v="196"/>
    <n v="48570"/>
    <n v="9519720"/>
    <m/>
    <m/>
    <n v="0"/>
    <m/>
    <m/>
    <n v="0"/>
    <n v="35"/>
    <n v="139863"/>
    <n v="4005256.7310000001"/>
    <n v="41"/>
    <n v="142505"/>
    <n v="4780501.2310000006"/>
    <n v="12"/>
    <n v="107489"/>
    <n v="1055369.9976000001"/>
    <n v="13"/>
    <n v="116488"/>
    <n v="1239036.2608"/>
    <n v="1"/>
    <n v="60585"/>
    <n v="49570.647000000004"/>
    <n v="1"/>
    <n v="79500"/>
    <n v="65046.9"/>
    <m/>
    <m/>
    <n v="0"/>
    <m/>
    <m/>
    <n v="0"/>
    <n v="38"/>
    <n v="65266"/>
    <n v="2029224.3656000001"/>
    <n v="41"/>
    <n v="66654"/>
    <n v="2235988.4147999999"/>
    <m/>
    <m/>
    <n v="0"/>
    <m/>
    <m/>
    <n v="0"/>
  </r>
  <r>
    <x v="9"/>
    <s v="University of North Carolina at Greensboro"/>
    <n v="199148"/>
    <x v="1"/>
    <n v="167"/>
    <n v="103320"/>
    <n v="17254440"/>
    <n v="171"/>
    <n v="109233"/>
    <n v="18678843"/>
    <n v="186"/>
    <n v="75462"/>
    <n v="14035932"/>
    <n v="196"/>
    <n v="78941"/>
    <n v="15472436"/>
    <n v="161"/>
    <n v="62875"/>
    <n v="10122875"/>
    <n v="160"/>
    <n v="65426"/>
    <n v="10468160"/>
    <n v="7"/>
    <n v="55033"/>
    <n v="385231"/>
    <n v="46"/>
    <n v="56782"/>
    <n v="2611972"/>
    <n v="208"/>
    <n v="44736"/>
    <n v="9305088"/>
    <n v="186"/>
    <n v="44894"/>
    <n v="8350284"/>
    <m/>
    <m/>
    <n v="0"/>
    <m/>
    <m/>
    <n v="0"/>
    <n v="15"/>
    <n v="124365"/>
    <n v="1526331.645"/>
    <n v="7"/>
    <n v="136608"/>
    <n v="782408.65919999999"/>
    <n v="8"/>
    <n v="95969"/>
    <n v="628174.68640000001"/>
    <n v="8"/>
    <n v="93842"/>
    <n v="614252.19520000007"/>
    <n v="3"/>
    <n v="72888"/>
    <n v="178910.8848"/>
    <n v="1"/>
    <n v="70601"/>
    <n v="57765.7382"/>
    <m/>
    <m/>
    <n v="0"/>
    <n v="10"/>
    <n v="63460"/>
    <n v="519229.72000000003"/>
    <n v="29"/>
    <n v="65167"/>
    <n v="1546269.5426"/>
    <n v="11"/>
    <n v="47515"/>
    <n v="427644.50300000003"/>
    <m/>
    <m/>
    <n v="0"/>
    <m/>
    <m/>
    <n v="0"/>
  </r>
  <r>
    <x v="9"/>
    <s v="Appalachian State University "/>
    <n v="197869"/>
    <x v="2"/>
    <n v="234"/>
    <n v="86779"/>
    <n v="20306286"/>
    <n v="240"/>
    <n v="90973"/>
    <n v="21833520"/>
    <n v="179"/>
    <n v="71697"/>
    <n v="12833763"/>
    <n v="180"/>
    <n v="73862"/>
    <n v="13295160"/>
    <n v="200"/>
    <n v="59634"/>
    <n v="11926800"/>
    <n v="218"/>
    <n v="60648"/>
    <n v="13221264"/>
    <n v="5"/>
    <n v="49060"/>
    <n v="245300"/>
    <n v="8"/>
    <n v="50805"/>
    <n v="406440"/>
    <n v="116"/>
    <n v="46221"/>
    <n v="5361636"/>
    <n v="127"/>
    <n v="44938"/>
    <n v="5707126"/>
    <m/>
    <m/>
    <n v="0"/>
    <m/>
    <m/>
    <n v="0"/>
    <n v="2"/>
    <n v="103175"/>
    <n v="168835.57"/>
    <n v="2"/>
    <n v="93891"/>
    <n v="153643.23240000001"/>
    <m/>
    <m/>
    <n v="0"/>
    <m/>
    <m/>
    <n v="0"/>
    <m/>
    <m/>
    <n v="0"/>
    <n v="2"/>
    <n v="51996"/>
    <n v="85086.254400000005"/>
    <m/>
    <m/>
    <n v="0"/>
    <m/>
    <m/>
    <n v="0"/>
    <n v="1"/>
    <n v="78253"/>
    <n v="64026.604600000006"/>
    <n v="2"/>
    <n v="39679"/>
    <n v="64930.715600000003"/>
    <m/>
    <m/>
    <n v="0"/>
    <m/>
    <m/>
    <n v="0"/>
  </r>
  <r>
    <x v="9"/>
    <s v="East Carolina University "/>
    <n v="198464"/>
    <x v="2"/>
    <n v="172"/>
    <n v="93510"/>
    <n v="16083720"/>
    <n v="179"/>
    <n v="96331"/>
    <n v="17243249"/>
    <n v="275"/>
    <n v="73388"/>
    <n v="20181700"/>
    <n v="303"/>
    <n v="75855"/>
    <n v="22984065"/>
    <n v="302"/>
    <n v="65474"/>
    <n v="19773148"/>
    <n v="333"/>
    <n v="67366"/>
    <n v="22432878"/>
    <n v="8"/>
    <n v="55649"/>
    <n v="445192"/>
    <n v="13"/>
    <n v="57529"/>
    <n v="747877"/>
    <n v="243"/>
    <n v="46878"/>
    <n v="11391354"/>
    <n v="277"/>
    <n v="48754"/>
    <n v="13504858"/>
    <m/>
    <m/>
    <n v="0"/>
    <m/>
    <m/>
    <n v="0"/>
    <n v="13"/>
    <n v="138336"/>
    <n v="1471424.6976000001"/>
    <n v="38"/>
    <n v="120171"/>
    <n v="3736308.6636000001"/>
    <n v="15"/>
    <n v="91880"/>
    <n v="1127643.24"/>
    <n v="44"/>
    <n v="95910"/>
    <n v="3452836.7280000001"/>
    <n v="11"/>
    <n v="70119"/>
    <n v="631085.02380000008"/>
    <n v="35"/>
    <n v="81656"/>
    <n v="2338382.872"/>
    <n v="2"/>
    <n v="55872"/>
    <n v="91428.940800000011"/>
    <n v="1"/>
    <n v="61433"/>
    <n v="50264.480600000003"/>
    <n v="17"/>
    <n v="60556"/>
    <n v="842297.62640000007"/>
    <n v="57"/>
    <n v="72967"/>
    <n v="3402991.1658000001"/>
    <m/>
    <m/>
    <n v="0"/>
    <m/>
    <m/>
    <n v="0"/>
  </r>
  <r>
    <x v="9"/>
    <s v="North Carolina A&amp;T State University"/>
    <n v="199102"/>
    <x v="2"/>
    <n v="77"/>
    <n v="90944"/>
    <n v="7002688"/>
    <n v="68"/>
    <n v="91437"/>
    <n v="6217716"/>
    <n v="130"/>
    <n v="74267"/>
    <n v="9654710"/>
    <n v="122"/>
    <n v="73926"/>
    <n v="9018972"/>
    <n v="92"/>
    <n v="63857"/>
    <n v="5874844"/>
    <n v="83"/>
    <n v="65734"/>
    <n v="5455922"/>
    <n v="6"/>
    <n v="49333"/>
    <n v="295998"/>
    <n v="8"/>
    <n v="51621"/>
    <n v="412968"/>
    <n v="63"/>
    <n v="61623"/>
    <n v="3882249"/>
    <n v="61"/>
    <n v="60094"/>
    <n v="3665734"/>
    <m/>
    <m/>
    <n v="0"/>
    <m/>
    <m/>
    <n v="0"/>
    <n v="27"/>
    <n v="111668"/>
    <n v="2466902.4552000002"/>
    <n v="41"/>
    <n v="107127"/>
    <n v="3593703.7674000002"/>
    <n v="18"/>
    <n v="97423"/>
    <n v="1434806.9748"/>
    <n v="35"/>
    <n v="92253"/>
    <n v="2641849.1610000003"/>
    <n v="2"/>
    <n v="102580"/>
    <n v="167861.91200000001"/>
    <n v="16"/>
    <n v="71279"/>
    <n v="933127.64480000001"/>
    <n v="1"/>
    <n v="55419"/>
    <n v="45343.825799999999"/>
    <m/>
    <m/>
    <n v="0"/>
    <n v="26"/>
    <n v="75251"/>
    <n v="1600829.5732"/>
    <n v="38"/>
    <n v="75602"/>
    <n v="2350587.1432000003"/>
    <m/>
    <m/>
    <n v="0"/>
    <m/>
    <m/>
    <n v="0"/>
  </r>
  <r>
    <x v="9"/>
    <s v="North Carolina Central University "/>
    <n v="199157"/>
    <x v="2"/>
    <n v="33"/>
    <n v="101431"/>
    <n v="3347223"/>
    <n v="46"/>
    <n v="101973"/>
    <n v="4690758"/>
    <n v="67"/>
    <n v="76727"/>
    <n v="5140709"/>
    <n v="64"/>
    <n v="77477"/>
    <n v="4958528"/>
    <n v="75"/>
    <n v="67672"/>
    <n v="5075400"/>
    <n v="102"/>
    <n v="69183"/>
    <n v="7056666"/>
    <n v="2"/>
    <n v="44695"/>
    <n v="89390"/>
    <m/>
    <m/>
    <n v="0"/>
    <n v="85"/>
    <n v="57612"/>
    <n v="4897020"/>
    <n v="71"/>
    <n v="60930"/>
    <n v="4326030"/>
    <m/>
    <m/>
    <n v="0"/>
    <m/>
    <m/>
    <n v="0"/>
    <n v="16"/>
    <n v="115901"/>
    <n v="1517283.1712"/>
    <n v="21"/>
    <n v="118531"/>
    <n v="2036623.3482000001"/>
    <n v="28"/>
    <n v="94648"/>
    <n v="2168347.8207999999"/>
    <n v="26"/>
    <n v="94896"/>
    <n v="2018741.5872000002"/>
    <n v="10"/>
    <n v="78364"/>
    <n v="641174.24800000002"/>
    <n v="16"/>
    <n v="80418"/>
    <n v="1052768.1216"/>
    <m/>
    <m/>
    <n v="0"/>
    <m/>
    <m/>
    <n v="0"/>
    <n v="32"/>
    <n v="58980"/>
    <n v="1544237.952"/>
    <n v="20"/>
    <n v="64022"/>
    <n v="1047656.008"/>
    <m/>
    <m/>
    <n v="0"/>
    <m/>
    <m/>
    <n v="0"/>
  </r>
  <r>
    <x v="9"/>
    <s v="University of North Carolina at Wilmington"/>
    <n v="199218"/>
    <x v="2"/>
    <n v="120"/>
    <n v="90306"/>
    <n v="10836720"/>
    <n v="126"/>
    <n v="93177"/>
    <n v="11740302"/>
    <n v="131"/>
    <n v="72307"/>
    <n v="9472217"/>
    <n v="141"/>
    <n v="74208"/>
    <n v="10463328"/>
    <n v="168"/>
    <n v="60484"/>
    <n v="10161312"/>
    <n v="179"/>
    <n v="62137"/>
    <n v="11122523"/>
    <m/>
    <m/>
    <n v="0"/>
    <m/>
    <m/>
    <n v="0"/>
    <n v="81"/>
    <n v="44908"/>
    <n v="3637548"/>
    <n v="90"/>
    <n v="46701"/>
    <n v="4203090"/>
    <m/>
    <m/>
    <n v="0"/>
    <m/>
    <m/>
    <n v="0"/>
    <n v="33"/>
    <n v="114514"/>
    <n v="3091946.7084000004"/>
    <n v="31"/>
    <n v="118476"/>
    <n v="3005048.9591999999"/>
    <n v="10"/>
    <n v="94150"/>
    <n v="770335.3"/>
    <n v="11"/>
    <n v="97902"/>
    <n v="881137.58040000009"/>
    <m/>
    <m/>
    <n v="0"/>
    <m/>
    <m/>
    <n v="0"/>
    <m/>
    <m/>
    <n v="0"/>
    <m/>
    <m/>
    <n v="0"/>
    <m/>
    <m/>
    <n v="0"/>
    <n v="2"/>
    <n v="53106"/>
    <n v="86902.6584"/>
    <m/>
    <m/>
    <n v="0"/>
    <m/>
    <m/>
    <n v="0"/>
  </r>
  <r>
    <x v="9"/>
    <s v="Western Carolina University "/>
    <n v="200004"/>
    <x v="2"/>
    <n v="69"/>
    <n v="86039"/>
    <n v="5936691"/>
    <n v="68"/>
    <n v="89609"/>
    <n v="6093412"/>
    <n v="97"/>
    <n v="70036"/>
    <n v="6793492"/>
    <n v="100"/>
    <n v="73312"/>
    <n v="7331200"/>
    <n v="147"/>
    <n v="60003"/>
    <n v="8820441"/>
    <n v="153"/>
    <n v="60441"/>
    <n v="9247473"/>
    <n v="18"/>
    <n v="46399"/>
    <n v="835182"/>
    <n v="16"/>
    <n v="49051"/>
    <n v="784816"/>
    <n v="79"/>
    <n v="54396"/>
    <n v="4297284"/>
    <n v="91"/>
    <n v="54368"/>
    <n v="4947488"/>
    <m/>
    <m/>
    <n v="0"/>
    <m/>
    <m/>
    <n v="0"/>
    <n v="8"/>
    <n v="101672"/>
    <n v="665504.24320000003"/>
    <n v="11"/>
    <n v="108172"/>
    <n v="973569.6344000001"/>
    <n v="14"/>
    <n v="101573"/>
    <n v="1163498.4004000002"/>
    <n v="17"/>
    <n v="105297"/>
    <n v="1464618.0918000001"/>
    <n v="5"/>
    <n v="65240"/>
    <n v="266896.84000000003"/>
    <n v="4"/>
    <n v="68451"/>
    <n v="224026.43280000001"/>
    <n v="8"/>
    <n v="57543"/>
    <n v="376653.4608"/>
    <n v="1"/>
    <n v="56774"/>
    <n v="46452.486799999999"/>
    <n v="11"/>
    <n v="85347"/>
    <n v="768140.06940000004"/>
    <n v="11"/>
    <n v="97250"/>
    <n v="875269.45000000007"/>
    <m/>
    <m/>
    <n v="0"/>
    <m/>
    <m/>
    <n v="0"/>
  </r>
  <r>
    <x v="9"/>
    <s v="Fayetteville State University "/>
    <n v="198543"/>
    <x v="3"/>
    <n v="37"/>
    <n v="80581"/>
    <n v="2981497"/>
    <n v="33"/>
    <n v="89391"/>
    <n v="2949903"/>
    <n v="52"/>
    <n v="66013"/>
    <n v="3432676"/>
    <n v="51"/>
    <n v="73778"/>
    <n v="3762678"/>
    <n v="125"/>
    <n v="59919"/>
    <n v="7489875"/>
    <n v="136"/>
    <n v="65014"/>
    <n v="8841904"/>
    <n v="6"/>
    <n v="50832"/>
    <n v="304992"/>
    <n v="7"/>
    <n v="55597"/>
    <n v="389179"/>
    <n v="37"/>
    <n v="50791"/>
    <n v="1879267"/>
    <n v="36"/>
    <n v="53427"/>
    <n v="1923372"/>
    <m/>
    <m/>
    <n v="0"/>
    <m/>
    <m/>
    <n v="0"/>
    <n v="11"/>
    <n v="95233"/>
    <n v="857116.0466"/>
    <n v="7"/>
    <n v="103648"/>
    <n v="593633.55520000006"/>
    <n v="7"/>
    <n v="89030"/>
    <n v="509910.42200000002"/>
    <n v="9"/>
    <n v="94186"/>
    <n v="693566.86680000008"/>
    <n v="8"/>
    <n v="75070"/>
    <n v="491378.19200000004"/>
    <n v="9"/>
    <n v="86692"/>
    <n v="638382.54960000003"/>
    <n v="1"/>
    <n v="58963"/>
    <n v="48243.526600000005"/>
    <n v="1"/>
    <n v="63726"/>
    <n v="52140.6132"/>
    <n v="15"/>
    <n v="53001"/>
    <n v="650481.27300000004"/>
    <n v="17"/>
    <n v="60723"/>
    <n v="844620.49620000005"/>
    <m/>
    <m/>
    <n v="0"/>
    <m/>
    <m/>
    <n v="0"/>
  </r>
  <r>
    <x v="9"/>
    <s v="University of North Carolina at Pembroke"/>
    <n v="199281"/>
    <x v="4"/>
    <n v="33"/>
    <n v="87750"/>
    <n v="2895750"/>
    <n v="53"/>
    <n v="85479"/>
    <n v="4530387"/>
    <n v="51"/>
    <n v="67816"/>
    <n v="3458616"/>
    <n v="52"/>
    <n v="66883"/>
    <n v="3477916"/>
    <n v="100"/>
    <n v="57349"/>
    <n v="5734900"/>
    <n v="101"/>
    <n v="58224"/>
    <n v="5880624"/>
    <n v="3"/>
    <n v="55876"/>
    <n v="167628"/>
    <n v="2"/>
    <n v="51732"/>
    <n v="103464"/>
    <n v="89"/>
    <n v="46944"/>
    <n v="4178016"/>
    <n v="74"/>
    <n v="49694"/>
    <n v="3677356"/>
    <m/>
    <m/>
    <n v="0"/>
    <m/>
    <m/>
    <n v="0"/>
    <n v="3"/>
    <n v="82598"/>
    <n v="202745.0508"/>
    <n v="2"/>
    <n v="71644"/>
    <n v="117238.24160000001"/>
    <n v="1"/>
    <n v="97448"/>
    <n v="79731.953600000008"/>
    <n v="1"/>
    <n v="98000"/>
    <n v="80183.600000000006"/>
    <m/>
    <m/>
    <n v="0"/>
    <n v="3"/>
    <n v="73896"/>
    <n v="181385.12160000001"/>
    <m/>
    <m/>
    <n v="0"/>
    <m/>
    <m/>
    <n v="0"/>
    <n v="5"/>
    <n v="73881"/>
    <n v="302247.17100000003"/>
    <n v="3"/>
    <n v="68354"/>
    <n v="167781.72840000002"/>
    <m/>
    <m/>
    <n v="0"/>
    <m/>
    <m/>
    <n v="0"/>
  </r>
  <r>
    <x v="9"/>
    <s v="Winston-Salem State University "/>
    <n v="199999"/>
    <x v="4"/>
    <n v="26"/>
    <n v="88372"/>
    <n v="2297672"/>
    <n v="26"/>
    <n v="89895"/>
    <n v="2337270"/>
    <n v="83"/>
    <n v="71773"/>
    <n v="5957159"/>
    <n v="89"/>
    <n v="74582"/>
    <n v="6637798"/>
    <n v="95"/>
    <n v="66403"/>
    <n v="6308285"/>
    <n v="96"/>
    <n v="67801"/>
    <n v="6508896"/>
    <n v="22"/>
    <n v="56033"/>
    <n v="1232726"/>
    <n v="30"/>
    <n v="59930"/>
    <n v="1797900"/>
    <n v="10"/>
    <n v="56605"/>
    <n v="566050"/>
    <n v="7"/>
    <n v="54550"/>
    <n v="381850"/>
    <m/>
    <m/>
    <n v="0"/>
    <m/>
    <m/>
    <n v="0"/>
    <n v="7"/>
    <n v="118983"/>
    <n v="681463.23420000006"/>
    <n v="7"/>
    <n v="117070"/>
    <n v="670506.71799999999"/>
    <n v="32"/>
    <n v="90046"/>
    <n v="2357620.3903999999"/>
    <n v="35"/>
    <n v="94872"/>
    <n v="2716849.4640000002"/>
    <n v="24"/>
    <n v="81661"/>
    <n v="1603560.7248"/>
    <n v="30"/>
    <n v="81318"/>
    <n v="1996031.628"/>
    <n v="1"/>
    <n v="49920"/>
    <n v="40844.544000000002"/>
    <n v="4"/>
    <n v="62894"/>
    <n v="205839.48320000002"/>
    <n v="19"/>
    <n v="71479"/>
    <n v="1111198.2382"/>
    <n v="14"/>
    <n v="71926"/>
    <n v="823897.94480000006"/>
    <m/>
    <m/>
    <n v="0"/>
    <m/>
    <m/>
    <n v="0"/>
  </r>
  <r>
    <x v="9"/>
    <s v="Elizabeth City State University "/>
    <n v="198507"/>
    <x v="5"/>
    <n v="34"/>
    <n v="79500"/>
    <n v="2703000"/>
    <n v="34"/>
    <n v="83836"/>
    <n v="2850424"/>
    <n v="42"/>
    <n v="71050"/>
    <n v="2984100"/>
    <n v="39"/>
    <n v="72525"/>
    <n v="2828475"/>
    <n v="38"/>
    <n v="60003"/>
    <n v="2280114"/>
    <n v="39"/>
    <n v="63034"/>
    <n v="2458326"/>
    <n v="4"/>
    <n v="49789"/>
    <n v="199156"/>
    <n v="4"/>
    <n v="53386"/>
    <n v="213544"/>
    <n v="47"/>
    <n v="56615"/>
    <n v="2660905"/>
    <n v="39"/>
    <n v="60507"/>
    <n v="2359773"/>
    <m/>
    <m/>
    <n v="0"/>
    <m/>
    <m/>
    <n v="0"/>
    <m/>
    <m/>
    <n v="0"/>
    <m/>
    <m/>
    <n v="0"/>
    <n v="2"/>
    <n v="77028"/>
    <n v="126048.6192"/>
    <m/>
    <m/>
    <n v="0"/>
    <n v="2"/>
    <n v="81124"/>
    <n v="132751.31359999999"/>
    <n v="2"/>
    <n v="87351"/>
    <n v="142941.1764"/>
    <m/>
    <m/>
    <n v="0"/>
    <m/>
    <m/>
    <n v="0"/>
    <n v="6"/>
    <n v="53113"/>
    <n v="260742.33960000001"/>
    <n v="4"/>
    <n v="72293"/>
    <n v="236600.53040000002"/>
    <m/>
    <m/>
    <n v="0"/>
    <m/>
    <m/>
    <n v="0"/>
  </r>
  <r>
    <x v="9"/>
    <s v="University of North Carolina at Asheville"/>
    <n v="199111"/>
    <x v="5"/>
    <n v="58"/>
    <n v="83982"/>
    <n v="4870956"/>
    <n v="58"/>
    <n v="87733"/>
    <n v="5088514"/>
    <n v="59"/>
    <n v="65496"/>
    <n v="3864264"/>
    <n v="55"/>
    <n v="67808"/>
    <n v="3729440"/>
    <n v="47"/>
    <n v="57958"/>
    <n v="2724026"/>
    <n v="50"/>
    <n v="61016"/>
    <n v="3050800"/>
    <m/>
    <m/>
    <n v="0"/>
    <m/>
    <m/>
    <n v="0"/>
    <n v="42"/>
    <n v="48106"/>
    <n v="2020452"/>
    <n v="44"/>
    <n v="48467"/>
    <n v="2132548"/>
    <m/>
    <m/>
    <n v="0"/>
    <m/>
    <m/>
    <n v="0"/>
    <m/>
    <m/>
    <n v="0"/>
    <m/>
    <m/>
    <n v="0"/>
    <m/>
    <m/>
    <n v="0"/>
    <m/>
    <m/>
    <n v="0"/>
    <n v="1"/>
    <n v="56667"/>
    <n v="46364.939400000003"/>
    <m/>
    <m/>
    <n v="0"/>
    <m/>
    <m/>
    <n v="0"/>
    <m/>
    <m/>
    <n v="0"/>
    <m/>
    <m/>
    <n v="0"/>
    <m/>
    <m/>
    <n v="0"/>
    <m/>
    <m/>
    <n v="0"/>
    <m/>
    <m/>
    <n v="0"/>
  </r>
  <r>
    <x v="9"/>
    <s v="Asheville-Buncombe Technical Community College"/>
    <n v="197887"/>
    <x v="6"/>
    <m/>
    <m/>
    <n v="0"/>
    <m/>
    <m/>
    <n v="0"/>
    <m/>
    <m/>
    <n v="0"/>
    <m/>
    <m/>
    <n v="0"/>
    <m/>
    <m/>
    <n v="0"/>
    <m/>
    <m/>
    <n v="0"/>
    <m/>
    <m/>
    <n v="0"/>
    <m/>
    <m/>
    <n v="0"/>
    <m/>
    <m/>
    <n v="0"/>
    <m/>
    <m/>
    <n v="0"/>
    <n v="157"/>
    <n v="46347"/>
    <n v="7276479"/>
    <n v="162"/>
    <n v="47375"/>
    <n v="7674750"/>
    <m/>
    <m/>
    <n v="0"/>
    <m/>
    <m/>
    <n v="0"/>
    <m/>
    <m/>
    <n v="0"/>
    <m/>
    <m/>
    <n v="0"/>
    <m/>
    <m/>
    <n v="0"/>
    <m/>
    <m/>
    <n v="0"/>
    <m/>
    <m/>
    <n v="0"/>
    <m/>
    <m/>
    <n v="0"/>
    <m/>
    <m/>
    <n v="0"/>
    <m/>
    <m/>
    <n v="0"/>
    <m/>
    <m/>
    <n v="0"/>
    <m/>
    <m/>
    <n v="0"/>
  </r>
  <r>
    <x v="9"/>
    <s v="Cape Fear Community College"/>
    <n v="198154"/>
    <x v="6"/>
    <m/>
    <m/>
    <n v="0"/>
    <m/>
    <m/>
    <n v="0"/>
    <m/>
    <m/>
    <n v="0"/>
    <m/>
    <m/>
    <n v="0"/>
    <m/>
    <m/>
    <n v="0"/>
    <m/>
    <m/>
    <n v="0"/>
    <m/>
    <m/>
    <n v="0"/>
    <m/>
    <m/>
    <n v="0"/>
    <m/>
    <m/>
    <n v="0"/>
    <m/>
    <m/>
    <n v="0"/>
    <n v="227"/>
    <n v="46350"/>
    <n v="10521450"/>
    <n v="235"/>
    <n v="47965"/>
    <n v="11271775"/>
    <m/>
    <m/>
    <n v="0"/>
    <m/>
    <m/>
    <n v="0"/>
    <m/>
    <m/>
    <n v="0"/>
    <m/>
    <m/>
    <n v="0"/>
    <m/>
    <m/>
    <n v="0"/>
    <m/>
    <m/>
    <n v="0"/>
    <m/>
    <m/>
    <n v="0"/>
    <m/>
    <m/>
    <n v="0"/>
    <m/>
    <m/>
    <n v="0"/>
    <m/>
    <m/>
    <n v="0"/>
    <m/>
    <m/>
    <n v="0"/>
    <m/>
    <m/>
    <n v="0"/>
  </r>
  <r>
    <x v="9"/>
    <s v="Catawba Valley Community College"/>
    <n v="198233"/>
    <x v="6"/>
    <m/>
    <m/>
    <n v="0"/>
    <m/>
    <m/>
    <n v="0"/>
    <m/>
    <m/>
    <n v="0"/>
    <m/>
    <m/>
    <n v="0"/>
    <m/>
    <m/>
    <n v="0"/>
    <m/>
    <m/>
    <n v="0"/>
    <m/>
    <m/>
    <n v="0"/>
    <m/>
    <m/>
    <n v="0"/>
    <m/>
    <m/>
    <n v="0"/>
    <m/>
    <m/>
    <n v="0"/>
    <n v="124"/>
    <n v="44568"/>
    <n v="5526432"/>
    <n v="125"/>
    <n v="45888"/>
    <n v="5736000"/>
    <m/>
    <m/>
    <n v="0"/>
    <m/>
    <m/>
    <n v="0"/>
    <m/>
    <m/>
    <n v="0"/>
    <m/>
    <m/>
    <n v="0"/>
    <m/>
    <m/>
    <n v="0"/>
    <m/>
    <m/>
    <n v="0"/>
    <m/>
    <m/>
    <n v="0"/>
    <m/>
    <m/>
    <n v="0"/>
    <m/>
    <m/>
    <n v="0"/>
    <m/>
    <m/>
    <n v="0"/>
    <m/>
    <m/>
    <n v="0"/>
    <m/>
    <m/>
    <n v="0"/>
  </r>
  <r>
    <x v="9"/>
    <s v="Central Carolina Commuity College"/>
    <n v="198251"/>
    <x v="6"/>
    <m/>
    <m/>
    <n v="0"/>
    <m/>
    <m/>
    <n v="0"/>
    <m/>
    <m/>
    <n v="0"/>
    <m/>
    <m/>
    <n v="0"/>
    <m/>
    <m/>
    <n v="0"/>
    <m/>
    <m/>
    <n v="0"/>
    <m/>
    <m/>
    <n v="0"/>
    <m/>
    <m/>
    <n v="0"/>
    <m/>
    <m/>
    <n v="0"/>
    <m/>
    <m/>
    <n v="0"/>
    <n v="140"/>
    <n v="42644"/>
    <n v="5970160"/>
    <n v="146"/>
    <n v="42833"/>
    <n v="6253618"/>
    <m/>
    <m/>
    <n v="0"/>
    <m/>
    <m/>
    <n v="0"/>
    <m/>
    <m/>
    <n v="0"/>
    <m/>
    <m/>
    <n v="0"/>
    <m/>
    <m/>
    <n v="0"/>
    <m/>
    <m/>
    <n v="0"/>
    <m/>
    <m/>
    <n v="0"/>
    <m/>
    <m/>
    <n v="0"/>
    <m/>
    <m/>
    <n v="0"/>
    <m/>
    <m/>
    <n v="0"/>
    <m/>
    <m/>
    <n v="0"/>
    <m/>
    <m/>
    <n v="0"/>
  </r>
  <r>
    <x v="9"/>
    <s v="Central Piedmont Community College "/>
    <n v="198260"/>
    <x v="6"/>
    <m/>
    <m/>
    <n v="0"/>
    <m/>
    <m/>
    <n v="0"/>
    <m/>
    <m/>
    <n v="0"/>
    <m/>
    <m/>
    <n v="0"/>
    <m/>
    <m/>
    <n v="0"/>
    <m/>
    <m/>
    <n v="0"/>
    <m/>
    <m/>
    <n v="0"/>
    <m/>
    <m/>
    <n v="0"/>
    <m/>
    <m/>
    <n v="0"/>
    <m/>
    <m/>
    <n v="0"/>
    <n v="286"/>
    <n v="51883"/>
    <n v="14838538"/>
    <n v="304"/>
    <n v="53118"/>
    <n v="16147872"/>
    <m/>
    <m/>
    <n v="0"/>
    <m/>
    <m/>
    <n v="0"/>
    <m/>
    <m/>
    <n v="0"/>
    <m/>
    <m/>
    <n v="0"/>
    <m/>
    <m/>
    <n v="0"/>
    <m/>
    <m/>
    <n v="0"/>
    <m/>
    <m/>
    <n v="0"/>
    <m/>
    <m/>
    <n v="0"/>
    <m/>
    <m/>
    <n v="0"/>
    <m/>
    <m/>
    <n v="0"/>
    <m/>
    <m/>
    <n v="0"/>
    <m/>
    <m/>
    <n v="0"/>
  </r>
  <r>
    <x v="9"/>
    <s v="Durham Technical Community College"/>
    <n v="198455"/>
    <x v="6"/>
    <m/>
    <m/>
    <n v="0"/>
    <m/>
    <m/>
    <n v="0"/>
    <m/>
    <m/>
    <n v="0"/>
    <m/>
    <m/>
    <n v="0"/>
    <m/>
    <m/>
    <n v="0"/>
    <m/>
    <m/>
    <n v="0"/>
    <m/>
    <m/>
    <n v="0"/>
    <m/>
    <m/>
    <n v="0"/>
    <m/>
    <m/>
    <n v="0"/>
    <m/>
    <m/>
    <n v="0"/>
    <n v="146"/>
    <n v="49925"/>
    <n v="7289050"/>
    <n v="142"/>
    <n v="51128"/>
    <n v="7260176"/>
    <m/>
    <m/>
    <n v="0"/>
    <m/>
    <m/>
    <n v="0"/>
    <m/>
    <m/>
    <n v="0"/>
    <m/>
    <m/>
    <n v="0"/>
    <m/>
    <m/>
    <n v="0"/>
    <m/>
    <m/>
    <n v="0"/>
    <m/>
    <m/>
    <n v="0"/>
    <m/>
    <m/>
    <n v="0"/>
    <m/>
    <m/>
    <n v="0"/>
    <m/>
    <m/>
    <n v="0"/>
    <m/>
    <m/>
    <n v="0"/>
    <m/>
    <m/>
    <n v="0"/>
  </r>
  <r>
    <x v="9"/>
    <s v="Fayetteville Technical Community College"/>
    <n v="198534"/>
    <x v="6"/>
    <m/>
    <m/>
    <n v="0"/>
    <m/>
    <m/>
    <n v="0"/>
    <m/>
    <m/>
    <n v="0"/>
    <m/>
    <m/>
    <n v="0"/>
    <m/>
    <m/>
    <n v="0"/>
    <m/>
    <m/>
    <n v="0"/>
    <m/>
    <m/>
    <n v="0"/>
    <m/>
    <m/>
    <n v="0"/>
    <m/>
    <m/>
    <n v="0"/>
    <m/>
    <m/>
    <n v="0"/>
    <n v="249"/>
    <n v="47564"/>
    <n v="11843436"/>
    <n v="247"/>
    <n v="48535"/>
    <n v="11988145"/>
    <m/>
    <m/>
    <n v="0"/>
    <m/>
    <m/>
    <n v="0"/>
    <m/>
    <m/>
    <n v="0"/>
    <m/>
    <m/>
    <n v="0"/>
    <m/>
    <m/>
    <n v="0"/>
    <m/>
    <m/>
    <n v="0"/>
    <m/>
    <m/>
    <n v="0"/>
    <m/>
    <m/>
    <n v="0"/>
    <m/>
    <m/>
    <n v="0"/>
    <m/>
    <m/>
    <n v="0"/>
    <m/>
    <m/>
    <n v="0"/>
    <m/>
    <m/>
    <n v="0"/>
  </r>
  <r>
    <x v="9"/>
    <s v="Forsyth Technical Community College"/>
    <n v="198552"/>
    <x v="6"/>
    <m/>
    <m/>
    <n v="0"/>
    <m/>
    <m/>
    <n v="0"/>
    <m/>
    <m/>
    <n v="0"/>
    <m/>
    <m/>
    <n v="0"/>
    <m/>
    <m/>
    <n v="0"/>
    <m/>
    <m/>
    <n v="0"/>
    <m/>
    <m/>
    <n v="0"/>
    <m/>
    <m/>
    <n v="0"/>
    <m/>
    <m/>
    <n v="0"/>
    <m/>
    <m/>
    <n v="0"/>
    <n v="175"/>
    <n v="43122"/>
    <n v="7546350"/>
    <n v="176"/>
    <n v="44290"/>
    <n v="7795040"/>
    <m/>
    <m/>
    <n v="0"/>
    <m/>
    <m/>
    <n v="0"/>
    <m/>
    <m/>
    <n v="0"/>
    <m/>
    <m/>
    <n v="0"/>
    <m/>
    <m/>
    <n v="0"/>
    <m/>
    <m/>
    <n v="0"/>
    <m/>
    <m/>
    <n v="0"/>
    <m/>
    <m/>
    <n v="0"/>
    <m/>
    <m/>
    <n v="0"/>
    <m/>
    <m/>
    <n v="0"/>
    <m/>
    <m/>
    <n v="0"/>
    <m/>
    <m/>
    <n v="0"/>
  </r>
  <r>
    <x v="9"/>
    <s v="Guilford Technical Community College"/>
    <n v="198622"/>
    <x v="6"/>
    <m/>
    <m/>
    <n v="0"/>
    <m/>
    <m/>
    <n v="0"/>
    <m/>
    <m/>
    <n v="0"/>
    <m/>
    <m/>
    <n v="0"/>
    <m/>
    <m/>
    <n v="0"/>
    <m/>
    <m/>
    <n v="0"/>
    <m/>
    <m/>
    <n v="0"/>
    <m/>
    <m/>
    <n v="0"/>
    <m/>
    <m/>
    <n v="0"/>
    <m/>
    <m/>
    <n v="0"/>
    <n v="251"/>
    <n v="50260"/>
    <n v="12615260"/>
    <n v="264"/>
    <n v="52900"/>
    <n v="13965600"/>
    <m/>
    <m/>
    <n v="0"/>
    <m/>
    <m/>
    <n v="0"/>
    <m/>
    <m/>
    <n v="0"/>
    <m/>
    <m/>
    <n v="0"/>
    <m/>
    <m/>
    <n v="0"/>
    <m/>
    <m/>
    <n v="0"/>
    <m/>
    <m/>
    <n v="0"/>
    <m/>
    <m/>
    <n v="0"/>
    <m/>
    <m/>
    <n v="0"/>
    <m/>
    <m/>
    <n v="0"/>
    <m/>
    <m/>
    <n v="0"/>
    <m/>
    <m/>
    <n v="0"/>
  </r>
  <r>
    <x v="9"/>
    <s v="Pitt Community College"/>
    <n v="199333"/>
    <x v="6"/>
    <m/>
    <m/>
    <n v="0"/>
    <m/>
    <m/>
    <n v="0"/>
    <m/>
    <m/>
    <n v="0"/>
    <m/>
    <m/>
    <n v="0"/>
    <m/>
    <m/>
    <n v="0"/>
    <m/>
    <m/>
    <n v="0"/>
    <m/>
    <m/>
    <n v="0"/>
    <m/>
    <m/>
    <n v="0"/>
    <m/>
    <m/>
    <n v="0"/>
    <m/>
    <m/>
    <n v="0"/>
    <n v="172"/>
    <n v="47032"/>
    <n v="8089504"/>
    <n v="182"/>
    <n v="47777"/>
    <n v="8695414"/>
    <m/>
    <m/>
    <n v="0"/>
    <m/>
    <m/>
    <n v="0"/>
    <m/>
    <m/>
    <n v="0"/>
    <m/>
    <m/>
    <n v="0"/>
    <m/>
    <m/>
    <n v="0"/>
    <m/>
    <m/>
    <n v="0"/>
    <m/>
    <m/>
    <n v="0"/>
    <m/>
    <m/>
    <n v="0"/>
    <m/>
    <m/>
    <n v="0"/>
    <m/>
    <m/>
    <n v="0"/>
    <m/>
    <m/>
    <n v="0"/>
    <m/>
    <m/>
    <n v="0"/>
  </r>
  <r>
    <x v="9"/>
    <s v="Rowan-Cabarrus Community College"/>
    <n v="199494"/>
    <x v="6"/>
    <m/>
    <m/>
    <n v="0"/>
    <m/>
    <m/>
    <n v="0"/>
    <m/>
    <m/>
    <n v="0"/>
    <m/>
    <m/>
    <n v="0"/>
    <m/>
    <m/>
    <n v="0"/>
    <m/>
    <m/>
    <n v="0"/>
    <m/>
    <m/>
    <n v="0"/>
    <m/>
    <m/>
    <n v="0"/>
    <m/>
    <m/>
    <n v="0"/>
    <m/>
    <m/>
    <n v="0"/>
    <n v="137"/>
    <n v="48785"/>
    <n v="6683545"/>
    <n v="138"/>
    <n v="49505"/>
    <n v="6831690"/>
    <m/>
    <m/>
    <n v="0"/>
    <m/>
    <m/>
    <n v="0"/>
    <m/>
    <m/>
    <n v="0"/>
    <m/>
    <m/>
    <n v="0"/>
    <m/>
    <m/>
    <n v="0"/>
    <m/>
    <m/>
    <n v="0"/>
    <m/>
    <m/>
    <n v="0"/>
    <m/>
    <m/>
    <n v="0"/>
    <m/>
    <m/>
    <n v="0"/>
    <m/>
    <m/>
    <n v="0"/>
    <m/>
    <m/>
    <n v="0"/>
    <m/>
    <m/>
    <n v="0"/>
  </r>
  <r>
    <x v="9"/>
    <s v="Wake Technical Community College"/>
    <n v="199856"/>
    <x v="6"/>
    <m/>
    <m/>
    <n v="0"/>
    <m/>
    <m/>
    <n v="0"/>
    <m/>
    <m/>
    <n v="0"/>
    <m/>
    <m/>
    <n v="0"/>
    <m/>
    <m/>
    <n v="0"/>
    <m/>
    <m/>
    <n v="0"/>
    <m/>
    <m/>
    <n v="0"/>
    <m/>
    <m/>
    <n v="0"/>
    <m/>
    <m/>
    <n v="0"/>
    <m/>
    <m/>
    <n v="0"/>
    <n v="385"/>
    <n v="43022"/>
    <n v="16563470"/>
    <n v="412"/>
    <n v="44500"/>
    <n v="18334000"/>
    <m/>
    <m/>
    <n v="0"/>
    <m/>
    <m/>
    <n v="0"/>
    <m/>
    <m/>
    <n v="0"/>
    <m/>
    <m/>
    <n v="0"/>
    <m/>
    <m/>
    <n v="0"/>
    <m/>
    <m/>
    <n v="0"/>
    <m/>
    <m/>
    <n v="0"/>
    <m/>
    <m/>
    <n v="0"/>
    <m/>
    <m/>
    <n v="0"/>
    <m/>
    <m/>
    <n v="0"/>
    <m/>
    <m/>
    <n v="0"/>
    <m/>
    <m/>
    <n v="0"/>
  </r>
  <r>
    <x v="9"/>
    <s v="Alamance Community College"/>
    <n v="199786"/>
    <x v="7"/>
    <m/>
    <m/>
    <n v="0"/>
    <m/>
    <m/>
    <n v="0"/>
    <m/>
    <m/>
    <n v="0"/>
    <m/>
    <m/>
    <n v="0"/>
    <m/>
    <m/>
    <n v="0"/>
    <m/>
    <m/>
    <n v="0"/>
    <m/>
    <m/>
    <n v="0"/>
    <m/>
    <m/>
    <n v="0"/>
    <m/>
    <m/>
    <n v="0"/>
    <m/>
    <m/>
    <n v="0"/>
    <n v="108"/>
    <n v="46764"/>
    <n v="5050512"/>
    <n v="105"/>
    <n v="49256"/>
    <n v="5171880"/>
    <m/>
    <m/>
    <n v="0"/>
    <m/>
    <m/>
    <n v="0"/>
    <m/>
    <m/>
    <n v="0"/>
    <m/>
    <m/>
    <n v="0"/>
    <m/>
    <m/>
    <n v="0"/>
    <m/>
    <m/>
    <n v="0"/>
    <m/>
    <m/>
    <n v="0"/>
    <m/>
    <m/>
    <n v="0"/>
    <m/>
    <m/>
    <n v="0"/>
    <m/>
    <m/>
    <n v="0"/>
    <m/>
    <m/>
    <n v="0"/>
    <m/>
    <m/>
    <n v="0"/>
  </r>
  <r>
    <x v="9"/>
    <s v="Blue Ridge Community College"/>
    <n v="198039"/>
    <x v="7"/>
    <m/>
    <m/>
    <n v="0"/>
    <m/>
    <m/>
    <n v="0"/>
    <m/>
    <m/>
    <n v="0"/>
    <m/>
    <m/>
    <n v="0"/>
    <m/>
    <m/>
    <n v="0"/>
    <m/>
    <m/>
    <n v="0"/>
    <m/>
    <m/>
    <n v="0"/>
    <m/>
    <m/>
    <n v="0"/>
    <m/>
    <m/>
    <n v="0"/>
    <m/>
    <m/>
    <n v="0"/>
    <n v="55"/>
    <n v="42566"/>
    <n v="2341130"/>
    <n v="57"/>
    <n v="46454"/>
    <n v="2647878"/>
    <m/>
    <m/>
    <n v="0"/>
    <m/>
    <m/>
    <n v="0"/>
    <m/>
    <m/>
    <n v="0"/>
    <m/>
    <m/>
    <n v="0"/>
    <m/>
    <m/>
    <n v="0"/>
    <m/>
    <m/>
    <n v="0"/>
    <m/>
    <m/>
    <n v="0"/>
    <m/>
    <m/>
    <n v="0"/>
    <m/>
    <m/>
    <n v="0"/>
    <m/>
    <m/>
    <n v="0"/>
    <m/>
    <m/>
    <n v="0"/>
    <m/>
    <m/>
    <n v="0"/>
  </r>
  <r>
    <x v="9"/>
    <s v="Caldwell Community College &amp; Technical Institute"/>
    <n v="198118"/>
    <x v="7"/>
    <m/>
    <m/>
    <n v="0"/>
    <m/>
    <m/>
    <n v="0"/>
    <m/>
    <m/>
    <n v="0"/>
    <m/>
    <m/>
    <n v="0"/>
    <m/>
    <m/>
    <n v="0"/>
    <m/>
    <m/>
    <n v="0"/>
    <m/>
    <m/>
    <n v="0"/>
    <m/>
    <m/>
    <n v="0"/>
    <m/>
    <m/>
    <n v="0"/>
    <m/>
    <m/>
    <n v="0"/>
    <n v="115"/>
    <n v="43659"/>
    <n v="5020785"/>
    <n v="121"/>
    <n v="44646"/>
    <n v="5402166"/>
    <m/>
    <m/>
    <n v="0"/>
    <m/>
    <m/>
    <n v="0"/>
    <m/>
    <m/>
    <n v="0"/>
    <m/>
    <m/>
    <n v="0"/>
    <m/>
    <m/>
    <n v="0"/>
    <m/>
    <m/>
    <n v="0"/>
    <m/>
    <m/>
    <n v="0"/>
    <m/>
    <m/>
    <n v="0"/>
    <m/>
    <m/>
    <n v="0"/>
    <m/>
    <m/>
    <n v="0"/>
    <m/>
    <m/>
    <n v="0"/>
    <m/>
    <m/>
    <n v="0"/>
  </r>
  <r>
    <x v="9"/>
    <s v="Cleveland Community College"/>
    <n v="198321"/>
    <x v="7"/>
    <m/>
    <m/>
    <n v="0"/>
    <m/>
    <m/>
    <n v="0"/>
    <m/>
    <m/>
    <n v="0"/>
    <m/>
    <m/>
    <n v="0"/>
    <m/>
    <m/>
    <n v="0"/>
    <m/>
    <m/>
    <n v="0"/>
    <m/>
    <m/>
    <n v="0"/>
    <m/>
    <m/>
    <n v="0"/>
    <m/>
    <m/>
    <n v="0"/>
    <m/>
    <m/>
    <n v="0"/>
    <n v="81"/>
    <n v="44427"/>
    <n v="3598587"/>
    <n v="81"/>
    <n v="45843"/>
    <n v="3713283"/>
    <m/>
    <m/>
    <n v="0"/>
    <m/>
    <m/>
    <n v="0"/>
    <m/>
    <m/>
    <n v="0"/>
    <m/>
    <m/>
    <n v="0"/>
    <m/>
    <m/>
    <n v="0"/>
    <m/>
    <m/>
    <n v="0"/>
    <m/>
    <m/>
    <n v="0"/>
    <m/>
    <m/>
    <n v="0"/>
    <m/>
    <m/>
    <n v="0"/>
    <m/>
    <m/>
    <n v="0"/>
    <m/>
    <m/>
    <n v="0"/>
    <m/>
    <m/>
    <n v="0"/>
  </r>
  <r>
    <x v="9"/>
    <s v="Coastal Carolina Community College "/>
    <n v="198330"/>
    <x v="7"/>
    <m/>
    <m/>
    <n v="0"/>
    <m/>
    <m/>
    <n v="0"/>
    <m/>
    <m/>
    <n v="0"/>
    <m/>
    <m/>
    <n v="0"/>
    <m/>
    <m/>
    <n v="0"/>
    <m/>
    <m/>
    <n v="0"/>
    <m/>
    <m/>
    <n v="0"/>
    <m/>
    <m/>
    <n v="0"/>
    <m/>
    <m/>
    <n v="0"/>
    <m/>
    <m/>
    <n v="0"/>
    <n v="128"/>
    <n v="44085"/>
    <n v="5642880"/>
    <n v="128"/>
    <n v="44988"/>
    <n v="5758464"/>
    <m/>
    <m/>
    <n v="0"/>
    <m/>
    <m/>
    <n v="0"/>
    <m/>
    <m/>
    <n v="0"/>
    <m/>
    <m/>
    <n v="0"/>
    <m/>
    <m/>
    <n v="0"/>
    <m/>
    <m/>
    <n v="0"/>
    <m/>
    <m/>
    <n v="0"/>
    <m/>
    <m/>
    <n v="0"/>
    <m/>
    <m/>
    <n v="0"/>
    <m/>
    <m/>
    <n v="0"/>
    <m/>
    <m/>
    <n v="0"/>
    <m/>
    <m/>
    <n v="0"/>
  </r>
  <r>
    <x v="9"/>
    <s v="College of the Albemarle"/>
    <n v="197814"/>
    <x v="7"/>
    <m/>
    <m/>
    <n v="0"/>
    <m/>
    <m/>
    <n v="0"/>
    <m/>
    <m/>
    <n v="0"/>
    <m/>
    <m/>
    <n v="0"/>
    <m/>
    <m/>
    <n v="0"/>
    <m/>
    <m/>
    <n v="0"/>
    <m/>
    <m/>
    <n v="0"/>
    <m/>
    <m/>
    <n v="0"/>
    <m/>
    <m/>
    <n v="0"/>
    <m/>
    <m/>
    <n v="0"/>
    <n v="76"/>
    <n v="40827"/>
    <n v="3102852"/>
    <n v="76"/>
    <n v="43141"/>
    <n v="3278716"/>
    <m/>
    <m/>
    <n v="0"/>
    <m/>
    <m/>
    <n v="0"/>
    <m/>
    <m/>
    <n v="0"/>
    <m/>
    <m/>
    <n v="0"/>
    <m/>
    <m/>
    <n v="0"/>
    <m/>
    <m/>
    <n v="0"/>
    <m/>
    <m/>
    <n v="0"/>
    <m/>
    <m/>
    <n v="0"/>
    <m/>
    <m/>
    <n v="0"/>
    <m/>
    <m/>
    <n v="0"/>
    <m/>
    <m/>
    <n v="0"/>
    <m/>
    <m/>
    <n v="0"/>
  </r>
  <r>
    <x v="9"/>
    <s v="Craven Community College "/>
    <n v="198367"/>
    <x v="7"/>
    <m/>
    <m/>
    <n v="0"/>
    <m/>
    <m/>
    <n v="0"/>
    <m/>
    <m/>
    <n v="0"/>
    <m/>
    <m/>
    <n v="0"/>
    <m/>
    <m/>
    <n v="0"/>
    <m/>
    <m/>
    <n v="0"/>
    <m/>
    <m/>
    <n v="0"/>
    <m/>
    <m/>
    <n v="0"/>
    <m/>
    <m/>
    <n v="0"/>
    <m/>
    <m/>
    <n v="0"/>
    <n v="72"/>
    <n v="47485"/>
    <n v="3418920"/>
    <n v="70"/>
    <n v="49665"/>
    <n v="3476550"/>
    <m/>
    <m/>
    <n v="0"/>
    <m/>
    <m/>
    <n v="0"/>
    <m/>
    <m/>
    <n v="0"/>
    <m/>
    <m/>
    <n v="0"/>
    <m/>
    <m/>
    <n v="0"/>
    <m/>
    <m/>
    <n v="0"/>
    <m/>
    <m/>
    <n v="0"/>
    <m/>
    <m/>
    <n v="0"/>
    <m/>
    <m/>
    <n v="0"/>
    <m/>
    <m/>
    <n v="0"/>
    <m/>
    <m/>
    <n v="0"/>
    <m/>
    <m/>
    <n v="0"/>
  </r>
  <r>
    <x v="9"/>
    <s v="Davidson County Community College "/>
    <n v="198376"/>
    <x v="7"/>
    <m/>
    <m/>
    <n v="0"/>
    <m/>
    <m/>
    <n v="0"/>
    <m/>
    <m/>
    <n v="0"/>
    <m/>
    <m/>
    <n v="0"/>
    <m/>
    <m/>
    <n v="0"/>
    <m/>
    <m/>
    <n v="0"/>
    <m/>
    <m/>
    <n v="0"/>
    <m/>
    <m/>
    <n v="0"/>
    <m/>
    <m/>
    <n v="0"/>
    <m/>
    <m/>
    <n v="0"/>
    <n v="94"/>
    <n v="47112"/>
    <n v="4428528"/>
    <n v="89"/>
    <n v="47682"/>
    <n v="4243698"/>
    <m/>
    <m/>
    <n v="0"/>
    <m/>
    <m/>
    <n v="0"/>
    <m/>
    <m/>
    <n v="0"/>
    <m/>
    <m/>
    <n v="0"/>
    <m/>
    <m/>
    <n v="0"/>
    <m/>
    <m/>
    <n v="0"/>
    <m/>
    <m/>
    <n v="0"/>
    <m/>
    <m/>
    <n v="0"/>
    <m/>
    <m/>
    <n v="0"/>
    <m/>
    <m/>
    <n v="0"/>
    <m/>
    <m/>
    <n v="0"/>
    <m/>
    <m/>
    <n v="0"/>
  </r>
  <r>
    <x v="9"/>
    <s v="Edgecombe Community College"/>
    <n v="198491"/>
    <x v="7"/>
    <m/>
    <m/>
    <n v="0"/>
    <m/>
    <m/>
    <n v="0"/>
    <m/>
    <m/>
    <n v="0"/>
    <m/>
    <m/>
    <n v="0"/>
    <m/>
    <m/>
    <n v="0"/>
    <m/>
    <m/>
    <n v="0"/>
    <m/>
    <m/>
    <n v="0"/>
    <m/>
    <m/>
    <n v="0"/>
    <m/>
    <m/>
    <n v="0"/>
    <m/>
    <m/>
    <n v="0"/>
    <n v="78"/>
    <n v="43973"/>
    <n v="3429894"/>
    <n v="73"/>
    <n v="45134"/>
    <n v="3294782"/>
    <m/>
    <m/>
    <n v="0"/>
    <m/>
    <m/>
    <n v="0"/>
    <m/>
    <m/>
    <n v="0"/>
    <m/>
    <m/>
    <n v="0"/>
    <m/>
    <m/>
    <n v="0"/>
    <m/>
    <m/>
    <n v="0"/>
    <m/>
    <m/>
    <n v="0"/>
    <m/>
    <m/>
    <n v="0"/>
    <m/>
    <m/>
    <n v="0"/>
    <m/>
    <m/>
    <n v="0"/>
    <m/>
    <m/>
    <n v="0"/>
    <m/>
    <m/>
    <n v="0"/>
  </r>
  <r>
    <x v="9"/>
    <s v="Gaston College "/>
    <n v="198570"/>
    <x v="7"/>
    <m/>
    <m/>
    <n v="0"/>
    <m/>
    <m/>
    <n v="0"/>
    <m/>
    <m/>
    <n v="0"/>
    <m/>
    <m/>
    <n v="0"/>
    <m/>
    <m/>
    <n v="0"/>
    <m/>
    <m/>
    <n v="0"/>
    <m/>
    <m/>
    <n v="0"/>
    <m/>
    <m/>
    <n v="0"/>
    <m/>
    <m/>
    <n v="0"/>
    <m/>
    <m/>
    <n v="0"/>
    <n v="127"/>
    <n v="49739"/>
    <n v="6316853"/>
    <n v="138"/>
    <n v="50665"/>
    <n v="6991770"/>
    <m/>
    <m/>
    <n v="0"/>
    <m/>
    <m/>
    <n v="0"/>
    <m/>
    <m/>
    <n v="0"/>
    <m/>
    <m/>
    <n v="0"/>
    <m/>
    <m/>
    <n v="0"/>
    <m/>
    <m/>
    <n v="0"/>
    <m/>
    <m/>
    <n v="0"/>
    <m/>
    <m/>
    <n v="0"/>
    <m/>
    <m/>
    <n v="0"/>
    <m/>
    <m/>
    <n v="0"/>
    <m/>
    <m/>
    <n v="0"/>
    <m/>
    <m/>
    <n v="0"/>
  </r>
  <r>
    <x v="9"/>
    <s v="Haywood Community College"/>
    <n v="198668"/>
    <x v="7"/>
    <m/>
    <m/>
    <n v="0"/>
    <m/>
    <m/>
    <n v="0"/>
    <m/>
    <m/>
    <n v="0"/>
    <m/>
    <m/>
    <n v="0"/>
    <m/>
    <m/>
    <n v="0"/>
    <m/>
    <m/>
    <n v="0"/>
    <m/>
    <m/>
    <n v="0"/>
    <m/>
    <m/>
    <n v="0"/>
    <m/>
    <m/>
    <n v="0"/>
    <m/>
    <m/>
    <n v="0"/>
    <n v="59"/>
    <n v="47142"/>
    <n v="2781378"/>
    <n v="62"/>
    <n v="48155"/>
    <n v="2985610"/>
    <m/>
    <m/>
    <n v="0"/>
    <m/>
    <m/>
    <n v="0"/>
    <m/>
    <m/>
    <n v="0"/>
    <m/>
    <m/>
    <n v="0"/>
    <m/>
    <m/>
    <n v="0"/>
    <m/>
    <m/>
    <n v="0"/>
    <m/>
    <m/>
    <n v="0"/>
    <m/>
    <m/>
    <n v="0"/>
    <m/>
    <m/>
    <n v="0"/>
    <m/>
    <m/>
    <n v="0"/>
    <m/>
    <m/>
    <n v="0"/>
    <m/>
    <m/>
    <n v="0"/>
  </r>
  <r>
    <x v="9"/>
    <s v="Isothermal Community College "/>
    <n v="198710"/>
    <x v="7"/>
    <m/>
    <m/>
    <n v="0"/>
    <m/>
    <m/>
    <n v="0"/>
    <m/>
    <m/>
    <n v="0"/>
    <m/>
    <m/>
    <n v="0"/>
    <m/>
    <m/>
    <n v="0"/>
    <m/>
    <m/>
    <n v="0"/>
    <m/>
    <m/>
    <n v="0"/>
    <m/>
    <m/>
    <n v="0"/>
    <m/>
    <m/>
    <n v="0"/>
    <m/>
    <m/>
    <n v="0"/>
    <n v="69"/>
    <n v="44770"/>
    <n v="3089130"/>
    <n v="69"/>
    <n v="45311"/>
    <n v="3126459"/>
    <m/>
    <m/>
    <n v="0"/>
    <m/>
    <m/>
    <n v="0"/>
    <m/>
    <m/>
    <n v="0"/>
    <m/>
    <m/>
    <n v="0"/>
    <m/>
    <m/>
    <n v="0"/>
    <m/>
    <m/>
    <n v="0"/>
    <m/>
    <m/>
    <n v="0"/>
    <m/>
    <m/>
    <n v="0"/>
    <m/>
    <m/>
    <n v="0"/>
    <m/>
    <m/>
    <n v="0"/>
    <m/>
    <m/>
    <n v="0"/>
    <m/>
    <m/>
    <n v="0"/>
  </r>
  <r>
    <x v="9"/>
    <s v="Johnston Community College"/>
    <n v="198774"/>
    <x v="7"/>
    <m/>
    <m/>
    <n v="0"/>
    <m/>
    <m/>
    <n v="0"/>
    <m/>
    <m/>
    <n v="0"/>
    <m/>
    <m/>
    <n v="0"/>
    <m/>
    <m/>
    <n v="0"/>
    <m/>
    <m/>
    <n v="0"/>
    <m/>
    <m/>
    <n v="0"/>
    <m/>
    <m/>
    <n v="0"/>
    <m/>
    <m/>
    <n v="0"/>
    <m/>
    <m/>
    <n v="0"/>
    <n v="123"/>
    <n v="50179"/>
    <n v="6172017"/>
    <n v="127"/>
    <n v="51081"/>
    <n v="6487287"/>
    <m/>
    <m/>
    <n v="0"/>
    <m/>
    <m/>
    <n v="0"/>
    <m/>
    <m/>
    <n v="0"/>
    <m/>
    <m/>
    <n v="0"/>
    <m/>
    <m/>
    <n v="0"/>
    <m/>
    <m/>
    <n v="0"/>
    <m/>
    <m/>
    <n v="0"/>
    <m/>
    <m/>
    <n v="0"/>
    <m/>
    <m/>
    <n v="0"/>
    <m/>
    <m/>
    <n v="0"/>
    <m/>
    <m/>
    <n v="0"/>
    <m/>
    <m/>
    <n v="0"/>
  </r>
  <r>
    <x v="9"/>
    <s v="Lenoir Community College "/>
    <n v="198817"/>
    <x v="7"/>
    <m/>
    <m/>
    <n v="0"/>
    <m/>
    <m/>
    <n v="0"/>
    <m/>
    <m/>
    <n v="0"/>
    <m/>
    <m/>
    <n v="0"/>
    <m/>
    <m/>
    <n v="0"/>
    <m/>
    <m/>
    <n v="0"/>
    <m/>
    <m/>
    <n v="0"/>
    <m/>
    <m/>
    <n v="0"/>
    <m/>
    <m/>
    <n v="0"/>
    <m/>
    <m/>
    <n v="0"/>
    <n v="96"/>
    <n v="43172"/>
    <n v="4144512"/>
    <n v="99"/>
    <n v="44630"/>
    <n v="4418370"/>
    <m/>
    <m/>
    <n v="0"/>
    <m/>
    <m/>
    <n v="0"/>
    <m/>
    <m/>
    <n v="0"/>
    <m/>
    <m/>
    <n v="0"/>
    <m/>
    <m/>
    <n v="0"/>
    <m/>
    <m/>
    <n v="0"/>
    <m/>
    <m/>
    <n v="0"/>
    <m/>
    <m/>
    <n v="0"/>
    <m/>
    <m/>
    <n v="0"/>
    <m/>
    <m/>
    <n v="0"/>
    <m/>
    <m/>
    <n v="0"/>
    <m/>
    <m/>
    <n v="0"/>
  </r>
  <r>
    <x v="9"/>
    <s v="Mayland Community College"/>
    <n v="198914"/>
    <x v="7"/>
    <m/>
    <m/>
    <n v="0"/>
    <m/>
    <m/>
    <n v="0"/>
    <m/>
    <m/>
    <n v="0"/>
    <m/>
    <m/>
    <n v="0"/>
    <m/>
    <m/>
    <n v="0"/>
    <m/>
    <m/>
    <n v="0"/>
    <m/>
    <m/>
    <n v="0"/>
    <m/>
    <m/>
    <n v="0"/>
    <m/>
    <m/>
    <n v="0"/>
    <m/>
    <m/>
    <n v="0"/>
    <n v="46"/>
    <n v="42079"/>
    <n v="1935634"/>
    <n v="42"/>
    <n v="43539"/>
    <n v="1828638"/>
    <m/>
    <m/>
    <n v="0"/>
    <m/>
    <m/>
    <n v="0"/>
    <m/>
    <m/>
    <n v="0"/>
    <m/>
    <m/>
    <n v="0"/>
    <m/>
    <m/>
    <n v="0"/>
    <m/>
    <m/>
    <n v="0"/>
    <m/>
    <m/>
    <n v="0"/>
    <m/>
    <m/>
    <n v="0"/>
    <m/>
    <m/>
    <n v="0"/>
    <m/>
    <m/>
    <n v="0"/>
    <m/>
    <m/>
    <n v="0"/>
    <m/>
    <m/>
    <n v="0"/>
  </r>
  <r>
    <x v="9"/>
    <s v="Mitchell Community College "/>
    <n v="198987"/>
    <x v="7"/>
    <m/>
    <m/>
    <n v="0"/>
    <m/>
    <m/>
    <n v="0"/>
    <m/>
    <m/>
    <n v="0"/>
    <m/>
    <m/>
    <n v="0"/>
    <m/>
    <m/>
    <n v="0"/>
    <m/>
    <m/>
    <n v="0"/>
    <m/>
    <m/>
    <n v="0"/>
    <m/>
    <m/>
    <n v="0"/>
    <m/>
    <m/>
    <n v="0"/>
    <m/>
    <m/>
    <n v="0"/>
    <n v="71"/>
    <n v="48057"/>
    <n v="3412047"/>
    <n v="79"/>
    <n v="49061"/>
    <n v="3875819"/>
    <m/>
    <m/>
    <n v="0"/>
    <m/>
    <m/>
    <n v="0"/>
    <m/>
    <m/>
    <n v="0"/>
    <m/>
    <m/>
    <n v="0"/>
    <m/>
    <m/>
    <n v="0"/>
    <m/>
    <m/>
    <n v="0"/>
    <m/>
    <m/>
    <n v="0"/>
    <m/>
    <m/>
    <n v="0"/>
    <m/>
    <m/>
    <n v="0"/>
    <m/>
    <m/>
    <n v="0"/>
    <m/>
    <m/>
    <n v="0"/>
    <m/>
    <m/>
    <n v="0"/>
  </r>
  <r>
    <x v="9"/>
    <s v="Nash Community College"/>
    <n v="199087"/>
    <x v="7"/>
    <m/>
    <m/>
    <n v="0"/>
    <m/>
    <m/>
    <n v="0"/>
    <m/>
    <m/>
    <n v="0"/>
    <m/>
    <m/>
    <n v="0"/>
    <m/>
    <m/>
    <n v="0"/>
    <m/>
    <m/>
    <n v="0"/>
    <m/>
    <m/>
    <n v="0"/>
    <m/>
    <m/>
    <n v="0"/>
    <m/>
    <m/>
    <n v="0"/>
    <m/>
    <m/>
    <n v="0"/>
    <n v="81"/>
    <n v="46178"/>
    <n v="3740418"/>
    <n v="87"/>
    <n v="46421"/>
    <n v="4038627"/>
    <m/>
    <m/>
    <n v="0"/>
    <m/>
    <m/>
    <n v="0"/>
    <m/>
    <m/>
    <n v="0"/>
    <m/>
    <m/>
    <n v="0"/>
    <m/>
    <m/>
    <n v="0"/>
    <m/>
    <m/>
    <n v="0"/>
    <m/>
    <m/>
    <n v="0"/>
    <m/>
    <m/>
    <n v="0"/>
    <m/>
    <m/>
    <n v="0"/>
    <m/>
    <m/>
    <n v="0"/>
    <m/>
    <m/>
    <n v="0"/>
    <m/>
    <m/>
    <n v="0"/>
  </r>
  <r>
    <x v="9"/>
    <s v="Piedmont Community College"/>
    <n v="199324"/>
    <x v="7"/>
    <m/>
    <m/>
    <n v="0"/>
    <m/>
    <m/>
    <n v="0"/>
    <m/>
    <m/>
    <n v="0"/>
    <m/>
    <m/>
    <n v="0"/>
    <m/>
    <m/>
    <n v="0"/>
    <m/>
    <m/>
    <n v="0"/>
    <m/>
    <m/>
    <n v="0"/>
    <m/>
    <m/>
    <n v="0"/>
    <m/>
    <m/>
    <n v="0"/>
    <m/>
    <m/>
    <n v="0"/>
    <n v="83"/>
    <n v="43858"/>
    <n v="3640214"/>
    <n v="84"/>
    <n v="45864"/>
    <n v="3852576"/>
    <m/>
    <m/>
    <n v="0"/>
    <m/>
    <m/>
    <n v="0"/>
    <m/>
    <m/>
    <n v="0"/>
    <m/>
    <m/>
    <n v="0"/>
    <m/>
    <m/>
    <n v="0"/>
    <m/>
    <m/>
    <n v="0"/>
    <m/>
    <m/>
    <n v="0"/>
    <m/>
    <m/>
    <n v="0"/>
    <m/>
    <m/>
    <n v="0"/>
    <m/>
    <m/>
    <n v="0"/>
    <m/>
    <m/>
    <n v="0"/>
    <m/>
    <m/>
    <n v="0"/>
  </r>
  <r>
    <x v="9"/>
    <s v="Randolph Community College"/>
    <n v="199421"/>
    <x v="7"/>
    <m/>
    <m/>
    <n v="0"/>
    <m/>
    <m/>
    <n v="0"/>
    <m/>
    <m/>
    <n v="0"/>
    <m/>
    <m/>
    <n v="0"/>
    <m/>
    <m/>
    <n v="0"/>
    <m/>
    <m/>
    <n v="0"/>
    <m/>
    <m/>
    <n v="0"/>
    <m/>
    <m/>
    <n v="0"/>
    <m/>
    <m/>
    <n v="0"/>
    <m/>
    <m/>
    <n v="0"/>
    <n v="57"/>
    <n v="44640"/>
    <n v="2544480"/>
    <n v="57"/>
    <n v="46338"/>
    <n v="2641266"/>
    <m/>
    <m/>
    <n v="0"/>
    <m/>
    <m/>
    <n v="0"/>
    <m/>
    <m/>
    <n v="0"/>
    <m/>
    <m/>
    <n v="0"/>
    <m/>
    <m/>
    <n v="0"/>
    <m/>
    <m/>
    <n v="0"/>
    <m/>
    <m/>
    <n v="0"/>
    <m/>
    <m/>
    <n v="0"/>
    <m/>
    <m/>
    <n v="0"/>
    <m/>
    <m/>
    <n v="0"/>
    <m/>
    <m/>
    <n v="0"/>
    <m/>
    <m/>
    <n v="0"/>
  </r>
  <r>
    <x v="9"/>
    <s v="Richmond Community College"/>
    <n v="199449"/>
    <x v="7"/>
    <m/>
    <m/>
    <n v="0"/>
    <m/>
    <m/>
    <n v="0"/>
    <m/>
    <m/>
    <n v="0"/>
    <m/>
    <m/>
    <n v="0"/>
    <m/>
    <m/>
    <n v="0"/>
    <m/>
    <m/>
    <n v="0"/>
    <m/>
    <m/>
    <n v="0"/>
    <m/>
    <m/>
    <n v="0"/>
    <m/>
    <m/>
    <n v="0"/>
    <m/>
    <m/>
    <n v="0"/>
    <n v="50"/>
    <n v="53879"/>
    <n v="2693950"/>
    <n v="53"/>
    <n v="55704"/>
    <n v="2952312"/>
    <m/>
    <m/>
    <n v="0"/>
    <m/>
    <m/>
    <n v="0"/>
    <m/>
    <m/>
    <n v="0"/>
    <m/>
    <m/>
    <n v="0"/>
    <m/>
    <m/>
    <n v="0"/>
    <m/>
    <m/>
    <n v="0"/>
    <m/>
    <m/>
    <n v="0"/>
    <m/>
    <m/>
    <n v="0"/>
    <m/>
    <m/>
    <n v="0"/>
    <m/>
    <m/>
    <n v="0"/>
    <m/>
    <m/>
    <n v="0"/>
    <m/>
    <m/>
    <n v="0"/>
  </r>
  <r>
    <x v="9"/>
    <s v="Robeson Community College"/>
    <n v="199476"/>
    <x v="7"/>
    <m/>
    <m/>
    <n v="0"/>
    <m/>
    <m/>
    <n v="0"/>
    <m/>
    <m/>
    <n v="0"/>
    <m/>
    <m/>
    <n v="0"/>
    <m/>
    <m/>
    <n v="0"/>
    <m/>
    <m/>
    <n v="0"/>
    <m/>
    <m/>
    <n v="0"/>
    <m/>
    <m/>
    <n v="0"/>
    <m/>
    <m/>
    <n v="0"/>
    <m/>
    <m/>
    <n v="0"/>
    <n v="68"/>
    <n v="48615"/>
    <n v="3305820"/>
    <n v="66"/>
    <n v="49961"/>
    <n v="3297426"/>
    <m/>
    <m/>
    <n v="0"/>
    <m/>
    <m/>
    <n v="0"/>
    <m/>
    <m/>
    <n v="0"/>
    <m/>
    <m/>
    <n v="0"/>
    <m/>
    <m/>
    <n v="0"/>
    <m/>
    <m/>
    <n v="0"/>
    <m/>
    <m/>
    <n v="0"/>
    <m/>
    <m/>
    <n v="0"/>
    <m/>
    <m/>
    <n v="0"/>
    <m/>
    <m/>
    <n v="0"/>
    <m/>
    <m/>
    <n v="0"/>
    <m/>
    <m/>
    <n v="0"/>
  </r>
  <r>
    <x v="9"/>
    <s v="Rockingham Community College "/>
    <n v="199485"/>
    <x v="7"/>
    <m/>
    <m/>
    <n v="0"/>
    <m/>
    <m/>
    <n v="0"/>
    <m/>
    <m/>
    <n v="0"/>
    <m/>
    <m/>
    <n v="0"/>
    <m/>
    <m/>
    <n v="0"/>
    <m/>
    <m/>
    <n v="0"/>
    <m/>
    <m/>
    <n v="0"/>
    <m/>
    <m/>
    <n v="0"/>
    <m/>
    <m/>
    <n v="0"/>
    <m/>
    <m/>
    <n v="0"/>
    <n v="69"/>
    <n v="45075"/>
    <n v="3110175"/>
    <n v="64"/>
    <n v="46406"/>
    <n v="2969984"/>
    <m/>
    <m/>
    <n v="0"/>
    <m/>
    <m/>
    <n v="0"/>
    <m/>
    <m/>
    <n v="0"/>
    <m/>
    <m/>
    <n v="0"/>
    <m/>
    <m/>
    <n v="0"/>
    <m/>
    <m/>
    <n v="0"/>
    <m/>
    <m/>
    <n v="0"/>
    <m/>
    <m/>
    <n v="0"/>
    <m/>
    <m/>
    <n v="0"/>
    <m/>
    <m/>
    <n v="0"/>
    <m/>
    <m/>
    <n v="0"/>
    <m/>
    <m/>
    <n v="0"/>
  </r>
  <r>
    <x v="9"/>
    <s v="Sandhills Community College "/>
    <n v="199634"/>
    <x v="7"/>
    <m/>
    <m/>
    <n v="0"/>
    <m/>
    <m/>
    <n v="0"/>
    <m/>
    <m/>
    <n v="0"/>
    <m/>
    <m/>
    <n v="0"/>
    <m/>
    <m/>
    <n v="0"/>
    <m/>
    <m/>
    <n v="0"/>
    <m/>
    <m/>
    <n v="0"/>
    <m/>
    <m/>
    <n v="0"/>
    <m/>
    <m/>
    <n v="0"/>
    <m/>
    <m/>
    <n v="0"/>
    <n v="119"/>
    <n v="50358"/>
    <n v="5992602"/>
    <n v="116"/>
    <n v="51523"/>
    <n v="5976668"/>
    <m/>
    <m/>
    <n v="0"/>
    <m/>
    <m/>
    <n v="0"/>
    <m/>
    <m/>
    <n v="0"/>
    <m/>
    <m/>
    <n v="0"/>
    <m/>
    <m/>
    <n v="0"/>
    <m/>
    <m/>
    <n v="0"/>
    <m/>
    <m/>
    <n v="0"/>
    <m/>
    <m/>
    <n v="0"/>
    <m/>
    <m/>
    <n v="0"/>
    <m/>
    <m/>
    <n v="0"/>
    <m/>
    <m/>
    <n v="0"/>
    <m/>
    <m/>
    <n v="0"/>
  </r>
  <r>
    <x v="9"/>
    <s v="South Piedmont Community College"/>
    <n v="197850"/>
    <x v="7"/>
    <m/>
    <m/>
    <n v="0"/>
    <m/>
    <m/>
    <n v="0"/>
    <m/>
    <m/>
    <n v="0"/>
    <m/>
    <m/>
    <n v="0"/>
    <m/>
    <m/>
    <n v="0"/>
    <m/>
    <m/>
    <n v="0"/>
    <m/>
    <m/>
    <n v="0"/>
    <m/>
    <m/>
    <n v="0"/>
    <m/>
    <m/>
    <n v="0"/>
    <m/>
    <m/>
    <n v="0"/>
    <n v="61"/>
    <n v="43128"/>
    <n v="2630808"/>
    <n v="64"/>
    <n v="44770"/>
    <n v="2865280"/>
    <m/>
    <m/>
    <n v="0"/>
    <m/>
    <m/>
    <n v="0"/>
    <m/>
    <m/>
    <n v="0"/>
    <m/>
    <m/>
    <n v="0"/>
    <m/>
    <m/>
    <n v="0"/>
    <m/>
    <m/>
    <n v="0"/>
    <m/>
    <m/>
    <n v="0"/>
    <m/>
    <m/>
    <n v="0"/>
    <m/>
    <m/>
    <n v="0"/>
    <m/>
    <m/>
    <n v="0"/>
    <m/>
    <m/>
    <n v="0"/>
    <m/>
    <m/>
    <n v="0"/>
  </r>
  <r>
    <x v="9"/>
    <s v="Southeastern Community College "/>
    <n v="199722"/>
    <x v="7"/>
    <m/>
    <m/>
    <n v="0"/>
    <m/>
    <m/>
    <n v="0"/>
    <m/>
    <m/>
    <n v="0"/>
    <m/>
    <m/>
    <n v="0"/>
    <m/>
    <m/>
    <n v="0"/>
    <m/>
    <m/>
    <n v="0"/>
    <m/>
    <m/>
    <n v="0"/>
    <m/>
    <m/>
    <n v="0"/>
    <m/>
    <m/>
    <n v="0"/>
    <m/>
    <m/>
    <n v="0"/>
    <n v="64"/>
    <n v="53285"/>
    <n v="3410240"/>
    <n v="61"/>
    <n v="53782"/>
    <n v="3280702"/>
    <m/>
    <m/>
    <n v="0"/>
    <m/>
    <m/>
    <n v="0"/>
    <m/>
    <m/>
    <n v="0"/>
    <m/>
    <m/>
    <n v="0"/>
    <m/>
    <m/>
    <n v="0"/>
    <m/>
    <m/>
    <n v="0"/>
    <m/>
    <m/>
    <n v="0"/>
    <m/>
    <m/>
    <n v="0"/>
    <m/>
    <m/>
    <n v="0"/>
    <m/>
    <m/>
    <n v="0"/>
    <m/>
    <m/>
    <n v="0"/>
    <m/>
    <m/>
    <n v="0"/>
  </r>
  <r>
    <x v="9"/>
    <s v="Southwestern Community College "/>
    <n v="199731"/>
    <x v="7"/>
    <m/>
    <m/>
    <n v="0"/>
    <m/>
    <m/>
    <n v="0"/>
    <m/>
    <m/>
    <n v="0"/>
    <m/>
    <m/>
    <n v="0"/>
    <m/>
    <m/>
    <n v="0"/>
    <m/>
    <m/>
    <n v="0"/>
    <m/>
    <m/>
    <n v="0"/>
    <m/>
    <m/>
    <n v="0"/>
    <m/>
    <m/>
    <n v="0"/>
    <m/>
    <m/>
    <n v="0"/>
    <n v="63"/>
    <n v="47535"/>
    <n v="2994705"/>
    <n v="68"/>
    <n v="48006"/>
    <n v="3264408"/>
    <m/>
    <m/>
    <n v="0"/>
    <m/>
    <m/>
    <n v="0"/>
    <m/>
    <m/>
    <n v="0"/>
    <m/>
    <m/>
    <n v="0"/>
    <m/>
    <m/>
    <n v="0"/>
    <m/>
    <m/>
    <n v="0"/>
    <m/>
    <m/>
    <n v="0"/>
    <m/>
    <m/>
    <n v="0"/>
    <m/>
    <m/>
    <n v="0"/>
    <m/>
    <m/>
    <n v="0"/>
    <m/>
    <m/>
    <n v="0"/>
    <m/>
    <m/>
    <n v="0"/>
  </r>
  <r>
    <x v="9"/>
    <s v="Stanly Community College"/>
    <n v="199740"/>
    <x v="7"/>
    <m/>
    <m/>
    <n v="0"/>
    <m/>
    <m/>
    <n v="0"/>
    <m/>
    <m/>
    <n v="0"/>
    <m/>
    <m/>
    <n v="0"/>
    <m/>
    <m/>
    <n v="0"/>
    <m/>
    <m/>
    <n v="0"/>
    <m/>
    <m/>
    <n v="0"/>
    <m/>
    <m/>
    <n v="0"/>
    <m/>
    <m/>
    <n v="0"/>
    <m/>
    <m/>
    <n v="0"/>
    <n v="71"/>
    <n v="44536"/>
    <n v="3162056"/>
    <n v="77"/>
    <n v="45479"/>
    <n v="3501883"/>
    <m/>
    <m/>
    <n v="0"/>
    <m/>
    <m/>
    <n v="0"/>
    <m/>
    <m/>
    <n v="0"/>
    <m/>
    <m/>
    <n v="0"/>
    <m/>
    <m/>
    <n v="0"/>
    <m/>
    <m/>
    <n v="0"/>
    <m/>
    <m/>
    <n v="0"/>
    <m/>
    <m/>
    <n v="0"/>
    <m/>
    <m/>
    <n v="0"/>
    <m/>
    <m/>
    <n v="0"/>
    <m/>
    <m/>
    <n v="0"/>
    <m/>
    <m/>
    <n v="0"/>
  </r>
  <r>
    <x v="9"/>
    <s v="Surry Community College "/>
    <n v="199768"/>
    <x v="7"/>
    <m/>
    <m/>
    <n v="0"/>
    <m/>
    <m/>
    <n v="0"/>
    <m/>
    <m/>
    <n v="0"/>
    <m/>
    <m/>
    <n v="0"/>
    <m/>
    <m/>
    <n v="0"/>
    <m/>
    <m/>
    <n v="0"/>
    <m/>
    <m/>
    <n v="0"/>
    <m/>
    <m/>
    <n v="0"/>
    <m/>
    <m/>
    <n v="0"/>
    <m/>
    <m/>
    <n v="0"/>
    <n v="89"/>
    <n v="48141"/>
    <n v="4284549"/>
    <n v="97"/>
    <n v="48152"/>
    <n v="4670744"/>
    <m/>
    <m/>
    <n v="0"/>
    <m/>
    <m/>
    <n v="0"/>
    <m/>
    <m/>
    <n v="0"/>
    <m/>
    <m/>
    <n v="0"/>
    <m/>
    <m/>
    <n v="0"/>
    <m/>
    <m/>
    <n v="0"/>
    <m/>
    <m/>
    <n v="0"/>
    <m/>
    <m/>
    <n v="0"/>
    <m/>
    <m/>
    <n v="0"/>
    <m/>
    <m/>
    <n v="0"/>
    <m/>
    <m/>
    <n v="0"/>
    <m/>
    <m/>
    <n v="0"/>
  </r>
  <r>
    <x v="9"/>
    <s v="Vance-Granville Community College "/>
    <n v="199838"/>
    <x v="7"/>
    <m/>
    <m/>
    <n v="0"/>
    <m/>
    <m/>
    <n v="0"/>
    <m/>
    <m/>
    <n v="0"/>
    <m/>
    <m/>
    <n v="0"/>
    <m/>
    <m/>
    <n v="0"/>
    <m/>
    <m/>
    <n v="0"/>
    <m/>
    <m/>
    <n v="0"/>
    <m/>
    <m/>
    <n v="0"/>
    <m/>
    <m/>
    <n v="0"/>
    <m/>
    <m/>
    <n v="0"/>
    <n v="120"/>
    <n v="44713"/>
    <n v="5365560"/>
    <n v="114"/>
    <n v="46249"/>
    <n v="5272386"/>
    <m/>
    <m/>
    <n v="0"/>
    <m/>
    <m/>
    <n v="0"/>
    <m/>
    <m/>
    <n v="0"/>
    <m/>
    <m/>
    <n v="0"/>
    <m/>
    <m/>
    <n v="0"/>
    <m/>
    <m/>
    <n v="0"/>
    <m/>
    <m/>
    <n v="0"/>
    <m/>
    <m/>
    <n v="0"/>
    <m/>
    <m/>
    <n v="0"/>
    <m/>
    <m/>
    <n v="0"/>
    <m/>
    <m/>
    <n v="0"/>
    <m/>
    <m/>
    <n v="0"/>
  </r>
  <r>
    <x v="9"/>
    <s v="Wayne Community College"/>
    <n v="199892"/>
    <x v="7"/>
    <m/>
    <m/>
    <n v="0"/>
    <m/>
    <m/>
    <n v="0"/>
    <m/>
    <m/>
    <n v="0"/>
    <m/>
    <m/>
    <n v="0"/>
    <m/>
    <m/>
    <n v="0"/>
    <m/>
    <m/>
    <n v="0"/>
    <m/>
    <m/>
    <n v="0"/>
    <m/>
    <m/>
    <n v="0"/>
    <m/>
    <m/>
    <n v="0"/>
    <m/>
    <m/>
    <n v="0"/>
    <n v="97"/>
    <n v="45031"/>
    <n v="4368007"/>
    <n v="102"/>
    <n v="45509"/>
    <n v="4641918"/>
    <m/>
    <m/>
    <n v="0"/>
    <m/>
    <m/>
    <n v="0"/>
    <m/>
    <m/>
    <n v="0"/>
    <m/>
    <m/>
    <n v="0"/>
    <m/>
    <m/>
    <n v="0"/>
    <m/>
    <m/>
    <n v="0"/>
    <m/>
    <m/>
    <n v="0"/>
    <m/>
    <m/>
    <n v="0"/>
    <m/>
    <m/>
    <n v="0"/>
    <m/>
    <m/>
    <n v="0"/>
    <m/>
    <m/>
    <n v="0"/>
    <m/>
    <m/>
    <n v="0"/>
  </r>
  <r>
    <x v="9"/>
    <s v="Western Piedmont Community College "/>
    <n v="199908"/>
    <x v="7"/>
    <m/>
    <m/>
    <n v="0"/>
    <m/>
    <m/>
    <n v="0"/>
    <m/>
    <m/>
    <n v="0"/>
    <m/>
    <m/>
    <n v="0"/>
    <m/>
    <m/>
    <n v="0"/>
    <m/>
    <m/>
    <n v="0"/>
    <m/>
    <m/>
    <n v="0"/>
    <m/>
    <m/>
    <n v="0"/>
    <m/>
    <m/>
    <n v="0"/>
    <m/>
    <m/>
    <n v="0"/>
    <n v="72"/>
    <n v="44043"/>
    <n v="3171096"/>
    <n v="78"/>
    <n v="51504"/>
    <n v="4017312"/>
    <m/>
    <m/>
    <n v="0"/>
    <m/>
    <m/>
    <n v="0"/>
    <m/>
    <m/>
    <n v="0"/>
    <m/>
    <m/>
    <n v="0"/>
    <m/>
    <m/>
    <n v="0"/>
    <m/>
    <m/>
    <n v="0"/>
    <m/>
    <m/>
    <n v="0"/>
    <m/>
    <m/>
    <n v="0"/>
    <m/>
    <m/>
    <n v="0"/>
    <m/>
    <m/>
    <n v="0"/>
    <m/>
    <m/>
    <n v="0"/>
    <m/>
    <m/>
    <n v="0"/>
  </r>
  <r>
    <x v="9"/>
    <s v="Wilkes Community College "/>
    <n v="199926"/>
    <x v="7"/>
    <m/>
    <m/>
    <n v="0"/>
    <m/>
    <m/>
    <n v="0"/>
    <m/>
    <m/>
    <n v="0"/>
    <m/>
    <m/>
    <n v="0"/>
    <m/>
    <m/>
    <n v="0"/>
    <m/>
    <m/>
    <n v="0"/>
    <m/>
    <m/>
    <n v="0"/>
    <m/>
    <m/>
    <n v="0"/>
    <m/>
    <m/>
    <n v="0"/>
    <m/>
    <m/>
    <n v="0"/>
    <n v="74"/>
    <n v="45818"/>
    <n v="3390532"/>
    <n v="73"/>
    <n v="47128"/>
    <n v="3440344"/>
    <m/>
    <m/>
    <n v="0"/>
    <m/>
    <m/>
    <n v="0"/>
    <m/>
    <m/>
    <n v="0"/>
    <m/>
    <m/>
    <n v="0"/>
    <m/>
    <m/>
    <n v="0"/>
    <m/>
    <m/>
    <n v="0"/>
    <m/>
    <m/>
    <n v="0"/>
    <m/>
    <m/>
    <n v="0"/>
    <m/>
    <m/>
    <n v="0"/>
    <m/>
    <m/>
    <n v="0"/>
    <m/>
    <m/>
    <n v="0"/>
    <m/>
    <m/>
    <n v="0"/>
  </r>
  <r>
    <x v="9"/>
    <s v="Wilson Technical Community College"/>
    <n v="199953"/>
    <x v="7"/>
    <m/>
    <m/>
    <n v="0"/>
    <m/>
    <m/>
    <n v="0"/>
    <m/>
    <m/>
    <n v="0"/>
    <m/>
    <m/>
    <n v="0"/>
    <m/>
    <m/>
    <n v="0"/>
    <m/>
    <m/>
    <n v="0"/>
    <m/>
    <m/>
    <n v="0"/>
    <m/>
    <m/>
    <n v="0"/>
    <m/>
    <m/>
    <n v="0"/>
    <m/>
    <m/>
    <n v="0"/>
    <n v="56"/>
    <n v="46757"/>
    <n v="2618392"/>
    <n v="55"/>
    <n v="48038"/>
    <n v="2642090"/>
    <m/>
    <m/>
    <n v="0"/>
    <m/>
    <m/>
    <n v="0"/>
    <m/>
    <m/>
    <n v="0"/>
    <m/>
    <m/>
    <n v="0"/>
    <m/>
    <m/>
    <n v="0"/>
    <m/>
    <m/>
    <n v="0"/>
    <m/>
    <m/>
    <n v="0"/>
    <m/>
    <m/>
    <n v="0"/>
    <m/>
    <m/>
    <n v="0"/>
    <m/>
    <m/>
    <n v="0"/>
    <m/>
    <m/>
    <n v="0"/>
    <m/>
    <m/>
    <n v="0"/>
  </r>
  <r>
    <x v="9"/>
    <s v="Beaufort County Community College "/>
    <n v="197966"/>
    <x v="8"/>
    <m/>
    <m/>
    <n v="0"/>
    <m/>
    <m/>
    <n v="0"/>
    <m/>
    <m/>
    <n v="0"/>
    <m/>
    <m/>
    <n v="0"/>
    <m/>
    <m/>
    <n v="0"/>
    <m/>
    <m/>
    <n v="0"/>
    <m/>
    <m/>
    <n v="0"/>
    <m/>
    <m/>
    <n v="0"/>
    <m/>
    <m/>
    <n v="0"/>
    <m/>
    <m/>
    <n v="0"/>
    <n v="61"/>
    <n v="44364"/>
    <n v="2706204"/>
    <n v="63"/>
    <n v="45859"/>
    <n v="2889117"/>
    <m/>
    <m/>
    <n v="0"/>
    <m/>
    <m/>
    <n v="0"/>
    <m/>
    <m/>
    <n v="0"/>
    <m/>
    <m/>
    <n v="0"/>
    <m/>
    <m/>
    <n v="0"/>
    <m/>
    <m/>
    <n v="0"/>
    <m/>
    <m/>
    <n v="0"/>
    <m/>
    <m/>
    <n v="0"/>
    <m/>
    <m/>
    <n v="0"/>
    <m/>
    <m/>
    <n v="0"/>
    <m/>
    <m/>
    <n v="0"/>
    <m/>
    <m/>
    <n v="0"/>
  </r>
  <r>
    <x v="9"/>
    <s v="Bladen Community College"/>
    <n v="198011"/>
    <x v="8"/>
    <m/>
    <m/>
    <n v="0"/>
    <m/>
    <m/>
    <n v="0"/>
    <m/>
    <m/>
    <n v="0"/>
    <m/>
    <m/>
    <n v="0"/>
    <m/>
    <m/>
    <n v="0"/>
    <m/>
    <m/>
    <n v="0"/>
    <m/>
    <m/>
    <n v="0"/>
    <m/>
    <m/>
    <n v="0"/>
    <m/>
    <m/>
    <n v="0"/>
    <m/>
    <m/>
    <n v="0"/>
    <n v="43"/>
    <n v="44114"/>
    <n v="1896902"/>
    <n v="43"/>
    <n v="46457"/>
    <n v="1997651"/>
    <m/>
    <m/>
    <n v="0"/>
    <m/>
    <m/>
    <n v="0"/>
    <m/>
    <m/>
    <n v="0"/>
    <m/>
    <m/>
    <n v="0"/>
    <m/>
    <m/>
    <n v="0"/>
    <m/>
    <m/>
    <n v="0"/>
    <m/>
    <m/>
    <n v="0"/>
    <m/>
    <m/>
    <n v="0"/>
    <m/>
    <m/>
    <n v="0"/>
    <m/>
    <m/>
    <n v="0"/>
    <m/>
    <m/>
    <n v="0"/>
    <m/>
    <m/>
    <n v="0"/>
  </r>
  <r>
    <x v="9"/>
    <s v="Brunswick Community College"/>
    <n v="198084"/>
    <x v="8"/>
    <m/>
    <m/>
    <n v="0"/>
    <m/>
    <m/>
    <n v="0"/>
    <m/>
    <m/>
    <n v="0"/>
    <m/>
    <m/>
    <n v="0"/>
    <m/>
    <m/>
    <n v="0"/>
    <m/>
    <m/>
    <n v="0"/>
    <m/>
    <m/>
    <n v="0"/>
    <m/>
    <m/>
    <n v="0"/>
    <m/>
    <m/>
    <n v="0"/>
    <m/>
    <m/>
    <n v="0"/>
    <n v="37"/>
    <n v="43069"/>
    <n v="1593553"/>
    <n v="38"/>
    <n v="43525"/>
    <n v="1653950"/>
    <m/>
    <m/>
    <n v="0"/>
    <m/>
    <m/>
    <n v="0"/>
    <m/>
    <m/>
    <n v="0"/>
    <m/>
    <m/>
    <n v="0"/>
    <m/>
    <m/>
    <n v="0"/>
    <m/>
    <m/>
    <n v="0"/>
    <m/>
    <m/>
    <n v="0"/>
    <m/>
    <m/>
    <n v="0"/>
    <m/>
    <m/>
    <n v="0"/>
    <m/>
    <m/>
    <n v="0"/>
    <m/>
    <m/>
    <n v="0"/>
    <m/>
    <m/>
    <n v="0"/>
  </r>
  <r>
    <x v="9"/>
    <s v="Carteret Community College"/>
    <n v="198206"/>
    <x v="8"/>
    <m/>
    <m/>
    <n v="0"/>
    <m/>
    <m/>
    <n v="0"/>
    <m/>
    <m/>
    <n v="0"/>
    <m/>
    <m/>
    <n v="0"/>
    <m/>
    <m/>
    <n v="0"/>
    <m/>
    <m/>
    <n v="0"/>
    <m/>
    <m/>
    <n v="0"/>
    <m/>
    <m/>
    <n v="0"/>
    <m/>
    <m/>
    <n v="0"/>
    <m/>
    <m/>
    <n v="0"/>
    <n v="60"/>
    <n v="45235"/>
    <n v="2714100"/>
    <n v="60"/>
    <n v="45918"/>
    <n v="2755080"/>
    <m/>
    <m/>
    <n v="0"/>
    <m/>
    <m/>
    <n v="0"/>
    <m/>
    <m/>
    <n v="0"/>
    <m/>
    <m/>
    <n v="0"/>
    <m/>
    <m/>
    <n v="0"/>
    <m/>
    <m/>
    <n v="0"/>
    <m/>
    <m/>
    <n v="0"/>
    <m/>
    <m/>
    <n v="0"/>
    <m/>
    <m/>
    <n v="0"/>
    <m/>
    <m/>
    <n v="0"/>
    <m/>
    <m/>
    <n v="0"/>
    <m/>
    <m/>
    <n v="0"/>
  </r>
  <r>
    <x v="9"/>
    <s v="Halifax Community College "/>
    <n v="198640"/>
    <x v="8"/>
    <m/>
    <m/>
    <n v="0"/>
    <m/>
    <m/>
    <n v="0"/>
    <m/>
    <m/>
    <n v="0"/>
    <m/>
    <m/>
    <n v="0"/>
    <m/>
    <m/>
    <n v="0"/>
    <m/>
    <m/>
    <n v="0"/>
    <m/>
    <m/>
    <n v="0"/>
    <m/>
    <m/>
    <n v="0"/>
    <m/>
    <m/>
    <n v="0"/>
    <m/>
    <m/>
    <n v="0"/>
    <n v="63"/>
    <n v="43991"/>
    <n v="2771433"/>
    <n v="62"/>
    <n v="45537"/>
    <n v="2823294"/>
    <m/>
    <m/>
    <n v="0"/>
    <m/>
    <m/>
    <n v="0"/>
    <m/>
    <m/>
    <n v="0"/>
    <m/>
    <m/>
    <n v="0"/>
    <m/>
    <m/>
    <n v="0"/>
    <m/>
    <m/>
    <n v="0"/>
    <m/>
    <m/>
    <n v="0"/>
    <m/>
    <m/>
    <n v="0"/>
    <m/>
    <m/>
    <n v="0"/>
    <m/>
    <m/>
    <n v="0"/>
    <m/>
    <m/>
    <n v="0"/>
    <m/>
    <m/>
    <n v="0"/>
  </r>
  <r>
    <x v="9"/>
    <s v="James Sprunt Community College"/>
    <n v="198729"/>
    <x v="8"/>
    <m/>
    <m/>
    <n v="0"/>
    <m/>
    <m/>
    <n v="0"/>
    <m/>
    <m/>
    <n v="0"/>
    <m/>
    <m/>
    <n v="0"/>
    <m/>
    <m/>
    <n v="0"/>
    <m/>
    <m/>
    <n v="0"/>
    <m/>
    <m/>
    <n v="0"/>
    <m/>
    <m/>
    <n v="0"/>
    <m/>
    <m/>
    <n v="0"/>
    <m/>
    <m/>
    <n v="0"/>
    <n v="53"/>
    <n v="43679"/>
    <n v="2314987"/>
    <n v="51"/>
    <n v="43857"/>
    <n v="2236707"/>
    <m/>
    <m/>
    <n v="0"/>
    <m/>
    <m/>
    <n v="0"/>
    <m/>
    <m/>
    <n v="0"/>
    <m/>
    <m/>
    <n v="0"/>
    <m/>
    <m/>
    <n v="0"/>
    <m/>
    <m/>
    <n v="0"/>
    <m/>
    <m/>
    <n v="0"/>
    <m/>
    <m/>
    <n v="0"/>
    <m/>
    <m/>
    <n v="0"/>
    <m/>
    <m/>
    <n v="0"/>
    <m/>
    <m/>
    <n v="0"/>
    <m/>
    <m/>
    <n v="0"/>
  </r>
  <r>
    <x v="9"/>
    <s v="Martin Community College "/>
    <n v="198905"/>
    <x v="8"/>
    <m/>
    <m/>
    <n v="0"/>
    <m/>
    <m/>
    <n v="0"/>
    <m/>
    <m/>
    <n v="0"/>
    <m/>
    <m/>
    <n v="0"/>
    <m/>
    <m/>
    <n v="0"/>
    <m/>
    <m/>
    <n v="0"/>
    <m/>
    <m/>
    <n v="0"/>
    <m/>
    <m/>
    <n v="0"/>
    <m/>
    <m/>
    <n v="0"/>
    <m/>
    <m/>
    <n v="0"/>
    <n v="24"/>
    <n v="41334"/>
    <n v="992016"/>
    <n v="26"/>
    <n v="41892"/>
    <n v="1089192"/>
    <m/>
    <m/>
    <n v="0"/>
    <m/>
    <m/>
    <n v="0"/>
    <m/>
    <m/>
    <n v="0"/>
    <m/>
    <m/>
    <n v="0"/>
    <m/>
    <m/>
    <n v="0"/>
    <m/>
    <m/>
    <n v="0"/>
    <m/>
    <m/>
    <n v="0"/>
    <m/>
    <m/>
    <n v="0"/>
    <m/>
    <m/>
    <n v="0"/>
    <m/>
    <m/>
    <n v="0"/>
    <m/>
    <m/>
    <n v="0"/>
    <m/>
    <m/>
    <n v="0"/>
  </r>
  <r>
    <x v="9"/>
    <s v="McDowell Technical Community College"/>
    <n v="198923"/>
    <x v="8"/>
    <m/>
    <m/>
    <n v="0"/>
    <m/>
    <m/>
    <n v="0"/>
    <m/>
    <m/>
    <n v="0"/>
    <m/>
    <m/>
    <n v="0"/>
    <m/>
    <m/>
    <n v="0"/>
    <m/>
    <m/>
    <n v="0"/>
    <m/>
    <m/>
    <n v="0"/>
    <m/>
    <m/>
    <n v="0"/>
    <m/>
    <m/>
    <n v="0"/>
    <m/>
    <m/>
    <n v="0"/>
    <n v="40"/>
    <n v="39096"/>
    <n v="1563840"/>
    <n v="41"/>
    <n v="39847"/>
    <n v="1633727"/>
    <m/>
    <m/>
    <n v="0"/>
    <m/>
    <m/>
    <n v="0"/>
    <m/>
    <m/>
    <n v="0"/>
    <m/>
    <m/>
    <n v="0"/>
    <m/>
    <m/>
    <n v="0"/>
    <m/>
    <m/>
    <n v="0"/>
    <m/>
    <m/>
    <n v="0"/>
    <m/>
    <m/>
    <n v="0"/>
    <m/>
    <m/>
    <n v="0"/>
    <m/>
    <m/>
    <n v="0"/>
    <m/>
    <m/>
    <n v="0"/>
    <m/>
    <m/>
    <n v="0"/>
  </r>
  <r>
    <x v="9"/>
    <s v="Montgomery Community College"/>
    <n v="199023"/>
    <x v="8"/>
    <m/>
    <m/>
    <n v="0"/>
    <m/>
    <m/>
    <n v="0"/>
    <m/>
    <m/>
    <n v="0"/>
    <m/>
    <m/>
    <n v="0"/>
    <m/>
    <m/>
    <n v="0"/>
    <m/>
    <m/>
    <n v="0"/>
    <m/>
    <m/>
    <n v="0"/>
    <m/>
    <m/>
    <n v="0"/>
    <m/>
    <m/>
    <n v="0"/>
    <m/>
    <m/>
    <n v="0"/>
    <n v="36"/>
    <n v="41099"/>
    <n v="1479564"/>
    <n v="37"/>
    <n v="43543"/>
    <n v="1611091"/>
    <m/>
    <m/>
    <n v="0"/>
    <m/>
    <m/>
    <n v="0"/>
    <m/>
    <m/>
    <n v="0"/>
    <m/>
    <m/>
    <n v="0"/>
    <m/>
    <m/>
    <n v="0"/>
    <m/>
    <m/>
    <n v="0"/>
    <m/>
    <m/>
    <n v="0"/>
    <m/>
    <m/>
    <n v="0"/>
    <m/>
    <m/>
    <n v="0"/>
    <m/>
    <m/>
    <n v="0"/>
    <m/>
    <m/>
    <n v="0"/>
    <m/>
    <m/>
    <n v="0"/>
  </r>
  <r>
    <x v="9"/>
    <s v="Pamlico Community College"/>
    <n v="199263"/>
    <x v="8"/>
    <m/>
    <m/>
    <n v="0"/>
    <m/>
    <m/>
    <n v="0"/>
    <m/>
    <m/>
    <n v="0"/>
    <m/>
    <m/>
    <n v="0"/>
    <m/>
    <m/>
    <n v="0"/>
    <m/>
    <m/>
    <n v="0"/>
    <m/>
    <m/>
    <n v="0"/>
    <m/>
    <m/>
    <n v="0"/>
    <m/>
    <m/>
    <n v="0"/>
    <m/>
    <m/>
    <n v="0"/>
    <n v="14"/>
    <n v="41288"/>
    <n v="578032"/>
    <n v="17"/>
    <n v="42510"/>
    <n v="722670"/>
    <m/>
    <m/>
    <n v="0"/>
    <m/>
    <m/>
    <n v="0"/>
    <m/>
    <m/>
    <n v="0"/>
    <m/>
    <m/>
    <n v="0"/>
    <m/>
    <m/>
    <n v="0"/>
    <m/>
    <m/>
    <n v="0"/>
    <m/>
    <m/>
    <n v="0"/>
    <m/>
    <m/>
    <n v="0"/>
    <m/>
    <m/>
    <n v="0"/>
    <m/>
    <m/>
    <n v="0"/>
    <m/>
    <m/>
    <n v="0"/>
    <m/>
    <m/>
    <n v="0"/>
  </r>
  <r>
    <x v="9"/>
    <s v="Roanoke-Chowan Community College"/>
    <n v="199467"/>
    <x v="8"/>
    <m/>
    <m/>
    <n v="0"/>
    <m/>
    <m/>
    <n v="0"/>
    <m/>
    <m/>
    <n v="0"/>
    <m/>
    <m/>
    <n v="0"/>
    <m/>
    <m/>
    <n v="0"/>
    <m/>
    <m/>
    <n v="0"/>
    <m/>
    <m/>
    <n v="0"/>
    <m/>
    <m/>
    <n v="0"/>
    <m/>
    <m/>
    <n v="0"/>
    <m/>
    <m/>
    <n v="0"/>
    <n v="41"/>
    <n v="49440"/>
    <n v="2027040"/>
    <n v="38"/>
    <n v="51193"/>
    <n v="1945334"/>
    <m/>
    <m/>
    <n v="0"/>
    <m/>
    <m/>
    <n v="0"/>
    <m/>
    <m/>
    <n v="0"/>
    <m/>
    <m/>
    <n v="0"/>
    <m/>
    <m/>
    <n v="0"/>
    <m/>
    <m/>
    <n v="0"/>
    <m/>
    <m/>
    <n v="0"/>
    <m/>
    <m/>
    <n v="0"/>
    <m/>
    <m/>
    <n v="0"/>
    <m/>
    <m/>
    <n v="0"/>
    <m/>
    <m/>
    <n v="0"/>
    <m/>
    <m/>
    <n v="0"/>
  </r>
  <r>
    <x v="9"/>
    <s v="Sampson Community College"/>
    <n v="199625"/>
    <x v="8"/>
    <m/>
    <m/>
    <n v="0"/>
    <m/>
    <m/>
    <n v="0"/>
    <m/>
    <m/>
    <n v="0"/>
    <m/>
    <m/>
    <n v="0"/>
    <m/>
    <m/>
    <n v="0"/>
    <m/>
    <m/>
    <n v="0"/>
    <m/>
    <m/>
    <n v="0"/>
    <m/>
    <m/>
    <n v="0"/>
    <m/>
    <m/>
    <n v="0"/>
    <m/>
    <m/>
    <n v="0"/>
    <n v="49"/>
    <n v="45429"/>
    <n v="2226021"/>
    <n v="50"/>
    <n v="46345"/>
    <n v="2317250"/>
    <m/>
    <m/>
    <n v="0"/>
    <m/>
    <m/>
    <n v="0"/>
    <m/>
    <m/>
    <n v="0"/>
    <m/>
    <m/>
    <n v="0"/>
    <m/>
    <m/>
    <n v="0"/>
    <m/>
    <m/>
    <n v="0"/>
    <m/>
    <m/>
    <n v="0"/>
    <m/>
    <m/>
    <n v="0"/>
    <m/>
    <m/>
    <n v="0"/>
    <m/>
    <m/>
    <n v="0"/>
    <m/>
    <m/>
    <n v="0"/>
    <m/>
    <m/>
    <n v="0"/>
  </r>
  <r>
    <x v="9"/>
    <s v="Tri-County Community College "/>
    <n v="199795"/>
    <x v="8"/>
    <m/>
    <m/>
    <n v="0"/>
    <m/>
    <m/>
    <n v="0"/>
    <m/>
    <m/>
    <n v="0"/>
    <m/>
    <m/>
    <n v="0"/>
    <m/>
    <m/>
    <n v="0"/>
    <m/>
    <m/>
    <n v="0"/>
    <m/>
    <m/>
    <n v="0"/>
    <m/>
    <m/>
    <n v="0"/>
    <m/>
    <m/>
    <n v="0"/>
    <m/>
    <m/>
    <n v="0"/>
    <n v="30"/>
    <n v="44481"/>
    <n v="1334430"/>
    <n v="29"/>
    <n v="46133"/>
    <n v="1337857"/>
    <m/>
    <m/>
    <n v="0"/>
    <m/>
    <m/>
    <n v="0"/>
    <m/>
    <m/>
    <n v="0"/>
    <m/>
    <m/>
    <n v="0"/>
    <m/>
    <m/>
    <n v="0"/>
    <m/>
    <m/>
    <n v="0"/>
    <m/>
    <m/>
    <n v="0"/>
    <m/>
    <m/>
    <n v="0"/>
    <m/>
    <m/>
    <n v="0"/>
    <m/>
    <m/>
    <n v="0"/>
    <m/>
    <m/>
    <n v="0"/>
    <m/>
    <m/>
    <n v="0"/>
  </r>
  <r>
    <x v="10"/>
    <s v="Oklahoma State University Main Campus"/>
    <n v="207388"/>
    <x v="0"/>
    <n v="225"/>
    <n v="101147"/>
    <n v="22758075"/>
    <n v="224"/>
    <n v="104714"/>
    <n v="23455936"/>
    <n v="231"/>
    <n v="69980"/>
    <n v="16165380"/>
    <n v="231"/>
    <n v="73233"/>
    <n v="16916823"/>
    <n v="231"/>
    <n v="63062"/>
    <n v="14567322"/>
    <n v="213"/>
    <n v="64639"/>
    <n v="13768107"/>
    <n v="55"/>
    <n v="40702"/>
    <n v="2238610"/>
    <n v="68"/>
    <n v="42806"/>
    <n v="2910808"/>
    <m/>
    <m/>
    <n v="0"/>
    <m/>
    <m/>
    <n v="0"/>
    <m/>
    <m/>
    <n v="0"/>
    <m/>
    <m/>
    <n v="0"/>
    <n v="52"/>
    <n v="130716"/>
    <n v="5561495.2224000003"/>
    <n v="60"/>
    <n v="137521"/>
    <n v="6751180.932"/>
    <n v="39"/>
    <n v="76386"/>
    <n v="2437461.9828000003"/>
    <n v="35"/>
    <n v="82116"/>
    <n v="2351555.892"/>
    <n v="21"/>
    <n v="55279"/>
    <n v="949814.83380000002"/>
    <n v="27"/>
    <n v="58385"/>
    <n v="1289806.389"/>
    <n v="55"/>
    <n v="42901"/>
    <n v="1930587.9010000001"/>
    <n v="62"/>
    <n v="45992"/>
    <n v="2333100.5728000002"/>
    <m/>
    <m/>
    <n v="0"/>
    <m/>
    <m/>
    <n v="0"/>
    <m/>
    <m/>
    <n v="0"/>
    <m/>
    <m/>
    <n v="0"/>
  </r>
  <r>
    <x v="10"/>
    <s v="University of Oklahoma Norman Campus"/>
    <n v="207500"/>
    <x v="0"/>
    <n v="298"/>
    <n v="107114"/>
    <n v="31919972"/>
    <n v="316"/>
    <n v="106281"/>
    <n v="33584796"/>
    <n v="243"/>
    <n v="69525"/>
    <n v="16894575"/>
    <n v="259"/>
    <n v="70528"/>
    <n v="18266752"/>
    <n v="272"/>
    <n v="59026"/>
    <n v="16055072"/>
    <n v="259"/>
    <n v="61807"/>
    <n v="16008013"/>
    <n v="137"/>
    <n v="38852"/>
    <n v="5322724"/>
    <n v="136"/>
    <n v="42337"/>
    <n v="5757832"/>
    <m/>
    <m/>
    <n v="0"/>
    <m/>
    <m/>
    <n v="0"/>
    <m/>
    <m/>
    <n v="0"/>
    <m/>
    <m/>
    <n v="0"/>
    <n v="75"/>
    <n v="140704"/>
    <n v="8634300.9600000009"/>
    <n v="80"/>
    <n v="143397"/>
    <n v="9386194.0319999997"/>
    <n v="38"/>
    <n v="104854"/>
    <n v="3260078.6264"/>
    <n v="35"/>
    <n v="103772"/>
    <n v="2971718.764"/>
    <n v="11"/>
    <n v="69506"/>
    <n v="625567.90120000008"/>
    <n v="12"/>
    <n v="74623"/>
    <n v="732678.4632"/>
    <n v="17"/>
    <n v="46909"/>
    <n v="652476.04460000002"/>
    <n v="15"/>
    <n v="48067"/>
    <n v="589926.29100000008"/>
    <m/>
    <m/>
    <n v="0"/>
    <m/>
    <m/>
    <n v="0"/>
    <m/>
    <m/>
    <n v="0"/>
    <m/>
    <m/>
    <n v="0"/>
  </r>
  <r>
    <x v="10"/>
    <s v="Northeastern State University"/>
    <n v="207263"/>
    <x v="2"/>
    <n v="56"/>
    <n v="68860"/>
    <n v="3856160"/>
    <n v="53"/>
    <n v="69024"/>
    <n v="3658272"/>
    <n v="73"/>
    <n v="58050"/>
    <n v="4237650"/>
    <n v="71"/>
    <n v="58256"/>
    <n v="4136176"/>
    <n v="79"/>
    <n v="49142"/>
    <n v="3882218"/>
    <n v="85"/>
    <n v="48818"/>
    <n v="4149530"/>
    <n v="73"/>
    <n v="38285"/>
    <n v="2794805"/>
    <n v="79"/>
    <n v="37992"/>
    <n v="3001368"/>
    <m/>
    <m/>
    <n v="0"/>
    <m/>
    <m/>
    <n v="0"/>
    <m/>
    <m/>
    <n v="0"/>
    <m/>
    <m/>
    <n v="0"/>
    <n v="10"/>
    <n v="99719"/>
    <n v="815900.85800000001"/>
    <n v="10"/>
    <n v="101584"/>
    <n v="831160.28800000006"/>
    <n v="8"/>
    <n v="76656"/>
    <n v="501759.51360000001"/>
    <n v="8"/>
    <n v="76287"/>
    <n v="499344.18720000004"/>
    <n v="8"/>
    <n v="69494"/>
    <n v="454879.9264"/>
    <n v="8"/>
    <n v="67118"/>
    <n v="439327.5808"/>
    <n v="13"/>
    <n v="48368"/>
    <n v="514471.06880000001"/>
    <n v="10"/>
    <n v="49562"/>
    <n v="405516.28400000004"/>
    <m/>
    <m/>
    <n v="0"/>
    <m/>
    <m/>
    <n v="0"/>
    <m/>
    <m/>
    <n v="0"/>
    <m/>
    <m/>
    <n v="0"/>
  </r>
  <r>
    <x v="10"/>
    <s v="University of Central Oklahoma"/>
    <n v="206941"/>
    <x v="2"/>
    <n v="155"/>
    <n v="77583"/>
    <n v="12025365"/>
    <n v="163"/>
    <n v="77641"/>
    <n v="12655483"/>
    <n v="47"/>
    <n v="66548"/>
    <n v="3127756"/>
    <n v="45"/>
    <n v="66251"/>
    <n v="2981295"/>
    <n v="117"/>
    <n v="58346"/>
    <n v="6826482"/>
    <n v="128"/>
    <n v="58367"/>
    <n v="7470976"/>
    <n v="110"/>
    <n v="39692"/>
    <n v="4366120"/>
    <n v="100"/>
    <n v="40143"/>
    <n v="4014300"/>
    <m/>
    <m/>
    <n v="0"/>
    <m/>
    <m/>
    <n v="0"/>
    <m/>
    <m/>
    <n v="0"/>
    <m/>
    <m/>
    <n v="0"/>
    <m/>
    <m/>
    <n v="0"/>
    <m/>
    <m/>
    <n v="0"/>
    <m/>
    <m/>
    <n v="0"/>
    <m/>
    <m/>
    <n v="0"/>
    <m/>
    <m/>
    <n v="0"/>
    <m/>
    <m/>
    <n v="0"/>
    <m/>
    <m/>
    <n v="0"/>
    <m/>
    <m/>
    <n v="0"/>
    <m/>
    <m/>
    <n v="0"/>
    <m/>
    <m/>
    <n v="0"/>
    <m/>
    <m/>
    <n v="0"/>
    <m/>
    <m/>
    <n v="0"/>
  </r>
  <r>
    <x v="10"/>
    <s v="Cameron University "/>
    <n v="206914"/>
    <x v="4"/>
    <n v="36"/>
    <n v="63117"/>
    <n v="2272212"/>
    <n v="36"/>
    <n v="76606"/>
    <n v="2757816"/>
    <n v="37"/>
    <n v="58022"/>
    <n v="2146814"/>
    <n v="39"/>
    <n v="57742"/>
    <n v="2251938"/>
    <n v="63"/>
    <n v="48168"/>
    <n v="3034584"/>
    <n v="60"/>
    <n v="47849"/>
    <n v="2870940"/>
    <n v="34"/>
    <n v="35559"/>
    <n v="1209006"/>
    <n v="35"/>
    <n v="35808"/>
    <n v="1253280"/>
    <m/>
    <m/>
    <n v="0"/>
    <m/>
    <m/>
    <n v="0"/>
    <m/>
    <m/>
    <n v="0"/>
    <m/>
    <m/>
    <n v="0"/>
    <m/>
    <m/>
    <n v="0"/>
    <m/>
    <m/>
    <n v="0"/>
    <m/>
    <m/>
    <n v="0"/>
    <m/>
    <m/>
    <n v="0"/>
    <m/>
    <m/>
    <n v="0"/>
    <m/>
    <m/>
    <n v="0"/>
    <m/>
    <m/>
    <n v="0"/>
    <m/>
    <m/>
    <n v="0"/>
    <m/>
    <m/>
    <n v="0"/>
    <m/>
    <m/>
    <n v="0"/>
    <m/>
    <m/>
    <n v="0"/>
    <m/>
    <m/>
    <n v="0"/>
  </r>
  <r>
    <x v="10"/>
    <s v="East Central University "/>
    <n v="207041"/>
    <x v="4"/>
    <n v="52"/>
    <n v="68534"/>
    <n v="3563768"/>
    <n v="55"/>
    <n v="68426"/>
    <n v="3763430"/>
    <n v="18"/>
    <n v="54325"/>
    <n v="977850"/>
    <n v="24"/>
    <n v="54265"/>
    <n v="1302360"/>
    <n v="42"/>
    <n v="48499"/>
    <n v="2036958"/>
    <n v="45"/>
    <n v="47407"/>
    <n v="2133315"/>
    <n v="35"/>
    <n v="42996"/>
    <n v="1504860"/>
    <n v="37"/>
    <n v="42676"/>
    <n v="1579012"/>
    <m/>
    <m/>
    <n v="0"/>
    <m/>
    <m/>
    <n v="0"/>
    <m/>
    <m/>
    <n v="0"/>
    <m/>
    <m/>
    <n v="0"/>
    <n v="2"/>
    <n v="86378"/>
    <n v="141348.95920000001"/>
    <m/>
    <m/>
    <n v="0"/>
    <n v="1"/>
    <n v="72500"/>
    <n v="59319.5"/>
    <n v="2"/>
    <n v="86447"/>
    <n v="141461.8708"/>
    <n v="25"/>
    <n v="59558"/>
    <n v="1218258.8900000001"/>
    <n v="1"/>
    <n v="72638"/>
    <n v="59432.411599999999"/>
    <n v="1"/>
    <n v="47141"/>
    <n v="38570.766199999998"/>
    <n v="3"/>
    <n v="45007"/>
    <n v="110474.18220000001"/>
    <m/>
    <m/>
    <n v="0"/>
    <m/>
    <m/>
    <n v="0"/>
    <m/>
    <m/>
    <n v="0"/>
    <m/>
    <m/>
    <n v="0"/>
  </r>
  <r>
    <x v="10"/>
    <s v="Langston University"/>
    <n v="207209"/>
    <x v="4"/>
    <n v="8"/>
    <n v="54818"/>
    <n v="438544"/>
    <n v="9"/>
    <n v="54976"/>
    <n v="494784"/>
    <n v="18"/>
    <n v="54325"/>
    <n v="977850"/>
    <n v="17"/>
    <n v="54319"/>
    <n v="923423"/>
    <n v="35"/>
    <n v="47236"/>
    <n v="1653260"/>
    <n v="36"/>
    <n v="47168"/>
    <n v="1698048"/>
    <n v="23"/>
    <n v="40874"/>
    <n v="940102"/>
    <m/>
    <m/>
    <n v="0"/>
    <m/>
    <m/>
    <n v="0"/>
    <m/>
    <m/>
    <n v="0"/>
    <m/>
    <m/>
    <n v="0"/>
    <m/>
    <m/>
    <n v="0"/>
    <n v="2"/>
    <n v="63990"/>
    <n v="104713.236"/>
    <n v="2"/>
    <n v="92747"/>
    <n v="151771.19080000001"/>
    <n v="12"/>
    <n v="71292"/>
    <n v="699973.37280000001"/>
    <n v="11"/>
    <n v="69161"/>
    <n v="622462.83220000006"/>
    <m/>
    <m/>
    <n v="0"/>
    <n v="23"/>
    <n v="60107"/>
    <n v="1131129.5902"/>
    <n v="16"/>
    <n v="44284"/>
    <n v="579730.70079999999"/>
    <n v="16"/>
    <n v="43986"/>
    <n v="575829.52320000005"/>
    <m/>
    <m/>
    <n v="0"/>
    <m/>
    <m/>
    <n v="0"/>
    <m/>
    <m/>
    <n v="0"/>
    <m/>
    <m/>
    <n v="0"/>
  </r>
  <r>
    <x v="10"/>
    <s v="Northwestern Oklahoma State University "/>
    <n v="207306"/>
    <x v="4"/>
    <n v="18"/>
    <n v="63317"/>
    <n v="1139706"/>
    <n v="16"/>
    <n v="64058"/>
    <n v="1024928"/>
    <n v="12"/>
    <n v="52123"/>
    <n v="625476"/>
    <n v="12"/>
    <n v="53461"/>
    <n v="641532"/>
    <n v="16"/>
    <n v="47766"/>
    <n v="764256"/>
    <n v="16"/>
    <n v="45775"/>
    <n v="732400"/>
    <n v="33"/>
    <n v="37516"/>
    <n v="1238028"/>
    <n v="35"/>
    <n v="38525"/>
    <n v="1348375"/>
    <m/>
    <m/>
    <n v="0"/>
    <m/>
    <m/>
    <n v="0"/>
    <m/>
    <m/>
    <n v="0"/>
    <m/>
    <m/>
    <n v="0"/>
    <m/>
    <m/>
    <n v="0"/>
    <n v="1"/>
    <n v="75000"/>
    <n v="61365"/>
    <n v="2"/>
    <n v="82929"/>
    <n v="135705.01560000001"/>
    <n v="2"/>
    <n v="84975"/>
    <n v="139053.09"/>
    <m/>
    <m/>
    <n v="0"/>
    <n v="1"/>
    <n v="92700"/>
    <n v="75847.14"/>
    <n v="4"/>
    <n v="50012"/>
    <n v="163679.27360000001"/>
    <n v="3"/>
    <n v="59205"/>
    <n v="145324.59299999999"/>
    <m/>
    <m/>
    <n v="0"/>
    <m/>
    <m/>
    <n v="0"/>
    <m/>
    <m/>
    <n v="0"/>
    <m/>
    <m/>
    <n v="0"/>
  </r>
  <r>
    <x v="10"/>
    <s v="Southeastern Oklahoma State University "/>
    <n v="207847"/>
    <x v="4"/>
    <n v="35"/>
    <n v="66320"/>
    <n v="2321200"/>
    <n v="43"/>
    <n v="69383"/>
    <n v="2983469"/>
    <n v="37"/>
    <n v="59986"/>
    <n v="2219482"/>
    <n v="26"/>
    <n v="61255"/>
    <n v="1592630"/>
    <n v="36"/>
    <n v="50877"/>
    <n v="1831572"/>
    <n v="38"/>
    <n v="50944"/>
    <n v="1935872"/>
    <n v="21"/>
    <n v="36478"/>
    <n v="766038"/>
    <n v="21"/>
    <n v="39042"/>
    <n v="819882"/>
    <m/>
    <m/>
    <n v="0"/>
    <m/>
    <m/>
    <n v="0"/>
    <m/>
    <m/>
    <n v="0"/>
    <m/>
    <m/>
    <n v="0"/>
    <n v="5"/>
    <n v="112383"/>
    <n v="459758.853"/>
    <n v="6"/>
    <n v="117140"/>
    <n v="575063.68800000008"/>
    <n v="1"/>
    <n v="67140"/>
    <n v="54933.948000000004"/>
    <m/>
    <m/>
    <n v="0"/>
    <n v="7"/>
    <n v="54795"/>
    <n v="313832.88300000003"/>
    <n v="1"/>
    <n v="70482"/>
    <n v="57668.3724"/>
    <n v="1"/>
    <n v="50088"/>
    <n v="40982.001600000003"/>
    <n v="5"/>
    <n v="58125"/>
    <n v="237789.375"/>
    <m/>
    <m/>
    <n v="0"/>
    <m/>
    <m/>
    <n v="0"/>
    <m/>
    <m/>
    <n v="0"/>
    <m/>
    <m/>
    <n v="0"/>
  </r>
  <r>
    <x v="10"/>
    <s v="Southwestern Oklahoma State University"/>
    <n v="207865"/>
    <x v="4"/>
    <n v="37"/>
    <n v="74049"/>
    <n v="2739813"/>
    <n v="36"/>
    <n v="76606"/>
    <n v="2757816"/>
    <n v="24"/>
    <n v="60448"/>
    <n v="1450752"/>
    <n v="26"/>
    <n v="61213"/>
    <n v="1591538"/>
    <n v="65"/>
    <n v="48286"/>
    <n v="3138590"/>
    <n v="55"/>
    <n v="49689"/>
    <n v="2732895"/>
    <n v="82"/>
    <n v="42164"/>
    <n v="3457448"/>
    <n v="79"/>
    <n v="44448"/>
    <n v="3511392"/>
    <m/>
    <m/>
    <n v="0"/>
    <m/>
    <m/>
    <n v="0"/>
    <m/>
    <m/>
    <n v="0"/>
    <m/>
    <m/>
    <n v="0"/>
    <n v="3"/>
    <n v="115489"/>
    <n v="283479.29940000002"/>
    <n v="3"/>
    <n v="121100"/>
    <n v="297252.06"/>
    <n v="7"/>
    <n v="95276"/>
    <n v="545683.76240000001"/>
    <n v="8"/>
    <n v="98490"/>
    <n v="644676.14400000009"/>
    <n v="4"/>
    <n v="82333"/>
    <n v="269459.4424"/>
    <n v="4"/>
    <n v="86988"/>
    <n v="284694.32640000002"/>
    <n v="1"/>
    <n v="44302"/>
    <n v="36247.896400000005"/>
    <n v="1"/>
    <n v="46434"/>
    <n v="37992.298800000004"/>
    <m/>
    <m/>
    <n v="0"/>
    <m/>
    <m/>
    <n v="0"/>
    <m/>
    <m/>
    <n v="0"/>
    <m/>
    <m/>
    <n v="0"/>
  </r>
  <r>
    <x v="10"/>
    <s v="Oklahoma Panhandle State University "/>
    <n v="207351"/>
    <x v="5"/>
    <n v="2"/>
    <n v="45851"/>
    <n v="91702"/>
    <n v="3"/>
    <n v="48236"/>
    <n v="144708"/>
    <n v="10"/>
    <n v="47618"/>
    <n v="476180"/>
    <n v="9"/>
    <n v="50263"/>
    <n v="452367"/>
    <n v="14"/>
    <n v="39194"/>
    <n v="548716"/>
    <n v="14"/>
    <n v="41881"/>
    <n v="586334"/>
    <n v="23"/>
    <n v="25222"/>
    <n v="580106"/>
    <n v="16"/>
    <n v="27518"/>
    <n v="440288"/>
    <m/>
    <m/>
    <n v="0"/>
    <m/>
    <m/>
    <n v="0"/>
    <m/>
    <m/>
    <n v="0"/>
    <m/>
    <m/>
    <n v="0"/>
    <m/>
    <m/>
    <n v="0"/>
    <m/>
    <m/>
    <n v="0"/>
    <n v="1"/>
    <n v="52600"/>
    <n v="43037.32"/>
    <m/>
    <m/>
    <n v="0"/>
    <n v="2"/>
    <n v="42060"/>
    <n v="68826.983999999997"/>
    <n v="2"/>
    <n v="56783"/>
    <n v="92919.70120000001"/>
    <n v="4"/>
    <n v="27236"/>
    <n v="89137.980800000005"/>
    <n v="1"/>
    <n v="43510"/>
    <n v="35599.882000000005"/>
    <m/>
    <m/>
    <n v="0"/>
    <m/>
    <m/>
    <n v="0"/>
    <m/>
    <m/>
    <n v="0"/>
    <m/>
    <m/>
    <n v="0"/>
  </r>
  <r>
    <x v="10"/>
    <s v="Rogers State University"/>
    <n v="207661"/>
    <x v="5"/>
    <n v="9"/>
    <n v="70284"/>
    <n v="632556"/>
    <n v="6"/>
    <n v="70588"/>
    <n v="423528"/>
    <m/>
    <m/>
    <n v="0"/>
    <n v="20"/>
    <n v="55355"/>
    <n v="1107100"/>
    <n v="34"/>
    <n v="48692"/>
    <n v="1655528"/>
    <n v="36"/>
    <n v="47886"/>
    <n v="1723896"/>
    <n v="24"/>
    <n v="41740"/>
    <n v="1001760"/>
    <n v="20"/>
    <n v="42894"/>
    <n v="857880"/>
    <m/>
    <m/>
    <n v="0"/>
    <m/>
    <m/>
    <n v="0"/>
    <m/>
    <m/>
    <n v="0"/>
    <m/>
    <m/>
    <n v="0"/>
    <n v="0"/>
    <n v="0"/>
    <n v="0"/>
    <n v="3"/>
    <n v="75340"/>
    <n v="184929.56400000001"/>
    <n v="1"/>
    <n v="68140"/>
    <n v="55752.148000000001"/>
    <n v="5"/>
    <n v="78986"/>
    <n v="323131.72600000002"/>
    <m/>
    <m/>
    <n v="0"/>
    <n v="1"/>
    <n v="78000"/>
    <n v="63819.600000000006"/>
    <n v="2"/>
    <n v="30630"/>
    <n v="50122.932000000001"/>
    <n v="3"/>
    <n v="35159"/>
    <n v="86301.281400000007"/>
    <m/>
    <m/>
    <n v="0"/>
    <m/>
    <m/>
    <n v="0"/>
    <m/>
    <m/>
    <n v="0"/>
    <m/>
    <m/>
    <n v="0"/>
  </r>
  <r>
    <x v="10"/>
    <s v="University of Science and Arts of Oklahoma"/>
    <n v="207722"/>
    <x v="5"/>
    <n v="17"/>
    <n v="54238"/>
    <n v="922046"/>
    <n v="15"/>
    <n v="63095"/>
    <n v="946425"/>
    <n v="8"/>
    <n v="46381"/>
    <n v="371048"/>
    <n v="9"/>
    <n v="51892"/>
    <n v="467028"/>
    <n v="17"/>
    <n v="41047"/>
    <n v="697799"/>
    <n v="15"/>
    <n v="45777"/>
    <n v="686655"/>
    <n v="6"/>
    <n v="37671"/>
    <n v="226026"/>
    <n v="7"/>
    <n v="42146"/>
    <n v="295022"/>
    <m/>
    <m/>
    <n v="0"/>
    <m/>
    <m/>
    <n v="0"/>
    <m/>
    <m/>
    <n v="0"/>
    <m/>
    <m/>
    <n v="0"/>
    <n v="4"/>
    <n v="70869"/>
    <n v="231940.0632"/>
    <n v="5"/>
    <n v="78380"/>
    <n v="320652.58"/>
    <n v="2"/>
    <n v="61425"/>
    <n v="100515.87000000001"/>
    <n v="1"/>
    <n v="69075"/>
    <n v="56517.165000000001"/>
    <m/>
    <m/>
    <n v="0"/>
    <m/>
    <m/>
    <n v="0"/>
    <n v="4"/>
    <n v="53469"/>
    <n v="174993.3432"/>
    <n v="4"/>
    <n v="56181"/>
    <n v="183869.17680000002"/>
    <m/>
    <m/>
    <n v="0"/>
    <m/>
    <m/>
    <n v="0"/>
    <m/>
    <m/>
    <n v="0"/>
    <m/>
    <m/>
    <n v="0"/>
  </r>
  <r>
    <x v="10"/>
    <s v="Oklahoma State University Technical Branch-Okmulgee "/>
    <n v="207564"/>
    <x v="11"/>
    <m/>
    <m/>
    <n v="0"/>
    <m/>
    <m/>
    <n v="0"/>
    <m/>
    <m/>
    <n v="0"/>
    <m/>
    <m/>
    <n v="0"/>
    <m/>
    <m/>
    <n v="0"/>
    <m/>
    <m/>
    <n v="0"/>
    <m/>
    <m/>
    <n v="0"/>
    <m/>
    <m/>
    <n v="0"/>
    <m/>
    <m/>
    <n v="0"/>
    <m/>
    <m/>
    <n v="0"/>
    <n v="55"/>
    <n v="35616"/>
    <n v="1958880"/>
    <n v="112"/>
    <n v="38709"/>
    <n v="4335408"/>
    <m/>
    <m/>
    <n v="0"/>
    <m/>
    <m/>
    <n v="0"/>
    <m/>
    <m/>
    <n v="0"/>
    <m/>
    <m/>
    <n v="0"/>
    <m/>
    <m/>
    <n v="0"/>
    <m/>
    <m/>
    <n v="0"/>
    <m/>
    <m/>
    <n v="0"/>
    <m/>
    <m/>
    <n v="0"/>
    <m/>
    <m/>
    <n v="0"/>
    <m/>
    <m/>
    <n v="0"/>
    <n v="63"/>
    <n v="51610"/>
    <n v="2660320.0260000001"/>
    <n v="12"/>
    <n v="53567"/>
    <n v="525942.2328"/>
  </r>
  <r>
    <x v="10"/>
    <s v="Oklahoma City Community College "/>
    <n v="207449"/>
    <x v="6"/>
    <m/>
    <m/>
    <n v="0"/>
    <m/>
    <m/>
    <n v="0"/>
    <m/>
    <m/>
    <n v="0"/>
    <m/>
    <m/>
    <n v="0"/>
    <m/>
    <m/>
    <n v="0"/>
    <m/>
    <m/>
    <n v="0"/>
    <m/>
    <m/>
    <n v="0"/>
    <m/>
    <m/>
    <n v="0"/>
    <m/>
    <m/>
    <n v="0"/>
    <m/>
    <m/>
    <n v="0"/>
    <n v="133"/>
    <n v="49117"/>
    <n v="6532561"/>
    <n v="145"/>
    <n v="49143"/>
    <n v="7125735"/>
    <m/>
    <m/>
    <n v="0"/>
    <m/>
    <m/>
    <n v="0"/>
    <m/>
    <m/>
    <n v="0"/>
    <m/>
    <m/>
    <n v="0"/>
    <m/>
    <m/>
    <n v="0"/>
    <m/>
    <m/>
    <n v="0"/>
    <m/>
    <m/>
    <n v="0"/>
    <m/>
    <m/>
    <n v="0"/>
    <m/>
    <m/>
    <n v="0"/>
    <m/>
    <m/>
    <n v="0"/>
    <n v="1"/>
    <n v="87083"/>
    <n v="71251.310599999997"/>
    <n v="1"/>
    <n v="89824"/>
    <n v="73493.996800000008"/>
  </r>
  <r>
    <x v="10"/>
    <s v="Tulsa Community College "/>
    <n v="207935"/>
    <x v="6"/>
    <m/>
    <m/>
    <n v="0"/>
    <m/>
    <m/>
    <n v="0"/>
    <m/>
    <m/>
    <n v="0"/>
    <m/>
    <m/>
    <n v="0"/>
    <m/>
    <m/>
    <n v="0"/>
    <m/>
    <m/>
    <n v="0"/>
    <m/>
    <m/>
    <n v="0"/>
    <m/>
    <m/>
    <n v="0"/>
    <m/>
    <m/>
    <n v="0"/>
    <m/>
    <m/>
    <n v="0"/>
    <n v="253"/>
    <n v="55359"/>
    <n v="14005827"/>
    <n v="257"/>
    <n v="56764"/>
    <n v="14588348"/>
    <m/>
    <m/>
    <n v="0"/>
    <m/>
    <m/>
    <n v="0"/>
    <m/>
    <m/>
    <n v="0"/>
    <m/>
    <m/>
    <n v="0"/>
    <m/>
    <m/>
    <n v="0"/>
    <m/>
    <m/>
    <n v="0"/>
    <m/>
    <m/>
    <n v="0"/>
    <m/>
    <m/>
    <n v="0"/>
    <m/>
    <m/>
    <n v="0"/>
    <m/>
    <m/>
    <n v="0"/>
    <n v="42"/>
    <n v="61246"/>
    <n v="2104682.0424000002"/>
    <n v="41"/>
    <n v="62620"/>
    <n v="2100663.0440000002"/>
  </r>
  <r>
    <x v="10"/>
    <s v="Northern Oklahoma College "/>
    <n v="207281"/>
    <x v="7"/>
    <m/>
    <m/>
    <n v="0"/>
    <m/>
    <m/>
    <n v="0"/>
    <m/>
    <m/>
    <n v="0"/>
    <m/>
    <m/>
    <n v="0"/>
    <m/>
    <m/>
    <n v="0"/>
    <m/>
    <m/>
    <n v="0"/>
    <m/>
    <m/>
    <n v="0"/>
    <m/>
    <m/>
    <n v="0"/>
    <m/>
    <m/>
    <n v="0"/>
    <m/>
    <m/>
    <n v="0"/>
    <n v="91"/>
    <n v="46483"/>
    <n v="4229953"/>
    <n v="94"/>
    <n v="45989"/>
    <n v="4322966"/>
    <m/>
    <m/>
    <n v="0"/>
    <m/>
    <m/>
    <n v="0"/>
    <m/>
    <m/>
    <n v="0"/>
    <m/>
    <m/>
    <n v="0"/>
    <m/>
    <m/>
    <n v="0"/>
    <m/>
    <m/>
    <n v="0"/>
    <m/>
    <m/>
    <n v="0"/>
    <m/>
    <m/>
    <n v="0"/>
    <m/>
    <m/>
    <n v="0"/>
    <m/>
    <m/>
    <n v="0"/>
    <n v="3"/>
    <n v="37268"/>
    <n v="91478.032800000001"/>
    <n v="3"/>
    <n v="53887"/>
    <n v="132271.03020000001"/>
  </r>
  <r>
    <x v="10"/>
    <s v="Oklahoma State University-Oklahoma City "/>
    <n v="207397"/>
    <x v="7"/>
    <m/>
    <m/>
    <n v="0"/>
    <m/>
    <m/>
    <n v="0"/>
    <m/>
    <m/>
    <n v="0"/>
    <m/>
    <m/>
    <n v="0"/>
    <m/>
    <m/>
    <n v="0"/>
    <m/>
    <m/>
    <n v="0"/>
    <m/>
    <m/>
    <n v="0"/>
    <m/>
    <m/>
    <n v="0"/>
    <m/>
    <m/>
    <n v="0"/>
    <m/>
    <m/>
    <n v="0"/>
    <n v="48"/>
    <n v="47447"/>
    <n v="2277456"/>
    <n v="27"/>
    <n v="50691"/>
    <n v="1368657"/>
    <m/>
    <m/>
    <n v="0"/>
    <m/>
    <m/>
    <n v="0"/>
    <m/>
    <m/>
    <n v="0"/>
    <m/>
    <m/>
    <n v="0"/>
    <m/>
    <m/>
    <n v="0"/>
    <m/>
    <m/>
    <n v="0"/>
    <m/>
    <m/>
    <n v="0"/>
    <m/>
    <m/>
    <n v="0"/>
    <m/>
    <m/>
    <n v="0"/>
    <m/>
    <m/>
    <n v="0"/>
    <n v="25"/>
    <n v="64589"/>
    <n v="1321167.9950000001"/>
    <n v="27"/>
    <m/>
    <n v="0"/>
  </r>
  <r>
    <x v="10"/>
    <s v="Rose State College "/>
    <n v="207670"/>
    <x v="7"/>
    <m/>
    <m/>
    <n v="0"/>
    <m/>
    <m/>
    <n v="0"/>
    <m/>
    <m/>
    <n v="0"/>
    <m/>
    <m/>
    <n v="0"/>
    <m/>
    <m/>
    <n v="0"/>
    <m/>
    <m/>
    <n v="0"/>
    <m/>
    <m/>
    <n v="0"/>
    <m/>
    <m/>
    <n v="0"/>
    <m/>
    <m/>
    <n v="0"/>
    <m/>
    <m/>
    <n v="0"/>
    <n v="107"/>
    <n v="42726"/>
    <n v="4571682"/>
    <n v="102"/>
    <n v="47218"/>
    <n v="4816236"/>
    <m/>
    <m/>
    <n v="0"/>
    <m/>
    <m/>
    <n v="0"/>
    <m/>
    <m/>
    <n v="0"/>
    <m/>
    <m/>
    <n v="0"/>
    <m/>
    <m/>
    <n v="0"/>
    <m/>
    <m/>
    <n v="0"/>
    <m/>
    <m/>
    <n v="0"/>
    <m/>
    <m/>
    <n v="0"/>
    <m/>
    <m/>
    <n v="0"/>
    <m/>
    <m/>
    <n v="0"/>
    <n v="16"/>
    <n v="59998"/>
    <n v="785445.81760000007"/>
    <n v="17"/>
    <n v="60393"/>
    <n v="840030.3942000001"/>
  </r>
  <r>
    <x v="10"/>
    <s v="Carl Albert State College"/>
    <n v="206923"/>
    <x v="8"/>
    <m/>
    <m/>
    <n v="0"/>
    <m/>
    <m/>
    <n v="0"/>
    <m/>
    <m/>
    <n v="0"/>
    <m/>
    <m/>
    <n v="0"/>
    <m/>
    <m/>
    <n v="0"/>
    <m/>
    <m/>
    <n v="0"/>
    <m/>
    <m/>
    <n v="0"/>
    <m/>
    <m/>
    <n v="0"/>
    <m/>
    <m/>
    <n v="0"/>
    <m/>
    <m/>
    <n v="0"/>
    <n v="48"/>
    <n v="38531"/>
    <n v="1849488"/>
    <n v="47"/>
    <n v="40313"/>
    <n v="1894711"/>
    <m/>
    <m/>
    <n v="0"/>
    <m/>
    <m/>
    <n v="0"/>
    <m/>
    <m/>
    <n v="0"/>
    <m/>
    <m/>
    <n v="0"/>
    <m/>
    <m/>
    <n v="0"/>
    <m/>
    <m/>
    <n v="0"/>
    <m/>
    <m/>
    <n v="0"/>
    <m/>
    <m/>
    <n v="0"/>
    <m/>
    <m/>
    <n v="0"/>
    <m/>
    <m/>
    <n v="0"/>
    <n v="13"/>
    <n v="43808"/>
    <n v="465968.1728"/>
    <n v="10"/>
    <n v="47700"/>
    <n v="390281.4"/>
  </r>
  <r>
    <x v="10"/>
    <s v="Connors State College "/>
    <n v="206996"/>
    <x v="8"/>
    <m/>
    <m/>
    <n v="0"/>
    <m/>
    <m/>
    <n v="0"/>
    <m/>
    <m/>
    <n v="0"/>
    <m/>
    <m/>
    <n v="0"/>
    <m/>
    <m/>
    <n v="0"/>
    <m/>
    <m/>
    <n v="0"/>
    <m/>
    <m/>
    <n v="0"/>
    <m/>
    <m/>
    <n v="0"/>
    <m/>
    <m/>
    <n v="0"/>
    <m/>
    <m/>
    <n v="0"/>
    <n v="47"/>
    <n v="38474"/>
    <n v="1808278"/>
    <n v="48"/>
    <n v="37801"/>
    <n v="1814448"/>
    <m/>
    <m/>
    <n v="0"/>
    <m/>
    <m/>
    <n v="0"/>
    <m/>
    <m/>
    <n v="0"/>
    <m/>
    <m/>
    <n v="0"/>
    <m/>
    <m/>
    <n v="0"/>
    <m/>
    <m/>
    <n v="0"/>
    <m/>
    <m/>
    <n v="0"/>
    <m/>
    <m/>
    <n v="0"/>
    <m/>
    <m/>
    <n v="0"/>
    <m/>
    <m/>
    <n v="0"/>
    <n v="2"/>
    <n v="49952"/>
    <n v="81741.452799999999"/>
    <n v="3"/>
    <n v="49231"/>
    <n v="120842.41260000001"/>
  </r>
  <r>
    <x v="10"/>
    <s v="Eastern Oklahoma State College "/>
    <n v="207050"/>
    <x v="8"/>
    <m/>
    <m/>
    <n v="0"/>
    <m/>
    <m/>
    <n v="0"/>
    <m/>
    <m/>
    <n v="0"/>
    <m/>
    <m/>
    <n v="0"/>
    <m/>
    <m/>
    <n v="0"/>
    <m/>
    <m/>
    <n v="0"/>
    <m/>
    <m/>
    <n v="0"/>
    <m/>
    <m/>
    <n v="0"/>
    <m/>
    <m/>
    <n v="0"/>
    <m/>
    <m/>
    <n v="0"/>
    <n v="47"/>
    <n v="42608"/>
    <n v="2002576"/>
    <n v="49"/>
    <n v="43114"/>
    <n v="2112586"/>
    <m/>
    <m/>
    <n v="0"/>
    <m/>
    <m/>
    <n v="0"/>
    <m/>
    <m/>
    <n v="0"/>
    <m/>
    <m/>
    <n v="0"/>
    <m/>
    <m/>
    <n v="0"/>
    <m/>
    <m/>
    <n v="0"/>
    <m/>
    <m/>
    <n v="0"/>
    <m/>
    <m/>
    <n v="0"/>
    <m/>
    <m/>
    <n v="0"/>
    <m/>
    <m/>
    <n v="0"/>
    <m/>
    <m/>
    <n v="0"/>
    <m/>
    <m/>
    <n v="0"/>
  </r>
  <r>
    <x v="10"/>
    <s v="Murray State College "/>
    <n v="207236"/>
    <x v="8"/>
    <m/>
    <m/>
    <n v="0"/>
    <m/>
    <m/>
    <n v="0"/>
    <m/>
    <m/>
    <n v="0"/>
    <m/>
    <m/>
    <n v="0"/>
    <m/>
    <m/>
    <n v="0"/>
    <m/>
    <m/>
    <n v="0"/>
    <m/>
    <m/>
    <n v="0"/>
    <m/>
    <m/>
    <n v="0"/>
    <m/>
    <m/>
    <n v="0"/>
    <m/>
    <m/>
    <n v="0"/>
    <n v="32"/>
    <n v="40905"/>
    <n v="1308960"/>
    <n v="40"/>
    <n v="41785"/>
    <n v="1671400"/>
    <m/>
    <m/>
    <n v="0"/>
    <m/>
    <m/>
    <n v="0"/>
    <m/>
    <m/>
    <n v="0"/>
    <m/>
    <m/>
    <n v="0"/>
    <m/>
    <m/>
    <n v="0"/>
    <m/>
    <m/>
    <n v="0"/>
    <m/>
    <m/>
    <n v="0"/>
    <m/>
    <m/>
    <n v="0"/>
    <m/>
    <m/>
    <n v="0"/>
    <m/>
    <m/>
    <n v="0"/>
    <n v="10"/>
    <n v="60314"/>
    <n v="493489.14800000004"/>
    <n v="7"/>
    <n v="58448"/>
    <n v="334755.07520000002"/>
  </r>
  <r>
    <x v="10"/>
    <s v="Northeastern Oklahoma A &amp; M College "/>
    <n v="207290"/>
    <x v="8"/>
    <m/>
    <m/>
    <n v="0"/>
    <m/>
    <m/>
    <n v="0"/>
    <m/>
    <m/>
    <n v="0"/>
    <m/>
    <m/>
    <n v="0"/>
    <m/>
    <m/>
    <n v="0"/>
    <m/>
    <m/>
    <n v="0"/>
    <m/>
    <m/>
    <n v="0"/>
    <m/>
    <m/>
    <n v="0"/>
    <m/>
    <m/>
    <n v="0"/>
    <m/>
    <m/>
    <n v="0"/>
    <n v="69"/>
    <n v="40246"/>
    <n v="2776974"/>
    <n v="68"/>
    <n v="42105"/>
    <n v="2863140"/>
    <m/>
    <m/>
    <n v="0"/>
    <m/>
    <m/>
    <n v="0"/>
    <m/>
    <m/>
    <n v="0"/>
    <m/>
    <m/>
    <n v="0"/>
    <m/>
    <m/>
    <n v="0"/>
    <m/>
    <m/>
    <n v="0"/>
    <m/>
    <m/>
    <n v="0"/>
    <m/>
    <m/>
    <n v="0"/>
    <m/>
    <m/>
    <n v="0"/>
    <m/>
    <m/>
    <n v="0"/>
    <n v="5"/>
    <n v="56564"/>
    <n v="231403.32400000002"/>
    <n v="5"/>
    <n v="50615"/>
    <n v="207065.965"/>
  </r>
  <r>
    <x v="10"/>
    <s v="Redlands Community College"/>
    <n v="207069"/>
    <x v="8"/>
    <m/>
    <m/>
    <n v="0"/>
    <m/>
    <m/>
    <n v="0"/>
    <m/>
    <m/>
    <n v="0"/>
    <m/>
    <m/>
    <n v="0"/>
    <m/>
    <m/>
    <n v="0"/>
    <m/>
    <m/>
    <n v="0"/>
    <m/>
    <m/>
    <n v="0"/>
    <m/>
    <m/>
    <n v="0"/>
    <m/>
    <m/>
    <n v="0"/>
    <m/>
    <m/>
    <n v="0"/>
    <n v="29"/>
    <n v="38724"/>
    <n v="1122996"/>
    <n v="28"/>
    <n v="39837"/>
    <n v="1115436"/>
    <m/>
    <m/>
    <n v="0"/>
    <m/>
    <m/>
    <n v="0"/>
    <m/>
    <m/>
    <n v="0"/>
    <m/>
    <m/>
    <n v="0"/>
    <m/>
    <m/>
    <n v="0"/>
    <m/>
    <m/>
    <n v="0"/>
    <m/>
    <m/>
    <n v="0"/>
    <m/>
    <m/>
    <n v="0"/>
    <m/>
    <m/>
    <n v="0"/>
    <m/>
    <m/>
    <n v="0"/>
    <n v="6"/>
    <n v="46050"/>
    <n v="226068.66"/>
    <n v="7"/>
    <n v="48799"/>
    <n v="279491.39260000002"/>
  </r>
  <r>
    <x v="10"/>
    <s v="Seminole State College "/>
    <n v="207740"/>
    <x v="8"/>
    <m/>
    <m/>
    <n v="0"/>
    <m/>
    <m/>
    <n v="0"/>
    <m/>
    <m/>
    <n v="0"/>
    <m/>
    <m/>
    <n v="0"/>
    <m/>
    <m/>
    <n v="0"/>
    <m/>
    <m/>
    <n v="0"/>
    <m/>
    <m/>
    <n v="0"/>
    <m/>
    <m/>
    <n v="0"/>
    <m/>
    <m/>
    <n v="0"/>
    <m/>
    <m/>
    <n v="0"/>
    <n v="37"/>
    <n v="42474"/>
    <n v="1571538"/>
    <n v="36"/>
    <n v="43661"/>
    <n v="1571796"/>
    <m/>
    <m/>
    <n v="0"/>
    <m/>
    <m/>
    <n v="0"/>
    <m/>
    <m/>
    <n v="0"/>
    <m/>
    <m/>
    <n v="0"/>
    <m/>
    <m/>
    <n v="0"/>
    <m/>
    <m/>
    <n v="0"/>
    <m/>
    <m/>
    <n v="0"/>
    <m/>
    <m/>
    <n v="0"/>
    <m/>
    <m/>
    <n v="0"/>
    <m/>
    <m/>
    <n v="0"/>
    <n v="9"/>
    <n v="43043"/>
    <n v="316960.04340000002"/>
    <n v="10"/>
    <n v="45326"/>
    <n v="370857.33199999999"/>
  </r>
  <r>
    <x v="10"/>
    <s v="Western Oklahoma State College "/>
    <n v="208035"/>
    <x v="8"/>
    <m/>
    <m/>
    <n v="0"/>
    <m/>
    <m/>
    <n v="0"/>
    <m/>
    <m/>
    <n v="0"/>
    <m/>
    <m/>
    <n v="0"/>
    <m/>
    <m/>
    <n v="0"/>
    <m/>
    <m/>
    <n v="0"/>
    <m/>
    <m/>
    <n v="0"/>
    <m/>
    <m/>
    <n v="0"/>
    <m/>
    <m/>
    <n v="0"/>
    <m/>
    <m/>
    <n v="0"/>
    <n v="40"/>
    <n v="42406"/>
    <n v="1696240"/>
    <n v="41"/>
    <n v="43923"/>
    <n v="1800843"/>
    <m/>
    <m/>
    <n v="0"/>
    <m/>
    <m/>
    <n v="0"/>
    <m/>
    <m/>
    <n v="0"/>
    <m/>
    <m/>
    <n v="0"/>
    <m/>
    <m/>
    <n v="0"/>
    <m/>
    <m/>
    <n v="0"/>
    <m/>
    <m/>
    <n v="0"/>
    <m/>
    <m/>
    <n v="0"/>
    <m/>
    <m/>
    <n v="0"/>
    <m/>
    <m/>
    <n v="0"/>
    <n v="4"/>
    <n v="50362"/>
    <n v="164824.7536"/>
    <n v="4"/>
    <n v="51696"/>
    <n v="169190.66880000001"/>
  </r>
  <r>
    <x v="10"/>
    <s v="Francis Tuttle Technology Center"/>
    <n v="245999"/>
    <x v="9"/>
    <m/>
    <m/>
    <n v="0"/>
    <m/>
    <m/>
    <n v="0"/>
    <m/>
    <m/>
    <n v="0"/>
    <m/>
    <m/>
    <n v="0"/>
    <m/>
    <m/>
    <n v="0"/>
    <m/>
    <m/>
    <n v="0"/>
    <m/>
    <m/>
    <n v="0"/>
    <m/>
    <m/>
    <n v="0"/>
    <m/>
    <m/>
    <n v="0"/>
    <m/>
    <m/>
    <n v="0"/>
    <n v="72"/>
    <n v="57183.26"/>
    <n v="4117194.72"/>
    <n v="71"/>
    <n v="58379"/>
    <n v="4144909"/>
    <m/>
    <m/>
    <n v="0"/>
    <m/>
    <m/>
    <n v="0"/>
    <m/>
    <m/>
    <n v="0"/>
    <m/>
    <m/>
    <n v="0"/>
    <m/>
    <m/>
    <n v="0"/>
    <m/>
    <m/>
    <n v="0"/>
    <m/>
    <m/>
    <n v="0"/>
    <m/>
    <m/>
    <n v="0"/>
    <m/>
    <m/>
    <n v="0"/>
    <m/>
    <m/>
    <n v="0"/>
    <n v="23"/>
    <n v="63687.65"/>
    <n v="1198512.41029"/>
    <n v="21"/>
    <n v="65490"/>
    <n v="1125262.2780000002"/>
  </r>
  <r>
    <x v="10"/>
    <s v="Great Plains Technology Center"/>
    <n v="364548"/>
    <x v="9"/>
    <m/>
    <m/>
    <n v="0"/>
    <m/>
    <m/>
    <n v="0"/>
    <m/>
    <m/>
    <n v="0"/>
    <m/>
    <m/>
    <n v="0"/>
    <m/>
    <m/>
    <n v="0"/>
    <m/>
    <m/>
    <n v="0"/>
    <m/>
    <m/>
    <n v="0"/>
    <m/>
    <m/>
    <n v="0"/>
    <m/>
    <m/>
    <n v="0"/>
    <m/>
    <m/>
    <n v="0"/>
    <n v="28"/>
    <n v="46418.75"/>
    <n v="1299725"/>
    <n v="29"/>
    <n v="47293"/>
    <n v="1371497"/>
    <m/>
    <m/>
    <n v="0"/>
    <m/>
    <m/>
    <n v="0"/>
    <m/>
    <m/>
    <n v="0"/>
    <m/>
    <m/>
    <n v="0"/>
    <m/>
    <m/>
    <n v="0"/>
    <m/>
    <m/>
    <n v="0"/>
    <m/>
    <m/>
    <n v="0"/>
    <m/>
    <m/>
    <n v="0"/>
    <m/>
    <m/>
    <n v="0"/>
    <m/>
    <m/>
    <n v="0"/>
    <n v="23"/>
    <n v="52773.04"/>
    <n v="993114.73054399993"/>
    <n v="22"/>
    <n v="52345"/>
    <n v="942230.93800000008"/>
  </r>
  <r>
    <x v="10"/>
    <s v="Metro Technology Center"/>
    <n v="363165"/>
    <x v="9"/>
    <m/>
    <m/>
    <n v="0"/>
    <m/>
    <m/>
    <n v="0"/>
    <m/>
    <m/>
    <n v="0"/>
    <m/>
    <m/>
    <n v="0"/>
    <m/>
    <m/>
    <n v="0"/>
    <m/>
    <m/>
    <n v="0"/>
    <m/>
    <m/>
    <n v="0"/>
    <m/>
    <m/>
    <n v="0"/>
    <m/>
    <m/>
    <n v="0"/>
    <m/>
    <m/>
    <n v="0"/>
    <n v="42"/>
    <n v="49449.05"/>
    <n v="2076860.1"/>
    <n v="34"/>
    <n v="51437"/>
    <n v="1748858"/>
    <m/>
    <m/>
    <n v="0"/>
    <m/>
    <m/>
    <n v="0"/>
    <m/>
    <m/>
    <n v="0"/>
    <m/>
    <m/>
    <n v="0"/>
    <m/>
    <m/>
    <n v="0"/>
    <m/>
    <m/>
    <n v="0"/>
    <m/>
    <m/>
    <n v="0"/>
    <m/>
    <m/>
    <n v="0"/>
    <m/>
    <m/>
    <n v="0"/>
    <m/>
    <m/>
    <n v="0"/>
    <n v="37"/>
    <n v="54426.68"/>
    <n v="1647680.6543119999"/>
    <m/>
    <m/>
    <n v="0"/>
  </r>
  <r>
    <x v="10"/>
    <s v="Moore Norman Technology Center                    "/>
    <n v="248606"/>
    <x v="9"/>
    <m/>
    <m/>
    <n v="0"/>
    <m/>
    <m/>
    <n v="0"/>
    <m/>
    <m/>
    <n v="0"/>
    <m/>
    <m/>
    <n v="0"/>
    <m/>
    <m/>
    <n v="0"/>
    <m/>
    <m/>
    <n v="0"/>
    <m/>
    <m/>
    <n v="0"/>
    <m/>
    <m/>
    <n v="0"/>
    <m/>
    <m/>
    <n v="0"/>
    <m/>
    <m/>
    <n v="0"/>
    <n v="49"/>
    <n v="55724.37"/>
    <n v="2730494.1300000004"/>
    <n v="47"/>
    <n v="56398"/>
    <n v="2650706"/>
    <m/>
    <m/>
    <n v="0"/>
    <m/>
    <m/>
    <n v="0"/>
    <m/>
    <m/>
    <n v="0"/>
    <m/>
    <m/>
    <n v="0"/>
    <m/>
    <m/>
    <n v="0"/>
    <m/>
    <m/>
    <n v="0"/>
    <m/>
    <m/>
    <n v="0"/>
    <m/>
    <m/>
    <n v="0"/>
    <m/>
    <m/>
    <n v="0"/>
    <m/>
    <m/>
    <n v="0"/>
    <m/>
    <m/>
    <n v="0"/>
    <n v="1"/>
    <n v="48628"/>
    <n v="39787.429600000003"/>
  </r>
  <r>
    <x v="10"/>
    <s v="Autry Technology Center"/>
    <n v="365213"/>
    <x v="10"/>
    <m/>
    <m/>
    <n v="0"/>
    <m/>
    <m/>
    <n v="0"/>
    <m/>
    <m/>
    <n v="0"/>
    <m/>
    <m/>
    <n v="0"/>
    <m/>
    <m/>
    <n v="0"/>
    <m/>
    <m/>
    <n v="0"/>
    <m/>
    <m/>
    <n v="0"/>
    <m/>
    <m/>
    <n v="0"/>
    <m/>
    <m/>
    <n v="0"/>
    <m/>
    <m/>
    <n v="0"/>
    <n v="16"/>
    <n v="49593.93"/>
    <n v="793502.88"/>
    <n v="16"/>
    <n v="49691"/>
    <n v="795056"/>
    <m/>
    <m/>
    <n v="0"/>
    <m/>
    <m/>
    <n v="0"/>
    <m/>
    <m/>
    <n v="0"/>
    <m/>
    <m/>
    <n v="0"/>
    <m/>
    <m/>
    <n v="0"/>
    <m/>
    <m/>
    <n v="0"/>
    <m/>
    <m/>
    <n v="0"/>
    <m/>
    <m/>
    <n v="0"/>
    <m/>
    <m/>
    <n v="0"/>
    <m/>
    <m/>
    <n v="0"/>
    <n v="12"/>
    <n v="58495"/>
    <n v="574327.30800000008"/>
    <n v="13"/>
    <n v="60765"/>
    <n v="646332.99900000007"/>
  </r>
  <r>
    <x v="10"/>
    <s v="Caddo Kiowa Technology Center"/>
    <n v="364946"/>
    <x v="10"/>
    <m/>
    <m/>
    <n v="0"/>
    <m/>
    <m/>
    <n v="0"/>
    <m/>
    <m/>
    <n v="0"/>
    <m/>
    <m/>
    <n v="0"/>
    <m/>
    <m/>
    <n v="0"/>
    <m/>
    <m/>
    <n v="0"/>
    <m/>
    <m/>
    <n v="0"/>
    <m/>
    <m/>
    <n v="0"/>
    <m/>
    <m/>
    <n v="0"/>
    <m/>
    <m/>
    <n v="0"/>
    <n v="25"/>
    <n v="45434.36"/>
    <n v="1135859"/>
    <n v="23"/>
    <n v="45918"/>
    <n v="1056114"/>
    <m/>
    <m/>
    <n v="0"/>
    <m/>
    <m/>
    <n v="0"/>
    <m/>
    <m/>
    <n v="0"/>
    <m/>
    <m/>
    <n v="0"/>
    <m/>
    <m/>
    <n v="0"/>
    <m/>
    <m/>
    <n v="0"/>
    <m/>
    <m/>
    <n v="0"/>
    <m/>
    <m/>
    <n v="0"/>
    <m/>
    <m/>
    <n v="0"/>
    <m/>
    <m/>
    <n v="0"/>
    <n v="14"/>
    <n v="51574.21"/>
    <n v="590772.26070799993"/>
    <n v="14"/>
    <n v="52071"/>
    <n v="596462.89080000005"/>
  </r>
  <r>
    <x v="10"/>
    <s v="Canadian Valley Technology Center                 "/>
    <n v="365374"/>
    <x v="10"/>
    <m/>
    <m/>
    <n v="0"/>
    <m/>
    <m/>
    <n v="0"/>
    <m/>
    <m/>
    <n v="0"/>
    <m/>
    <m/>
    <n v="0"/>
    <m/>
    <m/>
    <n v="0"/>
    <m/>
    <m/>
    <n v="0"/>
    <m/>
    <m/>
    <n v="0"/>
    <m/>
    <m/>
    <n v="0"/>
    <m/>
    <m/>
    <n v="0"/>
    <m/>
    <m/>
    <n v="0"/>
    <n v="40"/>
    <n v="50150.53"/>
    <n v="2006021.2"/>
    <n v="39"/>
    <n v="50946"/>
    <n v="1986894"/>
    <m/>
    <m/>
    <n v="0"/>
    <m/>
    <m/>
    <n v="0"/>
    <m/>
    <m/>
    <n v="0"/>
    <m/>
    <m/>
    <n v="0"/>
    <m/>
    <m/>
    <n v="0"/>
    <m/>
    <m/>
    <n v="0"/>
    <m/>
    <m/>
    <n v="0"/>
    <m/>
    <m/>
    <n v="0"/>
    <m/>
    <m/>
    <n v="0"/>
    <m/>
    <m/>
    <n v="0"/>
    <n v="14"/>
    <n v="56355.57"/>
    <n v="645541.78323599999"/>
    <n v="13"/>
    <n v="61440"/>
    <n v="653512.70400000003"/>
  </r>
  <r>
    <x v="10"/>
    <s v="Central Technology Center"/>
    <n v="246017"/>
    <x v="10"/>
    <m/>
    <m/>
    <n v="0"/>
    <m/>
    <m/>
    <n v="0"/>
    <m/>
    <m/>
    <n v="0"/>
    <m/>
    <m/>
    <n v="0"/>
    <m/>
    <m/>
    <n v="0"/>
    <m/>
    <m/>
    <n v="0"/>
    <m/>
    <m/>
    <n v="0"/>
    <m/>
    <m/>
    <n v="0"/>
    <m/>
    <m/>
    <n v="0"/>
    <m/>
    <m/>
    <n v="0"/>
    <n v="31"/>
    <n v="46436.84"/>
    <n v="1439542.0399999998"/>
    <n v="28"/>
    <n v="47083"/>
    <n v="1318324"/>
    <m/>
    <m/>
    <n v="0"/>
    <m/>
    <m/>
    <n v="0"/>
    <m/>
    <m/>
    <n v="0"/>
    <m/>
    <m/>
    <n v="0"/>
    <m/>
    <m/>
    <n v="0"/>
    <m/>
    <m/>
    <n v="0"/>
    <m/>
    <m/>
    <n v="0"/>
    <m/>
    <m/>
    <n v="0"/>
    <m/>
    <m/>
    <n v="0"/>
    <m/>
    <m/>
    <n v="0"/>
    <n v="26"/>
    <n v="54133.58"/>
    <n v="1151594.4740560001"/>
    <n v="22"/>
    <n v="58421"/>
    <n v="1051601.3684"/>
  </r>
  <r>
    <x v="10"/>
    <s v="Chisholm Trail Technology Center"/>
    <n v="375656"/>
    <x v="10"/>
    <m/>
    <m/>
    <n v="0"/>
    <m/>
    <m/>
    <n v="0"/>
    <m/>
    <m/>
    <n v="0"/>
    <m/>
    <m/>
    <n v="0"/>
    <m/>
    <m/>
    <n v="0"/>
    <m/>
    <m/>
    <n v="0"/>
    <m/>
    <m/>
    <n v="0"/>
    <m/>
    <m/>
    <n v="0"/>
    <m/>
    <m/>
    <n v="0"/>
    <m/>
    <m/>
    <n v="0"/>
    <n v="1"/>
    <n v="46600"/>
    <n v="46600"/>
    <n v="1"/>
    <n v="47950"/>
    <n v="47950"/>
    <m/>
    <m/>
    <n v="0"/>
    <m/>
    <m/>
    <n v="0"/>
    <m/>
    <m/>
    <n v="0"/>
    <m/>
    <m/>
    <n v="0"/>
    <m/>
    <m/>
    <n v="0"/>
    <m/>
    <m/>
    <n v="0"/>
    <m/>
    <m/>
    <n v="0"/>
    <m/>
    <m/>
    <n v="0"/>
    <m/>
    <m/>
    <n v="0"/>
    <m/>
    <m/>
    <n v="0"/>
    <n v="4"/>
    <n v="42555.25"/>
    <n v="139274.8222"/>
    <n v="4"/>
    <n v="48439"/>
    <n v="158531.15919999999"/>
  </r>
  <r>
    <x v="10"/>
    <s v="Eastern Oklahoma County Technology Center"/>
    <n v="418348"/>
    <x v="10"/>
    <m/>
    <m/>
    <n v="0"/>
    <m/>
    <m/>
    <n v="0"/>
    <m/>
    <m/>
    <n v="0"/>
    <m/>
    <m/>
    <n v="0"/>
    <m/>
    <m/>
    <n v="0"/>
    <m/>
    <m/>
    <n v="0"/>
    <m/>
    <m/>
    <n v="0"/>
    <m/>
    <m/>
    <n v="0"/>
    <m/>
    <m/>
    <n v="0"/>
    <m/>
    <m/>
    <n v="0"/>
    <n v="17"/>
    <n v="48548.65"/>
    <n v="825327.05"/>
    <n v="17"/>
    <n v="49669"/>
    <n v="844373"/>
    <m/>
    <m/>
    <n v="0"/>
    <m/>
    <m/>
    <n v="0"/>
    <m/>
    <m/>
    <n v="0"/>
    <m/>
    <m/>
    <n v="0"/>
    <m/>
    <m/>
    <n v="0"/>
    <m/>
    <m/>
    <n v="0"/>
    <m/>
    <m/>
    <n v="0"/>
    <m/>
    <m/>
    <n v="0"/>
    <m/>
    <m/>
    <n v="0"/>
    <m/>
    <m/>
    <n v="0"/>
    <n v="3"/>
    <n v="56277"/>
    <n v="138137.52420000001"/>
    <n v="3"/>
    <n v="59765"/>
    <n v="146699.16899999999"/>
  </r>
  <r>
    <x v="10"/>
    <s v="Gordon Cooper Technology Center"/>
    <n v="375683"/>
    <x v="10"/>
    <m/>
    <m/>
    <n v="0"/>
    <m/>
    <m/>
    <n v="0"/>
    <m/>
    <m/>
    <n v="0"/>
    <m/>
    <m/>
    <n v="0"/>
    <m/>
    <m/>
    <n v="0"/>
    <m/>
    <m/>
    <n v="0"/>
    <m/>
    <m/>
    <n v="0"/>
    <m/>
    <m/>
    <n v="0"/>
    <m/>
    <m/>
    <n v="0"/>
    <m/>
    <m/>
    <n v="0"/>
    <n v="31"/>
    <n v="49232.61"/>
    <n v="1526210.91"/>
    <n v="31"/>
    <n v="49455"/>
    <n v="1533105"/>
    <m/>
    <m/>
    <n v="0"/>
    <m/>
    <m/>
    <n v="0"/>
    <m/>
    <m/>
    <n v="0"/>
    <m/>
    <m/>
    <n v="0"/>
    <m/>
    <m/>
    <n v="0"/>
    <m/>
    <m/>
    <n v="0"/>
    <m/>
    <m/>
    <n v="0"/>
    <m/>
    <m/>
    <n v="0"/>
    <m/>
    <m/>
    <n v="0"/>
    <m/>
    <m/>
    <n v="0"/>
    <n v="7"/>
    <n v="54294.86"/>
    <n v="310968.38116400002"/>
    <n v="7"/>
    <n v="56067"/>
    <n v="321118.13579999999"/>
  </r>
  <r>
    <x v="10"/>
    <s v="Green Country Technology Center"/>
    <n v="428019"/>
    <x v="10"/>
    <m/>
    <m/>
    <n v="0"/>
    <m/>
    <m/>
    <n v="0"/>
    <m/>
    <m/>
    <n v="0"/>
    <m/>
    <m/>
    <n v="0"/>
    <m/>
    <m/>
    <n v="0"/>
    <m/>
    <m/>
    <n v="0"/>
    <m/>
    <m/>
    <n v="0"/>
    <m/>
    <m/>
    <n v="0"/>
    <m/>
    <m/>
    <n v="0"/>
    <m/>
    <m/>
    <n v="0"/>
    <n v="4"/>
    <n v="48589"/>
    <n v="194356"/>
    <n v="4"/>
    <n v="49589"/>
    <n v="198356"/>
    <m/>
    <m/>
    <n v="0"/>
    <m/>
    <m/>
    <n v="0"/>
    <m/>
    <m/>
    <n v="0"/>
    <m/>
    <m/>
    <n v="0"/>
    <m/>
    <m/>
    <n v="0"/>
    <m/>
    <m/>
    <n v="0"/>
    <m/>
    <m/>
    <n v="0"/>
    <m/>
    <m/>
    <n v="0"/>
    <m/>
    <m/>
    <n v="0"/>
    <m/>
    <m/>
    <n v="0"/>
    <n v="7"/>
    <n v="50549.43"/>
    <n v="289516.80538200005"/>
    <n v="6"/>
    <n v="55468"/>
    <n v="272303.50560000003"/>
  </r>
  <r>
    <x v="10"/>
    <s v="High Plains Technology Center"/>
    <n v="208053"/>
    <x v="10"/>
    <m/>
    <m/>
    <n v="0"/>
    <m/>
    <m/>
    <n v="0"/>
    <m/>
    <m/>
    <n v="0"/>
    <m/>
    <m/>
    <n v="0"/>
    <m/>
    <m/>
    <n v="0"/>
    <m/>
    <m/>
    <n v="0"/>
    <m/>
    <m/>
    <n v="0"/>
    <m/>
    <m/>
    <n v="0"/>
    <m/>
    <m/>
    <n v="0"/>
    <m/>
    <m/>
    <n v="0"/>
    <n v="9"/>
    <n v="47583.78"/>
    <n v="428254.02"/>
    <n v="9"/>
    <n v="49030"/>
    <n v="441270"/>
    <m/>
    <m/>
    <n v="0"/>
    <m/>
    <m/>
    <n v="0"/>
    <m/>
    <m/>
    <n v="0"/>
    <m/>
    <m/>
    <n v="0"/>
    <m/>
    <m/>
    <n v="0"/>
    <m/>
    <m/>
    <n v="0"/>
    <m/>
    <m/>
    <n v="0"/>
    <m/>
    <m/>
    <n v="0"/>
    <m/>
    <m/>
    <n v="0"/>
    <m/>
    <m/>
    <n v="0"/>
    <n v="5"/>
    <n v="45746.6"/>
    <n v="187149.3406"/>
    <n v="5"/>
    <n v="51897"/>
    <n v="212310.62700000001"/>
  </r>
  <r>
    <x v="10"/>
    <s v="Indian Capital Technology Center-Muskogee"/>
    <n v="418296"/>
    <x v="10"/>
    <m/>
    <m/>
    <n v="0"/>
    <m/>
    <m/>
    <n v="0"/>
    <m/>
    <m/>
    <n v="0"/>
    <m/>
    <m/>
    <n v="0"/>
    <m/>
    <m/>
    <n v="0"/>
    <m/>
    <m/>
    <n v="0"/>
    <m/>
    <m/>
    <n v="0"/>
    <m/>
    <m/>
    <n v="0"/>
    <m/>
    <m/>
    <n v="0"/>
    <m/>
    <m/>
    <n v="0"/>
    <n v="24"/>
    <n v="47726.38"/>
    <n v="1145433.1199999999"/>
    <n v="21"/>
    <n v="48089"/>
    <n v="1009869"/>
    <m/>
    <m/>
    <n v="0"/>
    <m/>
    <m/>
    <n v="0"/>
    <m/>
    <m/>
    <n v="0"/>
    <m/>
    <m/>
    <n v="0"/>
    <m/>
    <m/>
    <n v="0"/>
    <m/>
    <m/>
    <n v="0"/>
    <m/>
    <m/>
    <n v="0"/>
    <m/>
    <m/>
    <n v="0"/>
    <m/>
    <m/>
    <n v="0"/>
    <m/>
    <m/>
    <n v="0"/>
    <n v="6"/>
    <n v="56165.33"/>
    <n v="275726.83803599997"/>
    <n v="6"/>
    <n v="56165"/>
    <n v="275725.21799999999"/>
  </r>
  <r>
    <x v="10"/>
    <s v="Indian Capital Technology Center-Sallisaw"/>
    <n v="421540"/>
    <x v="10"/>
    <m/>
    <m/>
    <n v="0"/>
    <m/>
    <m/>
    <n v="0"/>
    <m/>
    <m/>
    <n v="0"/>
    <m/>
    <m/>
    <n v="0"/>
    <m/>
    <m/>
    <n v="0"/>
    <m/>
    <m/>
    <n v="0"/>
    <m/>
    <m/>
    <n v="0"/>
    <m/>
    <m/>
    <n v="0"/>
    <m/>
    <m/>
    <n v="0"/>
    <m/>
    <m/>
    <n v="0"/>
    <n v="9"/>
    <n v="49276.89"/>
    <n v="443492.01"/>
    <n v="9"/>
    <n v="49012"/>
    <n v="441108"/>
    <m/>
    <m/>
    <n v="0"/>
    <m/>
    <m/>
    <n v="0"/>
    <m/>
    <m/>
    <n v="0"/>
    <m/>
    <m/>
    <n v="0"/>
    <m/>
    <m/>
    <n v="0"/>
    <m/>
    <m/>
    <n v="0"/>
    <m/>
    <m/>
    <n v="0"/>
    <m/>
    <m/>
    <n v="0"/>
    <m/>
    <m/>
    <n v="0"/>
    <m/>
    <m/>
    <n v="0"/>
    <n v="2"/>
    <n v="57024"/>
    <n v="93314.073600000003"/>
    <n v="2"/>
    <n v="58251"/>
    <n v="95321.936400000006"/>
  </r>
  <r>
    <x v="10"/>
    <s v="Indian Capital Technology Center-Stilwell"/>
    <n v="421559"/>
    <x v="10"/>
    <m/>
    <m/>
    <n v="0"/>
    <m/>
    <m/>
    <n v="0"/>
    <m/>
    <m/>
    <n v="0"/>
    <m/>
    <m/>
    <n v="0"/>
    <m/>
    <m/>
    <n v="0"/>
    <m/>
    <m/>
    <n v="0"/>
    <m/>
    <m/>
    <n v="0"/>
    <m/>
    <m/>
    <n v="0"/>
    <m/>
    <m/>
    <n v="0"/>
    <m/>
    <m/>
    <n v="0"/>
    <n v="6"/>
    <n v="48670.17"/>
    <n v="292021.02"/>
    <n v="6"/>
    <n v="52811"/>
    <n v="316866"/>
    <m/>
    <m/>
    <n v="0"/>
    <m/>
    <m/>
    <n v="0"/>
    <m/>
    <m/>
    <n v="0"/>
    <m/>
    <m/>
    <n v="0"/>
    <m/>
    <m/>
    <n v="0"/>
    <m/>
    <m/>
    <n v="0"/>
    <m/>
    <m/>
    <n v="0"/>
    <m/>
    <m/>
    <n v="0"/>
    <m/>
    <m/>
    <n v="0"/>
    <m/>
    <m/>
    <n v="0"/>
    <n v="2"/>
    <n v="54467"/>
    <n v="89129.798800000004"/>
    <n v="2"/>
    <n v="54214"/>
    <n v="88715.789600000004"/>
  </r>
  <r>
    <x v="10"/>
    <s v="Indian Capital Technology Center-Tahlequah"/>
    <n v="208026"/>
    <x v="10"/>
    <m/>
    <m/>
    <n v="0"/>
    <m/>
    <m/>
    <n v="0"/>
    <m/>
    <m/>
    <n v="0"/>
    <m/>
    <m/>
    <n v="0"/>
    <m/>
    <m/>
    <n v="0"/>
    <m/>
    <m/>
    <n v="0"/>
    <m/>
    <m/>
    <n v="0"/>
    <m/>
    <m/>
    <n v="0"/>
    <m/>
    <m/>
    <n v="0"/>
    <m/>
    <m/>
    <n v="0"/>
    <n v="13"/>
    <n v="48564.31"/>
    <n v="631336.03"/>
    <n v="13"/>
    <n v="48941"/>
    <n v="636233"/>
    <m/>
    <m/>
    <n v="0"/>
    <m/>
    <m/>
    <n v="0"/>
    <m/>
    <m/>
    <n v="0"/>
    <m/>
    <m/>
    <n v="0"/>
    <m/>
    <m/>
    <n v="0"/>
    <m/>
    <m/>
    <n v="0"/>
    <m/>
    <m/>
    <n v="0"/>
    <m/>
    <m/>
    <n v="0"/>
    <m/>
    <m/>
    <n v="0"/>
    <m/>
    <m/>
    <n v="0"/>
    <n v="3"/>
    <n v="52860"/>
    <n v="129750.156"/>
    <n v="3"/>
    <n v="49411"/>
    <n v="121284.2406"/>
  </r>
  <r>
    <x v="10"/>
    <s v="Kiamichi Technology Center-Atoka"/>
    <n v="375692"/>
    <x v="10"/>
    <m/>
    <m/>
    <n v="0"/>
    <m/>
    <m/>
    <n v="0"/>
    <m/>
    <m/>
    <n v="0"/>
    <m/>
    <m/>
    <n v="0"/>
    <m/>
    <m/>
    <n v="0"/>
    <m/>
    <m/>
    <n v="0"/>
    <m/>
    <m/>
    <n v="0"/>
    <m/>
    <m/>
    <n v="0"/>
    <m/>
    <m/>
    <n v="0"/>
    <m/>
    <m/>
    <n v="0"/>
    <n v="10"/>
    <n v="47602.5"/>
    <n v="476025"/>
    <n v="7"/>
    <n v="50440"/>
    <n v="353080"/>
    <m/>
    <m/>
    <n v="0"/>
    <m/>
    <m/>
    <n v="0"/>
    <m/>
    <m/>
    <n v="0"/>
    <m/>
    <m/>
    <n v="0"/>
    <m/>
    <m/>
    <n v="0"/>
    <m/>
    <m/>
    <n v="0"/>
    <m/>
    <m/>
    <n v="0"/>
    <m/>
    <m/>
    <n v="0"/>
    <m/>
    <m/>
    <n v="0"/>
    <m/>
    <m/>
    <n v="0"/>
    <n v="2"/>
    <n v="46781.5"/>
    <n v="76553.246599999999"/>
    <n v="1"/>
    <n v="46465"/>
    <n v="38017.663"/>
  </r>
  <r>
    <x v="10"/>
    <s v="Kiamichi Technology Center-Durant"/>
    <n v="375708"/>
    <x v="10"/>
    <m/>
    <m/>
    <n v="0"/>
    <m/>
    <m/>
    <n v="0"/>
    <m/>
    <m/>
    <n v="0"/>
    <m/>
    <m/>
    <n v="0"/>
    <m/>
    <m/>
    <n v="0"/>
    <m/>
    <m/>
    <n v="0"/>
    <m/>
    <m/>
    <n v="0"/>
    <m/>
    <m/>
    <n v="0"/>
    <m/>
    <m/>
    <n v="0"/>
    <m/>
    <m/>
    <n v="0"/>
    <n v="9"/>
    <n v="50652.89"/>
    <n v="455876.01"/>
    <n v="7"/>
    <n v="51973"/>
    <n v="363811"/>
    <m/>
    <m/>
    <n v="0"/>
    <m/>
    <m/>
    <n v="0"/>
    <m/>
    <m/>
    <n v="0"/>
    <m/>
    <m/>
    <n v="0"/>
    <m/>
    <m/>
    <n v="0"/>
    <m/>
    <m/>
    <n v="0"/>
    <m/>
    <m/>
    <n v="0"/>
    <m/>
    <m/>
    <n v="0"/>
    <m/>
    <m/>
    <n v="0"/>
    <m/>
    <m/>
    <n v="0"/>
    <n v="3"/>
    <n v="51278"/>
    <n v="125866.97880000001"/>
    <n v="3"/>
    <n v="53738"/>
    <n v="131905.2948"/>
  </r>
  <r>
    <x v="10"/>
    <s v="Kiamichi Technology Center-Hugo"/>
    <n v="375717"/>
    <x v="10"/>
    <m/>
    <m/>
    <n v="0"/>
    <m/>
    <m/>
    <n v="0"/>
    <m/>
    <m/>
    <n v="0"/>
    <m/>
    <m/>
    <n v="0"/>
    <m/>
    <m/>
    <n v="0"/>
    <m/>
    <m/>
    <n v="0"/>
    <m/>
    <m/>
    <n v="0"/>
    <m/>
    <m/>
    <n v="0"/>
    <m/>
    <m/>
    <n v="0"/>
    <m/>
    <m/>
    <n v="0"/>
    <n v="9"/>
    <n v="53498.89"/>
    <n v="481490.01"/>
    <n v="9"/>
    <n v="53438"/>
    <n v="480942"/>
    <m/>
    <m/>
    <n v="0"/>
    <m/>
    <m/>
    <n v="0"/>
    <m/>
    <m/>
    <n v="0"/>
    <m/>
    <m/>
    <n v="0"/>
    <m/>
    <m/>
    <n v="0"/>
    <m/>
    <m/>
    <n v="0"/>
    <m/>
    <m/>
    <n v="0"/>
    <m/>
    <m/>
    <n v="0"/>
    <m/>
    <m/>
    <n v="0"/>
    <m/>
    <m/>
    <n v="0"/>
    <n v="2"/>
    <n v="54798"/>
    <n v="89671.44720000001"/>
    <n v="2"/>
    <n v="56838"/>
    <n v="93009.703200000004"/>
  </r>
  <r>
    <x v="10"/>
    <s v="Kiamichi Technology Center-Idabel"/>
    <n v="375735"/>
    <x v="10"/>
    <m/>
    <m/>
    <n v="0"/>
    <m/>
    <m/>
    <n v="0"/>
    <m/>
    <m/>
    <n v="0"/>
    <m/>
    <m/>
    <n v="0"/>
    <m/>
    <m/>
    <n v="0"/>
    <m/>
    <m/>
    <n v="0"/>
    <m/>
    <m/>
    <n v="0"/>
    <m/>
    <m/>
    <n v="0"/>
    <m/>
    <m/>
    <n v="0"/>
    <m/>
    <m/>
    <n v="0"/>
    <n v="11"/>
    <n v="49456.18"/>
    <n v="544017.98"/>
    <n v="9"/>
    <n v="49696"/>
    <n v="447264"/>
    <m/>
    <m/>
    <n v="0"/>
    <m/>
    <m/>
    <n v="0"/>
    <m/>
    <m/>
    <n v="0"/>
    <m/>
    <m/>
    <n v="0"/>
    <m/>
    <m/>
    <n v="0"/>
    <m/>
    <m/>
    <n v="0"/>
    <m/>
    <m/>
    <n v="0"/>
    <m/>
    <m/>
    <n v="0"/>
    <m/>
    <m/>
    <n v="0"/>
    <m/>
    <m/>
    <n v="0"/>
    <n v="3"/>
    <n v="56573.33"/>
    <n v="138864.89581799999"/>
    <n v="3"/>
    <n v="58553"/>
    <n v="143724.19380000001"/>
  </r>
  <r>
    <x v="10"/>
    <s v="Kiamichi Technology Center-McAlester"/>
    <n v="375726"/>
    <x v="10"/>
    <m/>
    <m/>
    <n v="0"/>
    <m/>
    <m/>
    <n v="0"/>
    <m/>
    <m/>
    <n v="0"/>
    <m/>
    <m/>
    <n v="0"/>
    <m/>
    <m/>
    <n v="0"/>
    <m/>
    <m/>
    <n v="0"/>
    <m/>
    <m/>
    <n v="0"/>
    <m/>
    <m/>
    <n v="0"/>
    <m/>
    <m/>
    <n v="0"/>
    <m/>
    <m/>
    <n v="0"/>
    <n v="19"/>
    <n v="48769.53"/>
    <n v="926621.07"/>
    <n v="16"/>
    <n v="49099"/>
    <n v="785584"/>
    <m/>
    <m/>
    <n v="0"/>
    <m/>
    <m/>
    <n v="0"/>
    <m/>
    <m/>
    <n v="0"/>
    <m/>
    <m/>
    <n v="0"/>
    <m/>
    <m/>
    <n v="0"/>
    <m/>
    <m/>
    <n v="0"/>
    <m/>
    <m/>
    <n v="0"/>
    <m/>
    <m/>
    <n v="0"/>
    <m/>
    <m/>
    <n v="0"/>
    <m/>
    <m/>
    <n v="0"/>
    <n v="4"/>
    <n v="58970"/>
    <n v="192997.016"/>
    <n v="4"/>
    <n v="60710"/>
    <n v="198691.68800000002"/>
  </r>
  <r>
    <x v="10"/>
    <s v="Kiamichi Technology Center-Poteau"/>
    <n v="375744"/>
    <x v="10"/>
    <m/>
    <m/>
    <n v="0"/>
    <m/>
    <m/>
    <n v="0"/>
    <m/>
    <m/>
    <n v="0"/>
    <m/>
    <m/>
    <n v="0"/>
    <m/>
    <m/>
    <n v="0"/>
    <m/>
    <m/>
    <n v="0"/>
    <m/>
    <m/>
    <n v="0"/>
    <m/>
    <m/>
    <n v="0"/>
    <m/>
    <m/>
    <n v="0"/>
    <m/>
    <m/>
    <n v="0"/>
    <n v="11"/>
    <n v="48885.73"/>
    <n v="537743.03"/>
    <n v="10"/>
    <n v="51225"/>
    <n v="512250"/>
    <m/>
    <m/>
    <n v="0"/>
    <m/>
    <m/>
    <n v="0"/>
    <m/>
    <m/>
    <n v="0"/>
    <m/>
    <m/>
    <n v="0"/>
    <m/>
    <m/>
    <n v="0"/>
    <m/>
    <m/>
    <n v="0"/>
    <m/>
    <m/>
    <n v="0"/>
    <m/>
    <m/>
    <n v="0"/>
    <m/>
    <m/>
    <n v="0"/>
    <m/>
    <m/>
    <n v="0"/>
    <n v="3"/>
    <n v="56583.33"/>
    <n v="138889.44181799999"/>
    <n v="3"/>
    <n v="53738"/>
    <n v="131905.2948"/>
  </r>
  <r>
    <x v="10"/>
    <s v="Kiamichi Technology Center-Spiro"/>
    <n v="375753"/>
    <x v="10"/>
    <m/>
    <m/>
    <n v="0"/>
    <m/>
    <m/>
    <n v="0"/>
    <m/>
    <m/>
    <n v="0"/>
    <m/>
    <m/>
    <n v="0"/>
    <m/>
    <m/>
    <n v="0"/>
    <m/>
    <m/>
    <n v="0"/>
    <m/>
    <m/>
    <n v="0"/>
    <m/>
    <m/>
    <n v="0"/>
    <m/>
    <m/>
    <n v="0"/>
    <m/>
    <m/>
    <n v="0"/>
    <n v="2"/>
    <n v="45750"/>
    <n v="91500"/>
    <n v="2"/>
    <n v="46925"/>
    <n v="93850"/>
    <m/>
    <m/>
    <n v="0"/>
    <m/>
    <m/>
    <n v="0"/>
    <m/>
    <m/>
    <n v="0"/>
    <m/>
    <m/>
    <n v="0"/>
    <m/>
    <m/>
    <n v="0"/>
    <m/>
    <m/>
    <n v="0"/>
    <m/>
    <m/>
    <n v="0"/>
    <m/>
    <m/>
    <n v="0"/>
    <m/>
    <m/>
    <n v="0"/>
    <m/>
    <m/>
    <n v="0"/>
    <m/>
    <m/>
    <n v="0"/>
    <m/>
    <m/>
    <n v="0"/>
  </r>
  <r>
    <x v="10"/>
    <s v="Kiamichi Technology Center-Stigler"/>
    <n v="405748"/>
    <x v="10"/>
    <m/>
    <m/>
    <n v="0"/>
    <m/>
    <m/>
    <n v="0"/>
    <m/>
    <m/>
    <n v="0"/>
    <m/>
    <m/>
    <n v="0"/>
    <m/>
    <m/>
    <n v="0"/>
    <m/>
    <m/>
    <n v="0"/>
    <m/>
    <m/>
    <n v="0"/>
    <m/>
    <m/>
    <n v="0"/>
    <m/>
    <m/>
    <n v="0"/>
    <m/>
    <m/>
    <n v="0"/>
    <n v="5"/>
    <n v="53269.599999999999"/>
    <n v="266348"/>
    <n v="5"/>
    <n v="54870"/>
    <n v="274350"/>
    <m/>
    <m/>
    <n v="0"/>
    <m/>
    <m/>
    <n v="0"/>
    <m/>
    <m/>
    <n v="0"/>
    <m/>
    <m/>
    <n v="0"/>
    <m/>
    <m/>
    <n v="0"/>
    <m/>
    <m/>
    <n v="0"/>
    <m/>
    <m/>
    <n v="0"/>
    <m/>
    <m/>
    <n v="0"/>
    <m/>
    <m/>
    <n v="0"/>
    <m/>
    <m/>
    <n v="0"/>
    <n v="1"/>
    <n v="60618"/>
    <n v="49597.647600000004"/>
    <n v="1"/>
    <n v="62058"/>
    <n v="50775.855600000003"/>
  </r>
  <r>
    <x v="10"/>
    <s v="Kiamichi Technology Center-Talihina"/>
    <n v="375762"/>
    <x v="10"/>
    <m/>
    <m/>
    <n v="0"/>
    <m/>
    <m/>
    <n v="0"/>
    <m/>
    <m/>
    <n v="0"/>
    <m/>
    <m/>
    <n v="0"/>
    <m/>
    <m/>
    <n v="0"/>
    <m/>
    <m/>
    <n v="0"/>
    <m/>
    <m/>
    <n v="0"/>
    <m/>
    <m/>
    <n v="0"/>
    <m/>
    <m/>
    <n v="0"/>
    <m/>
    <m/>
    <n v="0"/>
    <n v="5"/>
    <n v="48920"/>
    <n v="244600"/>
    <n v="5"/>
    <n v="50620"/>
    <n v="253100"/>
    <m/>
    <m/>
    <n v="0"/>
    <m/>
    <m/>
    <n v="0"/>
    <m/>
    <m/>
    <n v="0"/>
    <m/>
    <m/>
    <n v="0"/>
    <m/>
    <m/>
    <n v="0"/>
    <m/>
    <m/>
    <n v="0"/>
    <m/>
    <m/>
    <n v="0"/>
    <m/>
    <m/>
    <n v="0"/>
    <m/>
    <m/>
    <n v="0"/>
    <m/>
    <m/>
    <n v="0"/>
    <m/>
    <m/>
    <n v="0"/>
    <m/>
    <m/>
    <n v="0"/>
  </r>
  <r>
    <x v="10"/>
    <s v="Meridian Technology Center"/>
    <n v="365480"/>
    <x v="10"/>
    <m/>
    <m/>
    <n v="0"/>
    <m/>
    <m/>
    <n v="0"/>
    <m/>
    <m/>
    <n v="0"/>
    <m/>
    <m/>
    <n v="0"/>
    <m/>
    <m/>
    <n v="0"/>
    <m/>
    <m/>
    <n v="0"/>
    <m/>
    <m/>
    <n v="0"/>
    <m/>
    <m/>
    <n v="0"/>
    <m/>
    <m/>
    <n v="0"/>
    <m/>
    <m/>
    <n v="0"/>
    <n v="23"/>
    <n v="47828.52"/>
    <n v="1100055.96"/>
    <n v="21"/>
    <n v="49752"/>
    <n v="1044792"/>
    <m/>
    <m/>
    <n v="0"/>
    <m/>
    <m/>
    <n v="0"/>
    <m/>
    <m/>
    <n v="0"/>
    <m/>
    <m/>
    <n v="0"/>
    <m/>
    <m/>
    <n v="0"/>
    <m/>
    <m/>
    <n v="0"/>
    <m/>
    <m/>
    <n v="0"/>
    <m/>
    <m/>
    <n v="0"/>
    <m/>
    <m/>
    <n v="0"/>
    <m/>
    <m/>
    <n v="0"/>
    <n v="10"/>
    <n v="55594.8"/>
    <n v="454876.65360000002"/>
    <n v="10"/>
    <n v="57830"/>
    <n v="473165.06"/>
  </r>
  <r>
    <x v="10"/>
    <s v="Mid-America Technology Center"/>
    <n v="418320"/>
    <x v="10"/>
    <m/>
    <m/>
    <n v="0"/>
    <m/>
    <m/>
    <n v="0"/>
    <m/>
    <m/>
    <n v="0"/>
    <m/>
    <m/>
    <n v="0"/>
    <m/>
    <m/>
    <n v="0"/>
    <m/>
    <m/>
    <n v="0"/>
    <m/>
    <m/>
    <n v="0"/>
    <m/>
    <m/>
    <n v="0"/>
    <m/>
    <m/>
    <n v="0"/>
    <m/>
    <m/>
    <n v="0"/>
    <n v="24"/>
    <n v="48322.080000000002"/>
    <n v="1159729.92"/>
    <n v="21"/>
    <n v="49079"/>
    <n v="1030659"/>
    <m/>
    <m/>
    <n v="0"/>
    <m/>
    <m/>
    <n v="0"/>
    <m/>
    <m/>
    <n v="0"/>
    <m/>
    <m/>
    <n v="0"/>
    <m/>
    <m/>
    <n v="0"/>
    <m/>
    <m/>
    <n v="0"/>
    <m/>
    <m/>
    <n v="0"/>
    <m/>
    <m/>
    <n v="0"/>
    <m/>
    <m/>
    <n v="0"/>
    <m/>
    <m/>
    <n v="0"/>
    <n v="7"/>
    <n v="60624.59"/>
    <n v="347221.27676600002"/>
    <n v="7"/>
    <n v="63050"/>
    <n v="361112.57"/>
  </r>
  <r>
    <x v="10"/>
    <s v="Mid-Del Technology Center"/>
    <n v="431017"/>
    <x v="10"/>
    <m/>
    <m/>
    <n v="0"/>
    <m/>
    <m/>
    <n v="0"/>
    <m/>
    <m/>
    <n v="0"/>
    <m/>
    <m/>
    <n v="0"/>
    <m/>
    <m/>
    <n v="0"/>
    <m/>
    <m/>
    <n v="0"/>
    <m/>
    <m/>
    <n v="0"/>
    <m/>
    <m/>
    <n v="0"/>
    <m/>
    <m/>
    <n v="0"/>
    <m/>
    <m/>
    <n v="0"/>
    <n v="20"/>
    <n v="45356.15"/>
    <n v="907123"/>
    <n v="21"/>
    <n v="46126"/>
    <n v="968646"/>
    <m/>
    <m/>
    <n v="0"/>
    <m/>
    <m/>
    <n v="0"/>
    <m/>
    <m/>
    <n v="0"/>
    <m/>
    <m/>
    <n v="0"/>
    <m/>
    <m/>
    <n v="0"/>
    <m/>
    <m/>
    <n v="0"/>
    <m/>
    <m/>
    <n v="0"/>
    <m/>
    <m/>
    <n v="0"/>
    <m/>
    <m/>
    <n v="0"/>
    <m/>
    <m/>
    <n v="0"/>
    <n v="6"/>
    <n v="48861.5"/>
    <n v="239870.87580000001"/>
    <n v="6"/>
    <n v="54057"/>
    <n v="265376.62440000003"/>
  </r>
  <r>
    <x v="10"/>
    <s v="Northeast Technology Center-Afton"/>
    <n v="420459"/>
    <x v="10"/>
    <m/>
    <m/>
    <n v="0"/>
    <m/>
    <m/>
    <n v="0"/>
    <m/>
    <m/>
    <n v="0"/>
    <m/>
    <m/>
    <n v="0"/>
    <m/>
    <m/>
    <n v="0"/>
    <m/>
    <m/>
    <n v="0"/>
    <m/>
    <m/>
    <n v="0"/>
    <m/>
    <m/>
    <n v="0"/>
    <m/>
    <m/>
    <n v="0"/>
    <m/>
    <m/>
    <n v="0"/>
    <n v="16"/>
    <n v="52970.38"/>
    <n v="847526.08"/>
    <n v="16"/>
    <n v="52573"/>
    <n v="841168"/>
    <m/>
    <m/>
    <n v="0"/>
    <m/>
    <m/>
    <n v="0"/>
    <m/>
    <m/>
    <n v="0"/>
    <m/>
    <m/>
    <n v="0"/>
    <m/>
    <m/>
    <n v="0"/>
    <m/>
    <m/>
    <n v="0"/>
    <m/>
    <m/>
    <n v="0"/>
    <m/>
    <m/>
    <n v="0"/>
    <m/>
    <m/>
    <n v="0"/>
    <m/>
    <m/>
    <n v="0"/>
    <n v="5"/>
    <n v="58291.6"/>
    <n v="238470.9356"/>
    <n v="5"/>
    <n v="61709"/>
    <n v="252451.519"/>
  </r>
  <r>
    <x v="10"/>
    <s v="Northeast Technology Center-Kansas"/>
    <n v="432074"/>
    <x v="10"/>
    <m/>
    <m/>
    <n v="0"/>
    <m/>
    <m/>
    <n v="0"/>
    <m/>
    <m/>
    <n v="0"/>
    <m/>
    <m/>
    <n v="0"/>
    <m/>
    <m/>
    <n v="0"/>
    <m/>
    <m/>
    <n v="0"/>
    <m/>
    <m/>
    <n v="0"/>
    <m/>
    <m/>
    <n v="0"/>
    <m/>
    <m/>
    <n v="0"/>
    <m/>
    <m/>
    <n v="0"/>
    <n v="5"/>
    <n v="51622.400000000001"/>
    <n v="258112"/>
    <n v="5"/>
    <n v="52169"/>
    <n v="260845"/>
    <m/>
    <m/>
    <n v="0"/>
    <m/>
    <m/>
    <n v="0"/>
    <m/>
    <m/>
    <n v="0"/>
    <m/>
    <m/>
    <n v="0"/>
    <m/>
    <m/>
    <n v="0"/>
    <m/>
    <m/>
    <n v="0"/>
    <m/>
    <m/>
    <n v="0"/>
    <m/>
    <m/>
    <n v="0"/>
    <m/>
    <m/>
    <n v="0"/>
    <m/>
    <m/>
    <n v="0"/>
    <n v="3"/>
    <n v="62008.33"/>
    <n v="152205.64681800001"/>
    <n v="3"/>
    <n v="63032"/>
    <n v="154718.34720000002"/>
  </r>
  <r>
    <x v="10"/>
    <s v="Northeast Technology Center-Pryor"/>
    <n v="418339"/>
    <x v="10"/>
    <m/>
    <m/>
    <n v="0"/>
    <m/>
    <m/>
    <n v="0"/>
    <m/>
    <m/>
    <n v="0"/>
    <m/>
    <m/>
    <n v="0"/>
    <m/>
    <m/>
    <n v="0"/>
    <m/>
    <m/>
    <n v="0"/>
    <m/>
    <m/>
    <n v="0"/>
    <m/>
    <m/>
    <n v="0"/>
    <m/>
    <m/>
    <n v="0"/>
    <m/>
    <m/>
    <n v="0"/>
    <n v="15"/>
    <n v="52224"/>
    <n v="783360"/>
    <n v="15"/>
    <n v="53066"/>
    <n v="795990"/>
    <m/>
    <m/>
    <n v="0"/>
    <m/>
    <m/>
    <n v="0"/>
    <m/>
    <m/>
    <n v="0"/>
    <m/>
    <m/>
    <n v="0"/>
    <m/>
    <m/>
    <n v="0"/>
    <m/>
    <m/>
    <n v="0"/>
    <m/>
    <m/>
    <n v="0"/>
    <m/>
    <m/>
    <n v="0"/>
    <m/>
    <m/>
    <n v="0"/>
    <m/>
    <m/>
    <n v="0"/>
    <n v="4"/>
    <n v="65319.5"/>
    <n v="213777.65960000001"/>
    <n v="4"/>
    <n v="55372"/>
    <n v="181221.4816"/>
  </r>
  <r>
    <x v="10"/>
    <s v="Northwest Technology Center-Alva"/>
    <n v="366623"/>
    <x v="10"/>
    <m/>
    <m/>
    <n v="0"/>
    <m/>
    <m/>
    <n v="0"/>
    <m/>
    <m/>
    <n v="0"/>
    <m/>
    <m/>
    <n v="0"/>
    <m/>
    <m/>
    <n v="0"/>
    <m/>
    <m/>
    <n v="0"/>
    <m/>
    <m/>
    <n v="0"/>
    <m/>
    <m/>
    <n v="0"/>
    <m/>
    <m/>
    <n v="0"/>
    <m/>
    <m/>
    <n v="0"/>
    <n v="7"/>
    <n v="48871"/>
    <n v="342097"/>
    <n v="6"/>
    <n v="50577"/>
    <n v="303462"/>
    <m/>
    <m/>
    <n v="0"/>
    <m/>
    <m/>
    <n v="0"/>
    <m/>
    <m/>
    <n v="0"/>
    <m/>
    <m/>
    <n v="0"/>
    <m/>
    <m/>
    <n v="0"/>
    <m/>
    <m/>
    <n v="0"/>
    <m/>
    <m/>
    <n v="0"/>
    <m/>
    <m/>
    <n v="0"/>
    <m/>
    <m/>
    <n v="0"/>
    <m/>
    <m/>
    <n v="0"/>
    <n v="1"/>
    <n v="58380"/>
    <n v="47766.516000000003"/>
    <n v="1"/>
    <n v="60312"/>
    <n v="49347.278400000003"/>
  </r>
  <r>
    <x v="10"/>
    <s v="Northwest Technology Center-Fairview"/>
    <n v="407601"/>
    <x v="10"/>
    <m/>
    <m/>
    <n v="0"/>
    <m/>
    <m/>
    <n v="0"/>
    <m/>
    <m/>
    <n v="0"/>
    <m/>
    <m/>
    <n v="0"/>
    <m/>
    <m/>
    <n v="0"/>
    <m/>
    <m/>
    <n v="0"/>
    <m/>
    <m/>
    <n v="0"/>
    <m/>
    <m/>
    <n v="0"/>
    <m/>
    <m/>
    <n v="0"/>
    <m/>
    <m/>
    <n v="0"/>
    <n v="6"/>
    <n v="48816.67"/>
    <n v="292900.02"/>
    <n v="5"/>
    <n v="50200"/>
    <n v="251000"/>
    <m/>
    <m/>
    <n v="0"/>
    <m/>
    <m/>
    <n v="0"/>
    <m/>
    <m/>
    <n v="0"/>
    <m/>
    <m/>
    <n v="0"/>
    <m/>
    <m/>
    <n v="0"/>
    <m/>
    <m/>
    <n v="0"/>
    <m/>
    <m/>
    <n v="0"/>
    <m/>
    <m/>
    <n v="0"/>
    <m/>
    <m/>
    <n v="0"/>
    <m/>
    <m/>
    <n v="0"/>
    <m/>
    <m/>
    <n v="0"/>
    <m/>
    <m/>
    <n v="0"/>
  </r>
  <r>
    <x v="10"/>
    <s v="Pioneer Technology Center"/>
    <n v="364627"/>
    <x v="10"/>
    <m/>
    <m/>
    <n v="0"/>
    <m/>
    <m/>
    <n v="0"/>
    <m/>
    <m/>
    <n v="0"/>
    <m/>
    <m/>
    <n v="0"/>
    <m/>
    <m/>
    <n v="0"/>
    <m/>
    <m/>
    <n v="0"/>
    <m/>
    <m/>
    <n v="0"/>
    <m/>
    <m/>
    <n v="0"/>
    <m/>
    <m/>
    <n v="0"/>
    <m/>
    <m/>
    <n v="0"/>
    <n v="14"/>
    <n v="46622.79"/>
    <n v="652719.06000000006"/>
    <n v="16"/>
    <n v="50059"/>
    <n v="800944"/>
    <m/>
    <m/>
    <n v="0"/>
    <m/>
    <m/>
    <n v="0"/>
    <m/>
    <m/>
    <n v="0"/>
    <m/>
    <m/>
    <n v="0"/>
    <m/>
    <m/>
    <n v="0"/>
    <m/>
    <m/>
    <n v="0"/>
    <m/>
    <m/>
    <n v="0"/>
    <m/>
    <m/>
    <n v="0"/>
    <m/>
    <m/>
    <n v="0"/>
    <m/>
    <m/>
    <n v="0"/>
    <n v="10"/>
    <n v="51702.9"/>
    <n v="423033.12780000002"/>
    <n v="8"/>
    <n v="53519"/>
    <n v="350313.96640000003"/>
  </r>
  <r>
    <x v="10"/>
    <s v="Pontotoc Technology Center"/>
    <n v="206905"/>
    <x v="10"/>
    <m/>
    <m/>
    <n v="0"/>
    <m/>
    <m/>
    <n v="0"/>
    <m/>
    <m/>
    <n v="0"/>
    <m/>
    <m/>
    <n v="0"/>
    <m/>
    <m/>
    <n v="0"/>
    <m/>
    <m/>
    <n v="0"/>
    <m/>
    <m/>
    <n v="0"/>
    <m/>
    <m/>
    <n v="0"/>
    <m/>
    <m/>
    <n v="0"/>
    <m/>
    <m/>
    <n v="0"/>
    <n v="5"/>
    <n v="41583.4"/>
    <n v="207917"/>
    <n v="6"/>
    <n v="44996"/>
    <n v="269976"/>
    <m/>
    <m/>
    <n v="0"/>
    <m/>
    <m/>
    <n v="0"/>
    <m/>
    <m/>
    <n v="0"/>
    <m/>
    <m/>
    <n v="0"/>
    <m/>
    <m/>
    <n v="0"/>
    <m/>
    <m/>
    <n v="0"/>
    <m/>
    <m/>
    <n v="0"/>
    <m/>
    <m/>
    <n v="0"/>
    <m/>
    <m/>
    <n v="0"/>
    <m/>
    <m/>
    <n v="0"/>
    <n v="8"/>
    <n v="44518.879999999997"/>
    <n v="291402.78092799999"/>
    <n v="7"/>
    <n v="51530"/>
    <n v="295132.92200000002"/>
  </r>
  <r>
    <x v="10"/>
    <s v="Red River Technology Center"/>
    <n v="250993"/>
    <x v="10"/>
    <m/>
    <m/>
    <n v="0"/>
    <m/>
    <m/>
    <n v="0"/>
    <m/>
    <m/>
    <n v="0"/>
    <m/>
    <m/>
    <n v="0"/>
    <m/>
    <m/>
    <n v="0"/>
    <m/>
    <m/>
    <n v="0"/>
    <m/>
    <m/>
    <n v="0"/>
    <m/>
    <m/>
    <n v="0"/>
    <m/>
    <m/>
    <n v="0"/>
    <m/>
    <m/>
    <n v="0"/>
    <n v="16"/>
    <n v="46243"/>
    <n v="739888"/>
    <n v="14"/>
    <n v="47595"/>
    <n v="666330"/>
    <m/>
    <m/>
    <n v="0"/>
    <m/>
    <m/>
    <n v="0"/>
    <m/>
    <m/>
    <n v="0"/>
    <m/>
    <m/>
    <n v="0"/>
    <m/>
    <m/>
    <n v="0"/>
    <m/>
    <m/>
    <n v="0"/>
    <m/>
    <m/>
    <n v="0"/>
    <m/>
    <m/>
    <n v="0"/>
    <m/>
    <m/>
    <n v="0"/>
    <m/>
    <m/>
    <n v="0"/>
    <n v="7"/>
    <n v="48649.29"/>
    <n v="278633.94354600005"/>
    <n v="6"/>
    <n v="49135"/>
    <n v="241213.54200000002"/>
  </r>
  <r>
    <x v="10"/>
    <s v="Southern Oklahoma Technology Center"/>
    <n v="365198"/>
    <x v="10"/>
    <m/>
    <m/>
    <n v="0"/>
    <m/>
    <m/>
    <n v="0"/>
    <m/>
    <m/>
    <n v="0"/>
    <m/>
    <m/>
    <n v="0"/>
    <m/>
    <m/>
    <n v="0"/>
    <m/>
    <m/>
    <n v="0"/>
    <m/>
    <m/>
    <n v="0"/>
    <m/>
    <m/>
    <n v="0"/>
    <m/>
    <m/>
    <n v="0"/>
    <m/>
    <m/>
    <n v="0"/>
    <m/>
    <m/>
    <n v="0"/>
    <m/>
    <m/>
    <n v="0"/>
    <m/>
    <m/>
    <n v="0"/>
    <m/>
    <m/>
    <n v="0"/>
    <m/>
    <m/>
    <n v="0"/>
    <m/>
    <m/>
    <n v="0"/>
    <m/>
    <m/>
    <n v="0"/>
    <m/>
    <m/>
    <n v="0"/>
    <m/>
    <m/>
    <n v="0"/>
    <m/>
    <m/>
    <n v="0"/>
    <m/>
    <m/>
    <n v="0"/>
    <m/>
    <m/>
    <n v="0"/>
    <n v="24"/>
    <n v="46652.25"/>
    <n v="916100.90280000004"/>
    <n v="24"/>
    <n v="48645"/>
    <n v="955232.13600000006"/>
  </r>
  <r>
    <x v="10"/>
    <s v="Southwest Technology Center"/>
    <n v="368364"/>
    <x v="10"/>
    <m/>
    <m/>
    <n v="0"/>
    <m/>
    <m/>
    <n v="0"/>
    <m/>
    <m/>
    <n v="0"/>
    <m/>
    <m/>
    <n v="0"/>
    <m/>
    <m/>
    <n v="0"/>
    <m/>
    <m/>
    <n v="0"/>
    <m/>
    <m/>
    <n v="0"/>
    <m/>
    <m/>
    <n v="0"/>
    <m/>
    <m/>
    <n v="0"/>
    <m/>
    <m/>
    <n v="0"/>
    <n v="8"/>
    <n v="38324"/>
    <n v="306592"/>
    <n v="8"/>
    <n v="41014"/>
    <n v="328112"/>
    <m/>
    <m/>
    <n v="0"/>
    <m/>
    <m/>
    <n v="0"/>
    <m/>
    <m/>
    <n v="0"/>
    <m/>
    <m/>
    <n v="0"/>
    <m/>
    <m/>
    <n v="0"/>
    <m/>
    <m/>
    <n v="0"/>
    <m/>
    <m/>
    <n v="0"/>
    <m/>
    <m/>
    <n v="0"/>
    <m/>
    <m/>
    <n v="0"/>
    <m/>
    <m/>
    <n v="0"/>
    <n v="7"/>
    <n v="46819.14"/>
    <n v="268151.94243599998"/>
    <n v="7"/>
    <n v="48841"/>
    <n v="279731.94339999999"/>
  </r>
  <r>
    <x v="10"/>
    <s v="Tri County Technology Center"/>
    <n v="418287"/>
    <x v="10"/>
    <m/>
    <m/>
    <n v="0"/>
    <m/>
    <m/>
    <n v="0"/>
    <m/>
    <m/>
    <n v="0"/>
    <m/>
    <m/>
    <n v="0"/>
    <m/>
    <m/>
    <n v="0"/>
    <m/>
    <m/>
    <n v="0"/>
    <m/>
    <m/>
    <n v="0"/>
    <m/>
    <m/>
    <n v="0"/>
    <m/>
    <m/>
    <n v="0"/>
    <m/>
    <m/>
    <n v="0"/>
    <n v="13"/>
    <n v="46412.33"/>
    <n v="603360.29"/>
    <n v="13"/>
    <n v="47075"/>
    <n v="611975"/>
    <m/>
    <m/>
    <n v="0"/>
    <m/>
    <m/>
    <n v="0"/>
    <m/>
    <m/>
    <n v="0"/>
    <m/>
    <m/>
    <n v="0"/>
    <m/>
    <m/>
    <n v="0"/>
    <m/>
    <m/>
    <n v="0"/>
    <m/>
    <m/>
    <n v="0"/>
    <m/>
    <m/>
    <n v="0"/>
    <m/>
    <m/>
    <n v="0"/>
    <m/>
    <m/>
    <n v="0"/>
    <n v="16"/>
    <n v="52451.42"/>
    <n v="686652.02950399998"/>
    <n v="16"/>
    <n v="54098"/>
    <n v="708207.73759999999"/>
  </r>
  <r>
    <x v="10"/>
    <s v="Tulsa County Area Voc Tech School Dist 18-Peoria  "/>
    <n v="207607"/>
    <x v="10"/>
    <m/>
    <m/>
    <n v="0"/>
    <m/>
    <m/>
    <n v="0"/>
    <m/>
    <m/>
    <n v="0"/>
    <m/>
    <m/>
    <n v="0"/>
    <m/>
    <m/>
    <n v="0"/>
    <m/>
    <m/>
    <n v="0"/>
    <m/>
    <m/>
    <n v="0"/>
    <m/>
    <m/>
    <n v="0"/>
    <m/>
    <m/>
    <n v="0"/>
    <m/>
    <m/>
    <n v="0"/>
    <m/>
    <m/>
    <n v="0"/>
    <m/>
    <m/>
    <n v="0"/>
    <m/>
    <m/>
    <n v="0"/>
    <m/>
    <m/>
    <n v="0"/>
    <m/>
    <m/>
    <n v="0"/>
    <m/>
    <m/>
    <n v="0"/>
    <m/>
    <m/>
    <n v="0"/>
    <m/>
    <m/>
    <n v="0"/>
    <m/>
    <m/>
    <n v="0"/>
    <m/>
    <m/>
    <n v="0"/>
    <m/>
    <m/>
    <n v="0"/>
    <m/>
    <m/>
    <n v="0"/>
    <n v="28"/>
    <n v="55790.54"/>
    <n v="1278138.9551840001"/>
    <n v="24"/>
    <n v="55383"/>
    <n v="1087544.8944000001"/>
  </r>
  <r>
    <x v="10"/>
    <s v="Tulsa Technology Center-Broken Arrow Campus"/>
    <n v="261393"/>
    <x v="10"/>
    <m/>
    <m/>
    <n v="0"/>
    <m/>
    <m/>
    <n v="0"/>
    <m/>
    <m/>
    <n v="0"/>
    <m/>
    <m/>
    <n v="0"/>
    <m/>
    <m/>
    <n v="0"/>
    <m/>
    <m/>
    <n v="0"/>
    <m/>
    <m/>
    <n v="0"/>
    <m/>
    <m/>
    <n v="0"/>
    <m/>
    <m/>
    <n v="0"/>
    <m/>
    <m/>
    <n v="0"/>
    <m/>
    <m/>
    <n v="0"/>
    <m/>
    <m/>
    <n v="0"/>
    <m/>
    <m/>
    <n v="0"/>
    <m/>
    <m/>
    <n v="0"/>
    <m/>
    <m/>
    <n v="0"/>
    <m/>
    <m/>
    <n v="0"/>
    <m/>
    <m/>
    <n v="0"/>
    <m/>
    <m/>
    <n v="0"/>
    <m/>
    <m/>
    <n v="0"/>
    <m/>
    <m/>
    <n v="0"/>
    <m/>
    <m/>
    <n v="0"/>
    <m/>
    <m/>
    <n v="0"/>
    <n v="36"/>
    <n v="54530.94"/>
    <n v="1606219.7438880003"/>
    <n v="36"/>
    <n v="54709"/>
    <n v="1611464.5368000001"/>
  </r>
  <r>
    <x v="10"/>
    <s v="Tulsa Technology Center-Lemley Campus             "/>
    <n v="261375"/>
    <x v="10"/>
    <m/>
    <m/>
    <n v="0"/>
    <m/>
    <m/>
    <n v="0"/>
    <m/>
    <m/>
    <n v="0"/>
    <m/>
    <m/>
    <n v="0"/>
    <m/>
    <m/>
    <n v="0"/>
    <m/>
    <m/>
    <n v="0"/>
    <m/>
    <m/>
    <n v="0"/>
    <m/>
    <m/>
    <n v="0"/>
    <m/>
    <m/>
    <n v="0"/>
    <m/>
    <m/>
    <n v="0"/>
    <m/>
    <m/>
    <n v="0"/>
    <n v="1"/>
    <n v="52235"/>
    <n v="52235"/>
    <m/>
    <m/>
    <n v="0"/>
    <m/>
    <m/>
    <n v="0"/>
    <m/>
    <m/>
    <n v="0"/>
    <m/>
    <m/>
    <n v="0"/>
    <m/>
    <m/>
    <n v="0"/>
    <m/>
    <m/>
    <n v="0"/>
    <m/>
    <m/>
    <n v="0"/>
    <m/>
    <m/>
    <n v="0"/>
    <m/>
    <m/>
    <n v="0"/>
    <m/>
    <m/>
    <n v="0"/>
    <n v="47"/>
    <n v="54233.4"/>
    <n v="2085567.0903600003"/>
    <n v="47"/>
    <n v="54559"/>
    <n v="2098088.1686"/>
  </r>
  <r>
    <x v="10"/>
    <s v="Tulsa Technology Center-Riverside Campus"/>
    <n v="261384"/>
    <x v="10"/>
    <m/>
    <m/>
    <n v="0"/>
    <m/>
    <m/>
    <n v="0"/>
    <m/>
    <m/>
    <n v="0"/>
    <m/>
    <m/>
    <n v="0"/>
    <m/>
    <m/>
    <n v="0"/>
    <m/>
    <m/>
    <n v="0"/>
    <m/>
    <m/>
    <n v="0"/>
    <m/>
    <m/>
    <n v="0"/>
    <m/>
    <m/>
    <n v="0"/>
    <m/>
    <m/>
    <n v="0"/>
    <m/>
    <m/>
    <n v="0"/>
    <m/>
    <m/>
    <n v="0"/>
    <m/>
    <m/>
    <n v="0"/>
    <m/>
    <m/>
    <n v="0"/>
    <m/>
    <m/>
    <n v="0"/>
    <m/>
    <m/>
    <n v="0"/>
    <m/>
    <m/>
    <n v="0"/>
    <m/>
    <m/>
    <n v="0"/>
    <m/>
    <m/>
    <n v="0"/>
    <m/>
    <m/>
    <n v="0"/>
    <m/>
    <m/>
    <n v="0"/>
    <m/>
    <m/>
    <n v="0"/>
    <n v="27"/>
    <n v="56179.89"/>
    <n v="1241092.4219460001"/>
    <n v="27"/>
    <n v="56330"/>
    <n v="1244408.5620000002"/>
  </r>
  <r>
    <x v="10"/>
    <s v="Wes Watkins Technology Center"/>
    <n v="418357"/>
    <x v="10"/>
    <m/>
    <m/>
    <n v="0"/>
    <m/>
    <m/>
    <n v="0"/>
    <m/>
    <m/>
    <n v="0"/>
    <m/>
    <m/>
    <n v="0"/>
    <m/>
    <m/>
    <n v="0"/>
    <m/>
    <m/>
    <n v="0"/>
    <m/>
    <m/>
    <n v="0"/>
    <m/>
    <m/>
    <n v="0"/>
    <m/>
    <m/>
    <n v="0"/>
    <m/>
    <m/>
    <n v="0"/>
    <n v="7"/>
    <n v="39840"/>
    <n v="278880"/>
    <n v="8"/>
    <n v="41315"/>
    <n v="330520"/>
    <m/>
    <m/>
    <n v="0"/>
    <m/>
    <m/>
    <n v="0"/>
    <m/>
    <m/>
    <n v="0"/>
    <m/>
    <m/>
    <n v="0"/>
    <m/>
    <m/>
    <n v="0"/>
    <m/>
    <m/>
    <n v="0"/>
    <m/>
    <m/>
    <n v="0"/>
    <m/>
    <m/>
    <n v="0"/>
    <m/>
    <m/>
    <n v="0"/>
    <m/>
    <m/>
    <n v="0"/>
    <n v="1"/>
    <n v="45677"/>
    <n v="37372.921399999999"/>
    <n v="5"/>
    <n v="50762"/>
    <n v="207667.342"/>
  </r>
  <r>
    <x v="10"/>
    <s v="Western Technology Center"/>
    <n v="418302"/>
    <x v="10"/>
    <m/>
    <m/>
    <n v="0"/>
    <m/>
    <m/>
    <n v="0"/>
    <m/>
    <m/>
    <n v="0"/>
    <m/>
    <m/>
    <n v="0"/>
    <m/>
    <m/>
    <n v="0"/>
    <m/>
    <m/>
    <n v="0"/>
    <m/>
    <m/>
    <n v="0"/>
    <m/>
    <m/>
    <n v="0"/>
    <m/>
    <m/>
    <n v="0"/>
    <m/>
    <m/>
    <n v="0"/>
    <n v="24"/>
    <n v="42812.67"/>
    <n v="1027504.08"/>
    <n v="21"/>
    <n v="44990"/>
    <n v="944790"/>
    <m/>
    <m/>
    <n v="0"/>
    <m/>
    <m/>
    <n v="0"/>
    <m/>
    <m/>
    <n v="0"/>
    <m/>
    <m/>
    <n v="0"/>
    <m/>
    <m/>
    <n v="0"/>
    <m/>
    <m/>
    <n v="0"/>
    <m/>
    <m/>
    <n v="0"/>
    <m/>
    <m/>
    <n v="0"/>
    <m/>
    <m/>
    <n v="0"/>
    <m/>
    <m/>
    <n v="0"/>
    <n v="5"/>
    <n v="47978.6"/>
    <n v="196280.45260000002"/>
    <n v="5"/>
    <n v="50979"/>
    <n v="208555.08900000001"/>
  </r>
  <r>
    <x v="11"/>
    <s v="Clemson University"/>
    <n v="217882"/>
    <x v="0"/>
    <n v="310"/>
    <n v="106858"/>
    <n v="33125980"/>
    <n v="301"/>
    <n v="108787"/>
    <n v="32744887"/>
    <n v="224"/>
    <n v="75778"/>
    <n v="16974272"/>
    <n v="227"/>
    <n v="76039"/>
    <n v="17260853"/>
    <n v="279"/>
    <n v="67767"/>
    <n v="18906993"/>
    <n v="285"/>
    <n v="68091"/>
    <n v="19405935"/>
    <n v="3"/>
    <n v="49209"/>
    <n v="147627"/>
    <n v="3"/>
    <n v="52632"/>
    <n v="157896"/>
    <n v="177"/>
    <n v="42517"/>
    <n v="7525509"/>
    <n v="181"/>
    <n v="43496"/>
    <n v="7872776"/>
    <m/>
    <m/>
    <n v="0"/>
    <m/>
    <m/>
    <n v="0"/>
    <n v="47"/>
    <n v="102963"/>
    <n v="3959483.3502000002"/>
    <n v="48"/>
    <n v="107778"/>
    <n v="4232830.0608000001"/>
    <n v="18"/>
    <n v="83993"/>
    <n v="1237015.3068000001"/>
    <n v="22"/>
    <n v="87046"/>
    <n v="1566862.8184"/>
    <n v="11"/>
    <n v="70395"/>
    <n v="633569.07900000003"/>
    <n v="12"/>
    <n v="71898"/>
    <n v="705923.32319999998"/>
    <n v="0"/>
    <m/>
    <n v="0"/>
    <m/>
    <m/>
    <n v="0"/>
    <n v="17"/>
    <n v="51728"/>
    <n v="719505.44319999998"/>
    <n v="15"/>
    <n v="53028"/>
    <n v="650812.64400000009"/>
    <m/>
    <m/>
    <n v="0"/>
    <m/>
    <m/>
    <n v="0"/>
  </r>
  <r>
    <x v="11"/>
    <s v="University of South Carolina-Columbia"/>
    <n v="218663"/>
    <x v="0"/>
    <n v="286"/>
    <n v="106235"/>
    <n v="30383210"/>
    <n v="254"/>
    <n v="109548"/>
    <n v="27825192"/>
    <n v="289"/>
    <n v="75255"/>
    <n v="21748695"/>
    <n v="297"/>
    <n v="77711"/>
    <n v="23080167"/>
    <n v="358"/>
    <n v="67643"/>
    <n v="24216194"/>
    <n v="363"/>
    <n v="68955"/>
    <n v="25030665"/>
    <n v="116"/>
    <n v="42336"/>
    <n v="4910976"/>
    <n v="124"/>
    <n v="42444"/>
    <n v="5263056"/>
    <n v="20"/>
    <n v="57282"/>
    <n v="1145640"/>
    <n v="20"/>
    <n v="57201"/>
    <n v="1144020"/>
    <m/>
    <m/>
    <n v="0"/>
    <m/>
    <m/>
    <n v="0"/>
    <n v="54"/>
    <n v="137396"/>
    <n v="6070539.9888000004"/>
    <n v="60"/>
    <n v="137173"/>
    <n v="6734096.9160000002"/>
    <n v="19"/>
    <n v="97679"/>
    <n v="1518498.1982"/>
    <n v="15"/>
    <n v="100554"/>
    <n v="1234099.2420000001"/>
    <n v="29"/>
    <n v="75146"/>
    <n v="1783049.2588000002"/>
    <n v="26"/>
    <n v="81750"/>
    <n v="1739084.1"/>
    <n v="26"/>
    <n v="60467"/>
    <n v="1286326.5844000001"/>
    <n v="29"/>
    <n v="57783"/>
    <n v="1371063.4674"/>
    <n v="20"/>
    <n v="74480"/>
    <n v="1218790.72"/>
    <n v="13"/>
    <n v="77631"/>
    <n v="825729.8946"/>
    <m/>
    <m/>
    <n v="0"/>
    <m/>
    <m/>
    <n v="0"/>
  </r>
  <r>
    <x v="11"/>
    <s v="College of Charleston"/>
    <n v="217819"/>
    <x v="2"/>
    <n v="121"/>
    <n v="77112"/>
    <n v="9330552"/>
    <n v="124"/>
    <n v="80548"/>
    <n v="9987952"/>
    <n v="153"/>
    <n v="63358"/>
    <n v="9693774"/>
    <n v="150"/>
    <n v="65407"/>
    <n v="9811050"/>
    <n v="167"/>
    <n v="55527"/>
    <n v="9273009"/>
    <n v="164"/>
    <n v="59008"/>
    <n v="9677312"/>
    <n v="53"/>
    <n v="47263"/>
    <n v="2504939"/>
    <n v="62"/>
    <n v="47966"/>
    <n v="2973892"/>
    <n v="1"/>
    <n v="40295"/>
    <n v="40295"/>
    <n v="1"/>
    <n v="41302"/>
    <n v="41302"/>
    <m/>
    <m/>
    <n v="0"/>
    <m/>
    <m/>
    <n v="0"/>
    <n v="1"/>
    <n v="116326"/>
    <n v="95177.933199999999"/>
    <n v="0"/>
    <m/>
    <n v="0"/>
    <n v="1"/>
    <n v="84568"/>
    <n v="69193.537599999996"/>
    <n v="0"/>
    <m/>
    <n v="0"/>
    <n v="0"/>
    <m/>
    <n v="0"/>
    <m/>
    <m/>
    <n v="0"/>
    <n v="1"/>
    <n v="43921"/>
    <n v="35936.162199999999"/>
    <n v="1"/>
    <n v="45204"/>
    <n v="36985.912799999998"/>
    <n v="1"/>
    <n v="39724"/>
    <n v="32502.176800000001"/>
    <n v="1"/>
    <n v="40518"/>
    <n v="33151.827600000004"/>
    <m/>
    <m/>
    <n v="0"/>
    <m/>
    <m/>
    <n v="0"/>
  </r>
  <r>
    <x v="11"/>
    <s v="Winthrop University "/>
    <n v="218964"/>
    <x v="2"/>
    <n v="62"/>
    <n v="75296"/>
    <n v="4668352"/>
    <n v="62"/>
    <n v="76033"/>
    <n v="4714046"/>
    <n v="93"/>
    <n v="65349"/>
    <n v="6077457"/>
    <n v="98"/>
    <n v="65489"/>
    <n v="6417922"/>
    <n v="89"/>
    <n v="53117"/>
    <n v="4727413"/>
    <n v="82"/>
    <n v="54022"/>
    <n v="4429804"/>
    <n v="33"/>
    <n v="43595"/>
    <n v="1438635"/>
    <n v="32"/>
    <n v="42382"/>
    <n v="1356224"/>
    <n v="0"/>
    <m/>
    <n v="0"/>
    <n v="2"/>
    <n v="40607"/>
    <n v="81214"/>
    <m/>
    <m/>
    <n v="0"/>
    <m/>
    <m/>
    <n v="0"/>
    <n v="1"/>
    <n v="86992"/>
    <n v="71176.854399999997"/>
    <n v="1"/>
    <n v="87861"/>
    <n v="71887.870200000005"/>
    <n v="1"/>
    <n v="88897"/>
    <n v="72735.525399999999"/>
    <n v="2"/>
    <n v="97850"/>
    <n v="160121.74000000002"/>
    <n v="1"/>
    <n v="52600"/>
    <n v="43037.32"/>
    <n v="1"/>
    <n v="53126"/>
    <n v="43467.693200000002"/>
    <n v="2"/>
    <n v="60900"/>
    <n v="99656.760000000009"/>
    <n v="14"/>
    <n v="55741"/>
    <n v="638502.00679999997"/>
    <n v="0"/>
    <m/>
    <n v="0"/>
    <n v="2"/>
    <n v="66505"/>
    <n v="108828.78200000001"/>
    <m/>
    <m/>
    <n v="0"/>
    <m/>
    <m/>
    <n v="0"/>
  </r>
  <r>
    <x v="11"/>
    <s v="The Citadel, the Military College of South Carolina "/>
    <n v="217864"/>
    <x v="3"/>
    <n v="60"/>
    <n v="77293"/>
    <n v="4637580"/>
    <n v="58"/>
    <n v="79765"/>
    <n v="4626370"/>
    <n v="45"/>
    <n v="68527"/>
    <n v="3083715"/>
    <n v="50"/>
    <n v="67506"/>
    <n v="3375300"/>
    <n v="59"/>
    <n v="55655"/>
    <n v="3283645"/>
    <n v="62"/>
    <n v="54036"/>
    <n v="3350232"/>
    <n v="0"/>
    <m/>
    <n v="0"/>
    <n v="0"/>
    <m/>
    <n v="0"/>
    <n v="0"/>
    <m/>
    <n v="0"/>
    <m/>
    <m/>
    <n v="0"/>
    <m/>
    <m/>
    <n v="0"/>
    <m/>
    <m/>
    <n v="0"/>
    <n v="1"/>
    <n v="106660"/>
    <n v="87269.212"/>
    <n v="1"/>
    <n v="107726"/>
    <n v="88141.41320000001"/>
    <n v="2"/>
    <n v="93045"/>
    <n v="152258.83800000002"/>
    <n v="2"/>
    <n v="88464"/>
    <n v="144762.4896"/>
    <n v="0"/>
    <m/>
    <n v="0"/>
    <m/>
    <m/>
    <n v="0"/>
    <n v="0"/>
    <m/>
    <n v="0"/>
    <m/>
    <m/>
    <n v="0"/>
    <n v="0"/>
    <m/>
    <n v="0"/>
    <m/>
    <m/>
    <n v="0"/>
    <m/>
    <m/>
    <n v="0"/>
    <m/>
    <m/>
    <n v="0"/>
  </r>
  <r>
    <x v="11"/>
    <s v="Coastal Carolina University"/>
    <n v="218724"/>
    <x v="4"/>
    <n v="32"/>
    <n v="77915"/>
    <n v="2493280"/>
    <n v="29"/>
    <n v="79656"/>
    <n v="2310024"/>
    <n v="52"/>
    <n v="63520"/>
    <n v="3303040"/>
    <n v="54"/>
    <n v="68806"/>
    <n v="3715524"/>
    <n v="111"/>
    <n v="57882"/>
    <n v="6424902"/>
    <n v="114"/>
    <n v="58265"/>
    <n v="6642210"/>
    <n v="19"/>
    <n v="39212"/>
    <n v="745028"/>
    <n v="18"/>
    <n v="43182"/>
    <n v="777276"/>
    <n v="15"/>
    <n v="37397"/>
    <n v="560955"/>
    <n v="41"/>
    <n v="37370"/>
    <n v="1532170"/>
    <m/>
    <m/>
    <n v="0"/>
    <m/>
    <m/>
    <n v="0"/>
    <n v="15"/>
    <n v="98107"/>
    <n v="1204067.2110000001"/>
    <n v="19"/>
    <n v="105085"/>
    <n v="1633630.3930000002"/>
    <n v="12"/>
    <n v="80030"/>
    <n v="785766.55200000003"/>
    <n v="11"/>
    <n v="77978"/>
    <n v="701817.5956"/>
    <n v="1"/>
    <n v="57567"/>
    <n v="47101.3194"/>
    <n v="3"/>
    <n v="58849"/>
    <n v="144450.75539999999"/>
    <n v="3"/>
    <n v="66643"/>
    <n v="163581.90780000002"/>
    <n v="3"/>
    <n v="67559"/>
    <n v="165830.32140000002"/>
    <n v="4"/>
    <n v="70858"/>
    <n v="231904.06240000002"/>
    <n v="7"/>
    <n v="58533"/>
    <n v="335241.90419999999"/>
    <m/>
    <m/>
    <n v="0"/>
    <m/>
    <m/>
    <n v="0"/>
  </r>
  <r>
    <x v="11"/>
    <s v="Francis Marion University "/>
    <n v="218061"/>
    <x v="4"/>
    <n v="57"/>
    <n v="74345"/>
    <n v="4237665"/>
    <n v="55"/>
    <n v="75969"/>
    <n v="4178295"/>
    <n v="35"/>
    <n v="59168"/>
    <n v="2070880"/>
    <n v="36"/>
    <n v="60413"/>
    <n v="2174868"/>
    <n v="83"/>
    <n v="50811"/>
    <n v="4217313"/>
    <n v="86"/>
    <n v="51834"/>
    <n v="4457724"/>
    <n v="17"/>
    <n v="44506"/>
    <n v="756602"/>
    <n v="15"/>
    <n v="46744"/>
    <n v="701160"/>
    <n v="0"/>
    <m/>
    <n v="0"/>
    <m/>
    <m/>
    <n v="0"/>
    <m/>
    <m/>
    <n v="0"/>
    <m/>
    <m/>
    <n v="0"/>
    <n v="7"/>
    <n v="91121"/>
    <n v="521886.4154"/>
    <n v="6"/>
    <n v="96986"/>
    <n v="476123.67120000004"/>
    <n v="1"/>
    <n v="74200"/>
    <n v="60710.44"/>
    <n v="1"/>
    <n v="76426"/>
    <n v="62531.753200000006"/>
    <n v="0"/>
    <m/>
    <n v="0"/>
    <m/>
    <m/>
    <n v="0"/>
    <n v="0"/>
    <m/>
    <n v="0"/>
    <m/>
    <m/>
    <n v="0"/>
    <n v="0"/>
    <m/>
    <n v="0"/>
    <m/>
    <m/>
    <n v="0"/>
    <m/>
    <m/>
    <n v="0"/>
    <m/>
    <m/>
    <n v="0"/>
  </r>
  <r>
    <x v="11"/>
    <s v="Lander University"/>
    <n v="218229"/>
    <x v="4"/>
    <n v="24"/>
    <n v="61766"/>
    <n v="1482384"/>
    <n v="22"/>
    <n v="53777"/>
    <n v="1183094"/>
    <n v="22"/>
    <n v="54874"/>
    <n v="1207228"/>
    <n v="25"/>
    <n v="54330"/>
    <n v="1358250"/>
    <n v="45"/>
    <n v="47907"/>
    <n v="2155815"/>
    <n v="35"/>
    <n v="50605"/>
    <n v="1771175"/>
    <n v="27"/>
    <n v="41022"/>
    <n v="1107594"/>
    <n v="18"/>
    <n v="37296"/>
    <n v="671328"/>
    <n v="5"/>
    <n v="32591"/>
    <n v="162955"/>
    <n v="4"/>
    <n v="33138"/>
    <n v="132552"/>
    <m/>
    <m/>
    <n v="0"/>
    <m/>
    <m/>
    <n v="0"/>
    <n v="3"/>
    <n v="100847"/>
    <n v="247539.04620000001"/>
    <n v="3"/>
    <n v="103177"/>
    <n v="253258.26420000001"/>
    <n v="2"/>
    <n v="59691"/>
    <n v="97678.352400000003"/>
    <n v="3"/>
    <n v="48455"/>
    <n v="118937.64300000001"/>
    <n v="0"/>
    <m/>
    <n v="0"/>
    <n v="14"/>
    <n v="37786"/>
    <n v="432831.07280000002"/>
    <n v="0"/>
    <m/>
    <n v="0"/>
    <n v="4"/>
    <n v="44145"/>
    <n v="144477.75599999999"/>
    <n v="0"/>
    <m/>
    <n v="0"/>
    <n v="2"/>
    <n v="38787"/>
    <n v="63471.046800000004"/>
    <m/>
    <m/>
    <n v="0"/>
    <m/>
    <m/>
    <n v="0"/>
  </r>
  <r>
    <x v="11"/>
    <s v="South Carolina State University "/>
    <n v="218733"/>
    <x v="4"/>
    <n v="34"/>
    <n v="72542"/>
    <n v="2466428"/>
    <n v="35"/>
    <n v="72843"/>
    <n v="2549505"/>
    <n v="48"/>
    <n v="63444"/>
    <n v="3045312"/>
    <n v="50"/>
    <n v="64044"/>
    <n v="3202200"/>
    <n v="74"/>
    <n v="55870"/>
    <n v="4134380"/>
    <n v="81"/>
    <n v="57472"/>
    <n v="4655232"/>
    <n v="22"/>
    <n v="41936"/>
    <n v="922592"/>
    <n v="27"/>
    <n v="42615"/>
    <n v="1150605"/>
    <n v="9"/>
    <n v="48342"/>
    <n v="435078"/>
    <n v="4"/>
    <n v="45401"/>
    <n v="181604"/>
    <m/>
    <m/>
    <n v="0"/>
    <m/>
    <m/>
    <n v="0"/>
    <n v="5"/>
    <n v="89672"/>
    <n v="366848.152"/>
    <n v="4"/>
    <n v="103328"/>
    <n v="338171.87839999999"/>
    <n v="16"/>
    <n v="81335"/>
    <n v="1064772.7520000001"/>
    <n v="12"/>
    <n v="82507"/>
    <n v="810086.72880000004"/>
    <n v="12"/>
    <n v="60341"/>
    <n v="592452.07440000004"/>
    <n v="10"/>
    <n v="73417"/>
    <n v="600697.89399999997"/>
    <n v="5"/>
    <n v="53645"/>
    <n v="219461.69500000001"/>
    <n v="5"/>
    <n v="60686"/>
    <n v="248266.42600000001"/>
    <n v="0"/>
    <m/>
    <n v="0"/>
    <m/>
    <m/>
    <n v="0"/>
    <m/>
    <m/>
    <n v="0"/>
    <m/>
    <m/>
    <n v="0"/>
  </r>
  <r>
    <x v="11"/>
    <s v="University of South Carolina-Aiken"/>
    <n v="218645"/>
    <x v="5"/>
    <n v="24"/>
    <n v="75176"/>
    <n v="1804224"/>
    <n v="24"/>
    <n v="75234"/>
    <n v="1805616"/>
    <n v="31"/>
    <n v="60303"/>
    <n v="1869393"/>
    <n v="31"/>
    <n v="59559"/>
    <n v="1846329"/>
    <n v="43"/>
    <n v="49836"/>
    <n v="2142948"/>
    <n v="41"/>
    <n v="49135"/>
    <n v="2014535"/>
    <n v="34"/>
    <n v="43695"/>
    <n v="1485630"/>
    <n v="39"/>
    <n v="42619"/>
    <n v="1662141"/>
    <n v="0"/>
    <m/>
    <n v="0"/>
    <m/>
    <m/>
    <n v="0"/>
    <m/>
    <m/>
    <n v="0"/>
    <m/>
    <m/>
    <n v="0"/>
    <n v="6"/>
    <n v="85443"/>
    <n v="419456.77559999999"/>
    <n v="6"/>
    <n v="87063"/>
    <n v="427409.67960000003"/>
    <n v="5"/>
    <n v="72110"/>
    <n v="295002.01"/>
    <n v="6"/>
    <n v="75334"/>
    <n v="369829.6728"/>
    <n v="3"/>
    <n v="59950"/>
    <n v="147153.27000000002"/>
    <n v="1"/>
    <n v="65947"/>
    <n v="53957.835400000004"/>
    <n v="4"/>
    <n v="55019"/>
    <n v="180066.1832"/>
    <n v="3"/>
    <n v="49031"/>
    <n v="120351.49260000001"/>
    <n v="0"/>
    <m/>
    <n v="0"/>
    <m/>
    <m/>
    <n v="0"/>
    <m/>
    <m/>
    <n v="0"/>
    <m/>
    <m/>
    <n v="0"/>
  </r>
  <r>
    <x v="11"/>
    <s v="University of South Carolina-Upstate"/>
    <n v="218742"/>
    <x v="5"/>
    <n v="31"/>
    <n v="69768"/>
    <n v="2162808"/>
    <n v="30"/>
    <n v="73585"/>
    <n v="2207550"/>
    <n v="29"/>
    <n v="58781"/>
    <n v="1704649"/>
    <n v="33"/>
    <n v="59059"/>
    <n v="1948947"/>
    <n v="63"/>
    <n v="51535"/>
    <n v="3246705"/>
    <n v="63"/>
    <n v="51739"/>
    <n v="3259557"/>
    <n v="64"/>
    <n v="45128"/>
    <n v="2888192"/>
    <n v="68"/>
    <n v="45904"/>
    <n v="3121472"/>
    <n v="0"/>
    <m/>
    <n v="0"/>
    <m/>
    <m/>
    <n v="0"/>
    <m/>
    <m/>
    <n v="0"/>
    <m/>
    <m/>
    <n v="0"/>
    <n v="7"/>
    <n v="95552"/>
    <n v="547264.52480000001"/>
    <n v="8"/>
    <n v="92568"/>
    <n v="605913.10080000001"/>
    <n v="6"/>
    <n v="71529"/>
    <n v="351150.16680000001"/>
    <n v="5"/>
    <n v="84026"/>
    <n v="343750.36600000004"/>
    <n v="3"/>
    <n v="73104"/>
    <n v="179441.0784"/>
    <n v="3"/>
    <n v="75121"/>
    <n v="184392.00660000002"/>
    <n v="3"/>
    <n v="52689"/>
    <n v="129330.4194"/>
    <n v="4"/>
    <n v="55646"/>
    <n v="182118.22880000001"/>
    <n v="0"/>
    <m/>
    <n v="0"/>
    <m/>
    <m/>
    <n v="0"/>
    <m/>
    <m/>
    <n v="0"/>
    <m/>
    <m/>
    <n v="0"/>
  </r>
  <r>
    <x v="11"/>
    <s v="University of South Carolina-Beaufort"/>
    <n v="218654"/>
    <x v="11"/>
    <n v="6"/>
    <n v="68666"/>
    <n v="411996"/>
    <n v="4"/>
    <n v="72462"/>
    <n v="289848"/>
    <n v="11"/>
    <n v="55716"/>
    <n v="612876"/>
    <n v="11"/>
    <n v="59246"/>
    <n v="651706"/>
    <n v="10"/>
    <n v="49159"/>
    <n v="491590"/>
    <n v="14"/>
    <n v="51807"/>
    <n v="725298"/>
    <n v="13"/>
    <n v="42536"/>
    <n v="552968"/>
    <n v="13"/>
    <n v="44201"/>
    <n v="574613"/>
    <n v="0"/>
    <m/>
    <n v="0"/>
    <m/>
    <m/>
    <n v="0"/>
    <m/>
    <m/>
    <n v="0"/>
    <m/>
    <m/>
    <n v="0"/>
    <n v="3"/>
    <n v="87658"/>
    <n v="215165.32680000001"/>
    <n v="5"/>
    <n v="82203"/>
    <n v="336292.473"/>
    <n v="4"/>
    <n v="86923"/>
    <n v="284481.5944"/>
    <n v="4"/>
    <n v="84650"/>
    <n v="277042.52"/>
    <n v="0"/>
    <m/>
    <n v="0"/>
    <m/>
    <m/>
    <n v="0"/>
    <n v="1"/>
    <n v="65000"/>
    <n v="53183"/>
    <n v="2"/>
    <n v="66772"/>
    <n v="109265.70080000001"/>
    <n v="0"/>
    <m/>
    <n v="0"/>
    <m/>
    <m/>
    <n v="0"/>
    <m/>
    <m/>
    <n v="0"/>
    <m/>
    <m/>
    <n v="0"/>
  </r>
  <r>
    <x v="11"/>
    <s v="Greenville Technical College "/>
    <n v="218113"/>
    <x v="6"/>
    <m/>
    <m/>
    <n v="0"/>
    <m/>
    <m/>
    <n v="0"/>
    <m/>
    <m/>
    <n v="0"/>
    <m/>
    <m/>
    <n v="0"/>
    <m/>
    <m/>
    <n v="0"/>
    <m/>
    <m/>
    <n v="0"/>
    <m/>
    <m/>
    <n v="0"/>
    <m/>
    <m/>
    <n v="0"/>
    <n v="331"/>
    <n v="44935"/>
    <n v="14873485"/>
    <n v="335"/>
    <n v="45493"/>
    <n v="15240155"/>
    <m/>
    <m/>
    <n v="0"/>
    <m/>
    <m/>
    <n v="0"/>
    <m/>
    <m/>
    <n v="0"/>
    <m/>
    <m/>
    <n v="0"/>
    <m/>
    <m/>
    <n v="0"/>
    <m/>
    <m/>
    <n v="0"/>
    <m/>
    <m/>
    <n v="0"/>
    <m/>
    <m/>
    <n v="0"/>
    <m/>
    <m/>
    <n v="0"/>
    <m/>
    <m/>
    <n v="0"/>
    <m/>
    <m/>
    <n v="0"/>
    <m/>
    <m/>
    <n v="0"/>
    <m/>
    <m/>
    <n v="0"/>
    <m/>
    <m/>
    <n v="0"/>
  </r>
  <r>
    <x v="11"/>
    <s v="Midlands Technical College "/>
    <n v="218353"/>
    <x v="6"/>
    <m/>
    <m/>
    <n v="0"/>
    <m/>
    <m/>
    <n v="0"/>
    <m/>
    <m/>
    <n v="0"/>
    <m/>
    <m/>
    <n v="0"/>
    <m/>
    <m/>
    <n v="0"/>
    <m/>
    <m/>
    <n v="0"/>
    <m/>
    <m/>
    <n v="0"/>
    <m/>
    <m/>
    <n v="0"/>
    <n v="225"/>
    <n v="48816"/>
    <n v="10983600"/>
    <n v="220"/>
    <n v="49362"/>
    <n v="10859640"/>
    <m/>
    <m/>
    <n v="0"/>
    <m/>
    <m/>
    <n v="0"/>
    <m/>
    <m/>
    <n v="0"/>
    <m/>
    <m/>
    <n v="0"/>
    <m/>
    <m/>
    <n v="0"/>
    <m/>
    <m/>
    <n v="0"/>
    <m/>
    <m/>
    <n v="0"/>
    <m/>
    <m/>
    <n v="0"/>
    <m/>
    <m/>
    <n v="0"/>
    <m/>
    <m/>
    <n v="0"/>
    <m/>
    <m/>
    <n v="0"/>
    <m/>
    <m/>
    <n v="0"/>
    <m/>
    <m/>
    <n v="0"/>
    <m/>
    <m/>
    <n v="0"/>
  </r>
  <r>
    <x v="11"/>
    <s v="Trident Technical College "/>
    <n v="218894"/>
    <x v="6"/>
    <m/>
    <m/>
    <n v="0"/>
    <m/>
    <m/>
    <n v="0"/>
    <m/>
    <m/>
    <n v="0"/>
    <m/>
    <m/>
    <n v="0"/>
    <m/>
    <m/>
    <n v="0"/>
    <m/>
    <m/>
    <n v="0"/>
    <m/>
    <m/>
    <n v="0"/>
    <m/>
    <m/>
    <n v="0"/>
    <n v="288"/>
    <n v="47018"/>
    <n v="13541184"/>
    <n v="296"/>
    <n v="47413"/>
    <n v="14034248"/>
    <m/>
    <m/>
    <n v="0"/>
    <m/>
    <m/>
    <n v="0"/>
    <m/>
    <m/>
    <n v="0"/>
    <m/>
    <m/>
    <n v="0"/>
    <m/>
    <m/>
    <n v="0"/>
    <m/>
    <m/>
    <n v="0"/>
    <m/>
    <m/>
    <n v="0"/>
    <m/>
    <m/>
    <n v="0"/>
    <m/>
    <m/>
    <n v="0"/>
    <m/>
    <m/>
    <n v="0"/>
    <m/>
    <m/>
    <n v="0"/>
    <m/>
    <m/>
    <n v="0"/>
    <m/>
    <m/>
    <n v="0"/>
    <m/>
    <m/>
    <n v="0"/>
  </r>
  <r>
    <x v="11"/>
    <s v="Aiken Technical College "/>
    <n v="217615"/>
    <x v="7"/>
    <m/>
    <m/>
    <n v="0"/>
    <m/>
    <m/>
    <n v="0"/>
    <m/>
    <m/>
    <n v="0"/>
    <m/>
    <m/>
    <n v="0"/>
    <m/>
    <m/>
    <n v="0"/>
    <m/>
    <m/>
    <n v="0"/>
    <m/>
    <m/>
    <n v="0"/>
    <m/>
    <m/>
    <n v="0"/>
    <n v="57"/>
    <n v="47885"/>
    <n v="2729445"/>
    <n v="61"/>
    <n v="48905"/>
    <n v="2983205"/>
    <m/>
    <m/>
    <n v="0"/>
    <m/>
    <m/>
    <n v="0"/>
    <m/>
    <m/>
    <n v="0"/>
    <m/>
    <m/>
    <n v="0"/>
    <m/>
    <m/>
    <n v="0"/>
    <m/>
    <m/>
    <n v="0"/>
    <m/>
    <m/>
    <n v="0"/>
    <m/>
    <m/>
    <n v="0"/>
    <m/>
    <m/>
    <n v="0"/>
    <m/>
    <m/>
    <n v="0"/>
    <m/>
    <m/>
    <n v="0"/>
    <m/>
    <m/>
    <n v="0"/>
    <m/>
    <m/>
    <n v="0"/>
    <m/>
    <m/>
    <n v="0"/>
  </r>
  <r>
    <x v="11"/>
    <s v="Central Carolina Technical College "/>
    <n v="218858"/>
    <x v="7"/>
    <m/>
    <m/>
    <n v="0"/>
    <m/>
    <m/>
    <n v="0"/>
    <m/>
    <m/>
    <n v="0"/>
    <m/>
    <m/>
    <n v="0"/>
    <m/>
    <m/>
    <n v="0"/>
    <m/>
    <m/>
    <n v="0"/>
    <m/>
    <m/>
    <n v="0"/>
    <m/>
    <m/>
    <n v="0"/>
    <n v="81"/>
    <n v="43837"/>
    <n v="3550797"/>
    <n v="84"/>
    <n v="44455"/>
    <n v="3734220"/>
    <m/>
    <m/>
    <n v="0"/>
    <m/>
    <m/>
    <n v="0"/>
    <m/>
    <m/>
    <n v="0"/>
    <m/>
    <m/>
    <n v="0"/>
    <m/>
    <m/>
    <n v="0"/>
    <m/>
    <m/>
    <n v="0"/>
    <m/>
    <m/>
    <n v="0"/>
    <m/>
    <m/>
    <n v="0"/>
    <m/>
    <m/>
    <n v="0"/>
    <m/>
    <m/>
    <n v="0"/>
    <m/>
    <m/>
    <n v="0"/>
    <m/>
    <m/>
    <n v="0"/>
    <m/>
    <m/>
    <n v="0"/>
    <m/>
    <m/>
    <n v="0"/>
  </r>
  <r>
    <x v="11"/>
    <s v="Florence-Darlington Technical College "/>
    <n v="218025"/>
    <x v="7"/>
    <m/>
    <m/>
    <n v="0"/>
    <m/>
    <m/>
    <n v="0"/>
    <m/>
    <m/>
    <n v="0"/>
    <m/>
    <m/>
    <n v="0"/>
    <m/>
    <m/>
    <n v="0"/>
    <m/>
    <m/>
    <n v="0"/>
    <m/>
    <m/>
    <n v="0"/>
    <m/>
    <m/>
    <n v="0"/>
    <n v="100"/>
    <n v="49201"/>
    <n v="4920100"/>
    <n v="103"/>
    <n v="49540"/>
    <n v="5102620"/>
    <m/>
    <m/>
    <n v="0"/>
    <m/>
    <m/>
    <n v="0"/>
    <m/>
    <m/>
    <n v="0"/>
    <m/>
    <m/>
    <n v="0"/>
    <m/>
    <m/>
    <n v="0"/>
    <m/>
    <m/>
    <n v="0"/>
    <m/>
    <m/>
    <n v="0"/>
    <m/>
    <m/>
    <n v="0"/>
    <m/>
    <m/>
    <n v="0"/>
    <m/>
    <m/>
    <n v="0"/>
    <m/>
    <m/>
    <n v="0"/>
    <m/>
    <m/>
    <n v="0"/>
    <m/>
    <m/>
    <n v="0"/>
    <m/>
    <m/>
    <n v="0"/>
  </r>
  <r>
    <x v="11"/>
    <s v="Horry-Georgetown Technical College "/>
    <n v="218140"/>
    <x v="7"/>
    <m/>
    <m/>
    <n v="0"/>
    <m/>
    <m/>
    <n v="0"/>
    <m/>
    <m/>
    <n v="0"/>
    <m/>
    <m/>
    <n v="0"/>
    <m/>
    <m/>
    <n v="0"/>
    <m/>
    <m/>
    <n v="0"/>
    <m/>
    <m/>
    <n v="0"/>
    <m/>
    <m/>
    <n v="0"/>
    <n v="134"/>
    <n v="48974"/>
    <n v="6562516"/>
    <n v="138"/>
    <n v="49291"/>
    <n v="6802158"/>
    <m/>
    <m/>
    <n v="0"/>
    <m/>
    <m/>
    <n v="0"/>
    <m/>
    <m/>
    <n v="0"/>
    <m/>
    <m/>
    <n v="0"/>
    <m/>
    <m/>
    <n v="0"/>
    <m/>
    <m/>
    <n v="0"/>
    <m/>
    <m/>
    <n v="0"/>
    <m/>
    <m/>
    <n v="0"/>
    <m/>
    <m/>
    <n v="0"/>
    <m/>
    <m/>
    <n v="0"/>
    <m/>
    <m/>
    <n v="0"/>
    <m/>
    <m/>
    <n v="0"/>
    <m/>
    <m/>
    <n v="0"/>
    <m/>
    <m/>
    <n v="0"/>
  </r>
  <r>
    <x v="11"/>
    <s v="Orangeburg-Calhoun Technical College "/>
    <n v="218487"/>
    <x v="7"/>
    <m/>
    <m/>
    <n v="0"/>
    <m/>
    <m/>
    <n v="0"/>
    <m/>
    <m/>
    <n v="0"/>
    <m/>
    <m/>
    <n v="0"/>
    <m/>
    <m/>
    <n v="0"/>
    <m/>
    <m/>
    <n v="0"/>
    <m/>
    <m/>
    <n v="0"/>
    <m/>
    <m/>
    <n v="0"/>
    <n v="84"/>
    <n v="43585"/>
    <n v="3661140"/>
    <n v="82"/>
    <n v="43705"/>
    <n v="3583810"/>
    <m/>
    <m/>
    <n v="0"/>
    <m/>
    <m/>
    <n v="0"/>
    <m/>
    <m/>
    <n v="0"/>
    <m/>
    <m/>
    <n v="0"/>
    <m/>
    <m/>
    <n v="0"/>
    <m/>
    <m/>
    <n v="0"/>
    <m/>
    <m/>
    <n v="0"/>
    <m/>
    <m/>
    <n v="0"/>
    <m/>
    <m/>
    <n v="0"/>
    <m/>
    <m/>
    <n v="0"/>
    <m/>
    <m/>
    <n v="0"/>
    <m/>
    <m/>
    <n v="0"/>
    <m/>
    <m/>
    <n v="0"/>
    <m/>
    <m/>
    <n v="0"/>
  </r>
  <r>
    <x v="11"/>
    <s v="Piedmont Technical College "/>
    <n v="218520"/>
    <x v="7"/>
    <m/>
    <m/>
    <n v="0"/>
    <m/>
    <m/>
    <n v="0"/>
    <m/>
    <m/>
    <n v="0"/>
    <m/>
    <m/>
    <n v="0"/>
    <m/>
    <m/>
    <n v="0"/>
    <m/>
    <m/>
    <n v="0"/>
    <m/>
    <m/>
    <n v="0"/>
    <m/>
    <m/>
    <n v="0"/>
    <n v="115"/>
    <n v="43122"/>
    <n v="4959030"/>
    <n v="118"/>
    <n v="42799"/>
    <n v="5050282"/>
    <m/>
    <m/>
    <n v="0"/>
    <m/>
    <m/>
    <n v="0"/>
    <m/>
    <m/>
    <n v="0"/>
    <m/>
    <m/>
    <n v="0"/>
    <m/>
    <m/>
    <n v="0"/>
    <m/>
    <m/>
    <n v="0"/>
    <m/>
    <m/>
    <n v="0"/>
    <m/>
    <m/>
    <n v="0"/>
    <m/>
    <m/>
    <n v="0"/>
    <m/>
    <m/>
    <n v="0"/>
    <m/>
    <m/>
    <n v="0"/>
    <m/>
    <m/>
    <n v="0"/>
    <m/>
    <m/>
    <n v="0"/>
    <m/>
    <m/>
    <n v="0"/>
  </r>
  <r>
    <x v="11"/>
    <s v="Spartanburg Technical College "/>
    <n v="218830"/>
    <x v="7"/>
    <m/>
    <m/>
    <n v="0"/>
    <m/>
    <m/>
    <n v="0"/>
    <m/>
    <m/>
    <n v="0"/>
    <m/>
    <m/>
    <n v="0"/>
    <m/>
    <m/>
    <n v="0"/>
    <m/>
    <m/>
    <n v="0"/>
    <m/>
    <m/>
    <n v="0"/>
    <m/>
    <m/>
    <n v="0"/>
    <n v="103"/>
    <n v="44113"/>
    <n v="4543639"/>
    <n v="113"/>
    <n v="45687"/>
    <n v="5162631"/>
    <m/>
    <m/>
    <n v="0"/>
    <m/>
    <m/>
    <n v="0"/>
    <m/>
    <m/>
    <n v="0"/>
    <m/>
    <m/>
    <n v="0"/>
    <m/>
    <m/>
    <n v="0"/>
    <m/>
    <m/>
    <n v="0"/>
    <m/>
    <m/>
    <n v="0"/>
    <m/>
    <m/>
    <n v="0"/>
    <m/>
    <m/>
    <n v="0"/>
    <m/>
    <m/>
    <n v="0"/>
    <m/>
    <m/>
    <n v="0"/>
    <m/>
    <m/>
    <n v="0"/>
    <m/>
    <m/>
    <n v="0"/>
    <m/>
    <m/>
    <n v="0"/>
  </r>
  <r>
    <x v="11"/>
    <s v="Tri-County Technical College "/>
    <n v="218885"/>
    <x v="7"/>
    <m/>
    <m/>
    <n v="0"/>
    <m/>
    <m/>
    <n v="0"/>
    <m/>
    <m/>
    <n v="0"/>
    <m/>
    <m/>
    <n v="0"/>
    <m/>
    <m/>
    <n v="0"/>
    <m/>
    <m/>
    <n v="0"/>
    <m/>
    <m/>
    <n v="0"/>
    <m/>
    <m/>
    <n v="0"/>
    <n v="115"/>
    <n v="44450"/>
    <n v="5111750"/>
    <n v="112"/>
    <n v="44801"/>
    <n v="5017712"/>
    <m/>
    <m/>
    <n v="0"/>
    <m/>
    <m/>
    <n v="0"/>
    <m/>
    <m/>
    <n v="0"/>
    <m/>
    <m/>
    <n v="0"/>
    <m/>
    <m/>
    <n v="0"/>
    <m/>
    <m/>
    <n v="0"/>
    <m/>
    <m/>
    <n v="0"/>
    <m/>
    <m/>
    <n v="0"/>
    <m/>
    <m/>
    <n v="0"/>
    <m/>
    <m/>
    <n v="0"/>
    <m/>
    <m/>
    <n v="0"/>
    <m/>
    <m/>
    <n v="0"/>
    <m/>
    <m/>
    <n v="0"/>
    <m/>
    <m/>
    <n v="0"/>
  </r>
  <r>
    <x v="11"/>
    <s v="York Technical College "/>
    <n v="218991"/>
    <x v="7"/>
    <m/>
    <m/>
    <n v="0"/>
    <m/>
    <m/>
    <n v="0"/>
    <m/>
    <m/>
    <n v="0"/>
    <m/>
    <m/>
    <n v="0"/>
    <m/>
    <m/>
    <n v="0"/>
    <m/>
    <m/>
    <n v="0"/>
    <m/>
    <m/>
    <n v="0"/>
    <m/>
    <m/>
    <n v="0"/>
    <n v="119"/>
    <n v="48187"/>
    <n v="5734253"/>
    <n v="120"/>
    <n v="47820"/>
    <n v="5738400"/>
    <m/>
    <m/>
    <n v="0"/>
    <m/>
    <m/>
    <n v="0"/>
    <m/>
    <m/>
    <n v="0"/>
    <m/>
    <m/>
    <n v="0"/>
    <m/>
    <m/>
    <n v="0"/>
    <m/>
    <m/>
    <n v="0"/>
    <m/>
    <m/>
    <n v="0"/>
    <m/>
    <m/>
    <n v="0"/>
    <m/>
    <m/>
    <n v="0"/>
    <m/>
    <m/>
    <n v="0"/>
    <m/>
    <m/>
    <n v="0"/>
    <m/>
    <m/>
    <n v="0"/>
    <m/>
    <m/>
    <n v="0"/>
    <m/>
    <m/>
    <n v="0"/>
  </r>
  <r>
    <x v="11"/>
    <s v="Denmark Technical College "/>
    <n v="217989"/>
    <x v="8"/>
    <m/>
    <m/>
    <n v="0"/>
    <m/>
    <m/>
    <n v="0"/>
    <m/>
    <m/>
    <n v="0"/>
    <m/>
    <m/>
    <n v="0"/>
    <m/>
    <m/>
    <n v="0"/>
    <m/>
    <m/>
    <n v="0"/>
    <m/>
    <m/>
    <n v="0"/>
    <m/>
    <m/>
    <n v="0"/>
    <n v="39"/>
    <n v="38981"/>
    <n v="1520259"/>
    <n v="39"/>
    <n v="39230"/>
    <n v="1529970"/>
    <m/>
    <m/>
    <n v="0"/>
    <m/>
    <m/>
    <n v="0"/>
    <m/>
    <m/>
    <n v="0"/>
    <m/>
    <m/>
    <n v="0"/>
    <m/>
    <m/>
    <n v="0"/>
    <m/>
    <m/>
    <n v="0"/>
    <m/>
    <m/>
    <n v="0"/>
    <m/>
    <m/>
    <n v="0"/>
    <m/>
    <m/>
    <n v="0"/>
    <m/>
    <m/>
    <n v="0"/>
    <m/>
    <m/>
    <n v="0"/>
    <m/>
    <m/>
    <n v="0"/>
    <m/>
    <m/>
    <n v="0"/>
    <m/>
    <m/>
    <n v="0"/>
  </r>
  <r>
    <x v="11"/>
    <s v="Northeastern Technical College"/>
    <n v="217837"/>
    <x v="8"/>
    <m/>
    <m/>
    <n v="0"/>
    <m/>
    <m/>
    <n v="0"/>
    <m/>
    <m/>
    <n v="0"/>
    <m/>
    <m/>
    <n v="0"/>
    <m/>
    <m/>
    <n v="0"/>
    <m/>
    <m/>
    <n v="0"/>
    <m/>
    <m/>
    <n v="0"/>
    <m/>
    <m/>
    <n v="0"/>
    <n v="30"/>
    <n v="37932"/>
    <n v="1137960"/>
    <n v="30"/>
    <n v="36650"/>
    <n v="1099500"/>
    <m/>
    <m/>
    <n v="0"/>
    <m/>
    <m/>
    <n v="0"/>
    <m/>
    <m/>
    <n v="0"/>
    <m/>
    <m/>
    <n v="0"/>
    <m/>
    <m/>
    <n v="0"/>
    <m/>
    <m/>
    <n v="0"/>
    <m/>
    <m/>
    <n v="0"/>
    <m/>
    <m/>
    <n v="0"/>
    <m/>
    <m/>
    <n v="0"/>
    <m/>
    <m/>
    <n v="0"/>
    <m/>
    <m/>
    <n v="0"/>
    <m/>
    <m/>
    <n v="0"/>
    <m/>
    <m/>
    <n v="0"/>
    <m/>
    <m/>
    <n v="0"/>
  </r>
  <r>
    <x v="11"/>
    <s v="Technical College of the Lowcountry"/>
    <n v="217712"/>
    <x v="8"/>
    <m/>
    <m/>
    <n v="0"/>
    <m/>
    <m/>
    <n v="0"/>
    <m/>
    <m/>
    <n v="0"/>
    <m/>
    <m/>
    <n v="0"/>
    <m/>
    <m/>
    <n v="0"/>
    <m/>
    <m/>
    <n v="0"/>
    <m/>
    <m/>
    <n v="0"/>
    <m/>
    <m/>
    <n v="0"/>
    <n v="47"/>
    <n v="49978"/>
    <n v="2348966"/>
    <n v="48"/>
    <n v="49808"/>
    <n v="2390784"/>
    <m/>
    <m/>
    <n v="0"/>
    <m/>
    <m/>
    <n v="0"/>
    <m/>
    <m/>
    <n v="0"/>
    <m/>
    <m/>
    <n v="0"/>
    <m/>
    <m/>
    <n v="0"/>
    <m/>
    <m/>
    <n v="0"/>
    <m/>
    <m/>
    <n v="0"/>
    <m/>
    <m/>
    <n v="0"/>
    <m/>
    <m/>
    <n v="0"/>
    <m/>
    <m/>
    <n v="0"/>
    <m/>
    <m/>
    <n v="0"/>
    <m/>
    <m/>
    <n v="0"/>
    <m/>
    <m/>
    <n v="0"/>
    <m/>
    <m/>
    <n v="0"/>
  </r>
  <r>
    <x v="11"/>
    <s v="University of South Carolina-Lancaster"/>
    <n v="218672"/>
    <x v="8"/>
    <n v="3"/>
    <n v="64857"/>
    <n v="194571"/>
    <n v="5"/>
    <n v="62994"/>
    <n v="314970"/>
    <n v="6"/>
    <n v="57126"/>
    <n v="342756"/>
    <n v="4"/>
    <n v="57679"/>
    <n v="230716"/>
    <n v="13"/>
    <n v="47000"/>
    <n v="611000"/>
    <n v="19"/>
    <n v="46745"/>
    <n v="888155"/>
    <n v="15"/>
    <n v="41898"/>
    <n v="628470"/>
    <n v="17"/>
    <n v="46008"/>
    <n v="782136"/>
    <m/>
    <m/>
    <n v="0"/>
    <m/>
    <m/>
    <n v="0"/>
    <m/>
    <m/>
    <n v="0"/>
    <m/>
    <m/>
    <n v="0"/>
    <m/>
    <m/>
    <n v="0"/>
    <m/>
    <m/>
    <n v="0"/>
    <n v="1"/>
    <n v="79715"/>
    <n v="65222.813000000002"/>
    <n v="1"/>
    <n v="80492"/>
    <n v="65858.554400000008"/>
    <m/>
    <m/>
    <n v="0"/>
    <n v="1"/>
    <n v="67556"/>
    <n v="55274.319200000005"/>
    <n v="1"/>
    <n v="53322"/>
    <n v="43628.060400000002"/>
    <n v="1"/>
    <n v="40400"/>
    <n v="33055.279999999999"/>
    <m/>
    <m/>
    <n v="0"/>
    <m/>
    <m/>
    <n v="0"/>
    <m/>
    <m/>
    <n v="0"/>
    <m/>
    <m/>
    <n v="0"/>
  </r>
  <r>
    <x v="11"/>
    <s v="University of South Carolina-Salkehatchie"/>
    <n v="218681"/>
    <x v="8"/>
    <n v="1"/>
    <n v="56690"/>
    <n v="56690"/>
    <n v="1"/>
    <n v="57256"/>
    <n v="57256"/>
    <n v="3"/>
    <n v="50902"/>
    <n v="152706"/>
    <n v="2"/>
    <n v="50883"/>
    <n v="101766"/>
    <n v="8"/>
    <n v="43146"/>
    <n v="345168"/>
    <n v="7"/>
    <n v="44393"/>
    <n v="310751"/>
    <n v="4"/>
    <n v="40234"/>
    <n v="160936"/>
    <n v="6"/>
    <n v="42341"/>
    <n v="254046"/>
    <m/>
    <m/>
    <n v="0"/>
    <m/>
    <m/>
    <n v="0"/>
    <m/>
    <m/>
    <n v="0"/>
    <m/>
    <m/>
    <n v="0"/>
    <m/>
    <m/>
    <n v="0"/>
    <m/>
    <m/>
    <n v="0"/>
    <n v="1"/>
    <n v="42477"/>
    <n v="34754.681400000001"/>
    <n v="1"/>
    <n v="42901"/>
    <n v="35101.5982"/>
    <m/>
    <m/>
    <n v="0"/>
    <m/>
    <m/>
    <n v="0"/>
    <n v="0"/>
    <m/>
    <n v="0"/>
    <n v="1"/>
    <n v="53855"/>
    <n v="44064.161"/>
    <n v="1"/>
    <n v="81007"/>
    <n v="66279.9274"/>
    <n v="1"/>
    <n v="84817"/>
    <n v="69397.269400000005"/>
    <m/>
    <m/>
    <n v="0"/>
    <m/>
    <m/>
    <n v="0"/>
  </r>
  <r>
    <x v="11"/>
    <s v="University of South Carolina-Sumter"/>
    <n v="218690"/>
    <x v="8"/>
    <n v="8"/>
    <n v="64438"/>
    <n v="515504"/>
    <n v="7"/>
    <n v="65533"/>
    <n v="458731"/>
    <n v="13"/>
    <n v="57199"/>
    <n v="743587"/>
    <n v="15"/>
    <n v="56947"/>
    <n v="854205"/>
    <n v="9"/>
    <n v="47383"/>
    <n v="426447"/>
    <n v="10"/>
    <n v="46381"/>
    <n v="463810"/>
    <n v="9"/>
    <n v="33374"/>
    <n v="300366"/>
    <n v="16"/>
    <n v="33858"/>
    <n v="541728"/>
    <m/>
    <m/>
    <n v="0"/>
    <m/>
    <m/>
    <n v="0"/>
    <m/>
    <m/>
    <n v="0"/>
    <m/>
    <m/>
    <n v="0"/>
    <n v="2"/>
    <n v="86729"/>
    <n v="141923.33560000002"/>
    <n v="2"/>
    <n v="88050"/>
    <n v="144085.02000000002"/>
    <n v="2"/>
    <n v="77602"/>
    <n v="126987.91280000001"/>
    <n v="2"/>
    <n v="78311"/>
    <n v="128148.1204"/>
    <m/>
    <m/>
    <n v="0"/>
    <m/>
    <m/>
    <n v="0"/>
    <n v="1"/>
    <n v="42167"/>
    <n v="34501.039400000001"/>
    <m/>
    <m/>
    <n v="0"/>
    <m/>
    <m/>
    <n v="0"/>
    <m/>
    <m/>
    <n v="0"/>
    <m/>
    <m/>
    <n v="0"/>
    <m/>
    <m/>
    <n v="0"/>
  </r>
  <r>
    <x v="11"/>
    <s v="University of South Carolina-Union"/>
    <n v="218706"/>
    <x v="8"/>
    <m/>
    <m/>
    <n v="0"/>
    <n v="0"/>
    <m/>
    <n v="0"/>
    <m/>
    <m/>
    <n v="0"/>
    <m/>
    <m/>
    <n v="0"/>
    <n v="3"/>
    <n v="45472"/>
    <n v="136416"/>
    <n v="3"/>
    <n v="45926"/>
    <n v="137778"/>
    <n v="3"/>
    <n v="44593"/>
    <n v="133779"/>
    <n v="4"/>
    <n v="45810"/>
    <n v="183240"/>
    <m/>
    <m/>
    <n v="0"/>
    <m/>
    <m/>
    <n v="0"/>
    <m/>
    <m/>
    <n v="0"/>
    <m/>
    <m/>
    <n v="0"/>
    <m/>
    <m/>
    <n v="0"/>
    <m/>
    <m/>
    <n v="0"/>
    <m/>
    <m/>
    <n v="0"/>
    <m/>
    <m/>
    <n v="0"/>
    <m/>
    <m/>
    <n v="0"/>
    <m/>
    <m/>
    <n v="0"/>
    <m/>
    <m/>
    <n v="0"/>
    <n v="1"/>
    <n v="42588"/>
    <n v="34845.501600000003"/>
    <m/>
    <m/>
    <n v="0"/>
    <m/>
    <m/>
    <n v="0"/>
    <m/>
    <m/>
    <n v="0"/>
    <m/>
    <m/>
    <n v="0"/>
  </r>
  <r>
    <x v="11"/>
    <s v="Willamsburg Technical College "/>
    <n v="218955"/>
    <x v="8"/>
    <m/>
    <m/>
    <n v="0"/>
    <m/>
    <m/>
    <n v="0"/>
    <m/>
    <m/>
    <n v="0"/>
    <m/>
    <m/>
    <n v="0"/>
    <m/>
    <m/>
    <n v="0"/>
    <m/>
    <m/>
    <n v="0"/>
    <m/>
    <m/>
    <n v="0"/>
    <m/>
    <m/>
    <n v="0"/>
    <n v="19"/>
    <n v="34423"/>
    <n v="654037"/>
    <n v="19"/>
    <m/>
    <n v="0"/>
    <m/>
    <m/>
    <n v="0"/>
    <m/>
    <m/>
    <n v="0"/>
    <m/>
    <m/>
    <n v="0"/>
    <m/>
    <m/>
    <n v="0"/>
    <m/>
    <m/>
    <n v="0"/>
    <m/>
    <m/>
    <n v="0"/>
    <m/>
    <m/>
    <n v="0"/>
    <m/>
    <m/>
    <n v="0"/>
    <m/>
    <m/>
    <n v="0"/>
    <m/>
    <m/>
    <n v="0"/>
    <m/>
    <m/>
    <n v="0"/>
    <m/>
    <m/>
    <n v="0"/>
    <m/>
    <m/>
    <n v="0"/>
    <m/>
    <m/>
    <n v="0"/>
  </r>
  <r>
    <x v="12"/>
    <s v="University of Tennessee, Knoxville"/>
    <n v="221759"/>
    <x v="0"/>
    <n v="376"/>
    <n v="104730.24468085106"/>
    <n v="39378572"/>
    <n v="373"/>
    <n v="101276"/>
    <n v="37775948"/>
    <n v="282"/>
    <n v="77178.570921985811"/>
    <n v="21764357"/>
    <n v="286"/>
    <n v="76797.489510489511"/>
    <n v="21964082"/>
    <n v="278"/>
    <n v="63953.647482014385"/>
    <n v="17779114"/>
    <n v="275"/>
    <n v="63306.163636363635"/>
    <n v="17409195"/>
    <n v="24"/>
    <n v="50289.833333333336"/>
    <n v="1206956"/>
    <n v="16"/>
    <n v="49040.25"/>
    <n v="784644"/>
    <n v="207"/>
    <n v="38265.270531400965"/>
    <n v="7920911"/>
    <n v="196"/>
    <n v="37715.765306122448"/>
    <n v="7392290"/>
    <m/>
    <m/>
    <n v="0"/>
    <m/>
    <m/>
    <n v="0"/>
    <n v="142"/>
    <n v="125745.78169014085"/>
    <n v="14609698.1982"/>
    <n v="156"/>
    <n v="121201.80128205128"/>
    <n v="15470100.954200001"/>
    <n v="112"/>
    <n v="99915.919642857145"/>
    <n v="9156135.0106000006"/>
    <n v="115"/>
    <n v="97123.156521739133"/>
    <n v="9138609.1666000001"/>
    <n v="106"/>
    <n v="86147.60377358491"/>
    <n v="7471512.7572000008"/>
    <n v="114"/>
    <n v="84196.175438596489"/>
    <n v="7853381.4248000002"/>
    <n v="24"/>
    <n v="59462.083333333336"/>
    <n v="1167645.0379999999"/>
    <n v="22"/>
    <n v="64018"/>
    <n v="1152349.6072"/>
    <n v="25"/>
    <n v="42720.480000000003"/>
    <n v="873847.41840000008"/>
    <n v="27"/>
    <n v="47400.296296296299"/>
    <n v="1047138.9056000001"/>
    <m/>
    <m/>
    <n v="0"/>
    <m/>
    <m/>
    <n v="0"/>
  </r>
  <r>
    <x v="12"/>
    <s v="University of Memphis"/>
    <n v="220862"/>
    <x v="1"/>
    <n v="235"/>
    <n v="93880.94042553191"/>
    <n v="22062021"/>
    <n v="234"/>
    <n v="93989.162393162391"/>
    <n v="21993464"/>
    <n v="216"/>
    <n v="69634.620370370365"/>
    <n v="15041077.999999998"/>
    <n v="231"/>
    <n v="70466.155844155845"/>
    <n v="16277682"/>
    <n v="234"/>
    <n v="59180.431623931625"/>
    <n v="13848221"/>
    <n v="227"/>
    <n v="59716.387665198235"/>
    <n v="13555620"/>
    <n v="95"/>
    <n v="40692.947368421053"/>
    <n v="3865830"/>
    <n v="95"/>
    <n v="40769.863157894739"/>
    <n v="3873137"/>
    <n v="20"/>
    <n v="42663.65"/>
    <n v="853273"/>
    <n v="23"/>
    <n v="44104.086956521736"/>
    <n v="1014393.9999999999"/>
    <m/>
    <m/>
    <n v="0"/>
    <m/>
    <m/>
    <n v="0"/>
    <n v="19"/>
    <n v="126156.31578947368"/>
    <n v="1961200.8540000001"/>
    <n v="23"/>
    <n v="140021.21739130435"/>
    <n v="2635003.2816000003"/>
    <n v="18"/>
    <n v="67823.5"/>
    <n v="998877.37860000005"/>
    <n v="19"/>
    <n v="77558.421052631573"/>
    <n v="1205707.702"/>
    <n v="14"/>
    <n v="59770.357142857145"/>
    <n v="684657.48700000008"/>
    <n v="15"/>
    <n v="60252.133333333331"/>
    <n v="739474.43240000005"/>
    <n v="11"/>
    <n v="50967"/>
    <n v="458713.19340000005"/>
    <n v="7"/>
    <n v="88820.142857142855"/>
    <n v="508708.48620000004"/>
    <n v="6"/>
    <n v="41784.166666666664"/>
    <n v="205126.83100000001"/>
    <n v="5"/>
    <n v="36675"/>
    <n v="150037.42500000002"/>
    <m/>
    <m/>
    <n v="0"/>
    <m/>
    <m/>
    <n v="0"/>
  </r>
  <r>
    <x v="12"/>
    <s v="East Tennessee State University "/>
    <n v="220075"/>
    <x v="2"/>
    <n v="96"/>
    <n v="73578.197916666672"/>
    <n v="7063507"/>
    <n v="93"/>
    <n v="72619.268817204298"/>
    <n v="6753592"/>
    <n v="117"/>
    <n v="58454.743589743586"/>
    <n v="6839205"/>
    <n v="116"/>
    <n v="58540.456896551725"/>
    <n v="6790693"/>
    <n v="160"/>
    <n v="50538.212500000001"/>
    <n v="8086114"/>
    <n v="160"/>
    <n v="50018.1"/>
    <n v="8002896"/>
    <n v="24"/>
    <n v="40015.75"/>
    <n v="960378"/>
    <n v="20"/>
    <n v="38767.9"/>
    <n v="775358"/>
    <n v="29"/>
    <n v="33766.931034482761"/>
    <n v="979241.00000000012"/>
    <n v="28"/>
    <n v="31684"/>
    <n v="887152"/>
    <m/>
    <m/>
    <n v="0"/>
    <m/>
    <m/>
    <n v="0"/>
    <n v="26"/>
    <n v="87779.269230769234"/>
    <n v="1867345.9502000001"/>
    <n v="29"/>
    <n v="91015.344827586203"/>
    <n v="2159593.8990000002"/>
    <n v="25"/>
    <n v="79761.72"/>
    <n v="1631525.9826"/>
    <n v="26"/>
    <n v="85613.961538461532"/>
    <n v="1821282.9266000001"/>
    <n v="16"/>
    <n v="61576.5625"/>
    <n v="806111.09500000009"/>
    <n v="28"/>
    <n v="76761.821428571435"/>
    <n v="1758582.6242000002"/>
    <n v="4"/>
    <n v="40693.75"/>
    <n v="133182.505"/>
    <n v="3"/>
    <n v="48000"/>
    <n v="117820.8"/>
    <n v="2"/>
    <n v="50000"/>
    <n v="81820"/>
    <n v="2"/>
    <n v="50000"/>
    <n v="81820"/>
    <m/>
    <m/>
    <n v="0"/>
    <m/>
    <m/>
    <n v="0"/>
  </r>
  <r>
    <x v="12"/>
    <s v="Middle Tennessee State University "/>
    <n v="220978"/>
    <x v="2"/>
    <n v="294"/>
    <n v="81555.265306122456"/>
    <n v="23977248.000000004"/>
    <n v="296"/>
    <n v="82322.341216216213"/>
    <n v="24367413"/>
    <n v="254"/>
    <n v="63048.433070866144"/>
    <n v="16014302"/>
    <n v="236"/>
    <n v="64355.987288135591"/>
    <n v="15188013"/>
    <n v="214"/>
    <n v="51695.17757009346"/>
    <n v="11062768"/>
    <n v="232"/>
    <n v="52586.336206896551"/>
    <n v="12200030"/>
    <n v="102"/>
    <n v="34522.049019607846"/>
    <n v="3521249.0000000005"/>
    <n v="90"/>
    <n v="35244.422222222223"/>
    <n v="3171998"/>
    <n v="0"/>
    <n v="0"/>
    <n v="0"/>
    <n v="0"/>
    <m/>
    <n v="0"/>
    <m/>
    <m/>
    <n v="0"/>
    <m/>
    <m/>
    <n v="0"/>
    <n v="1"/>
    <n v="114000"/>
    <n v="93274.8"/>
    <n v="2"/>
    <n v="102661"/>
    <n v="167994.46040000001"/>
    <n v="1"/>
    <n v="66950"/>
    <n v="54778.490000000005"/>
    <n v="1"/>
    <n v="66950"/>
    <n v="54778.490000000005"/>
    <n v="1"/>
    <n v="72448"/>
    <n v="59276.953600000001"/>
    <n v="1"/>
    <n v="72448"/>
    <n v="59276.953600000001"/>
    <n v="0"/>
    <n v="0"/>
    <n v="0"/>
    <n v="0"/>
    <m/>
    <n v="0"/>
    <n v="0"/>
    <n v="0"/>
    <n v="0"/>
    <n v="0"/>
    <m/>
    <n v="0"/>
    <m/>
    <m/>
    <n v="0"/>
    <m/>
    <m/>
    <n v="0"/>
  </r>
  <r>
    <x v="12"/>
    <s v="Tennessee State University "/>
    <n v="221838"/>
    <x v="2"/>
    <n v="105"/>
    <n v="72224.552380952387"/>
    <n v="7583578.0000000009"/>
    <n v="103"/>
    <n v="72921.456310679612"/>
    <n v="7510910"/>
    <n v="95"/>
    <n v="54329.568421052631"/>
    <n v="5161309"/>
    <n v="93"/>
    <n v="57342.483870967742"/>
    <n v="5332851"/>
    <n v="117"/>
    <n v="49810.102564102563"/>
    <n v="5827782"/>
    <n v="122"/>
    <n v="49699.401639344265"/>
    <n v="6063327"/>
    <n v="23"/>
    <n v="43866.695652173912"/>
    <n v="1008934"/>
    <n v="35"/>
    <n v="40682.485714285714"/>
    <n v="1423887"/>
    <n v="30"/>
    <n v="51061.8"/>
    <n v="1531854"/>
    <n v="0"/>
    <m/>
    <n v="0"/>
    <m/>
    <m/>
    <n v="0"/>
    <m/>
    <m/>
    <n v="0"/>
    <n v="9"/>
    <n v="97749"/>
    <n v="719804.08620000002"/>
    <n v="10"/>
    <n v="84349"/>
    <n v="690143.51800000004"/>
    <n v="12"/>
    <n v="72401.75"/>
    <n v="710869.34220000007"/>
    <n v="23"/>
    <n v="66783.739130434784"/>
    <n v="1256776.4732000001"/>
    <n v="20"/>
    <n v="56192.15"/>
    <n v="919528.34260000009"/>
    <n v="40"/>
    <n v="55084.65"/>
    <n v="1802810.4252000002"/>
    <n v="6"/>
    <n v="46746.666666666664"/>
    <n v="229488.736"/>
    <n v="8"/>
    <n v="49268.25"/>
    <n v="322490.25719999999"/>
    <n v="26"/>
    <n v="57827.307692307695"/>
    <n v="1230171.882"/>
    <n v="0"/>
    <m/>
    <n v="0"/>
    <m/>
    <m/>
    <n v="0"/>
    <m/>
    <m/>
    <n v="0"/>
  </r>
  <r>
    <x v="12"/>
    <s v="University of Tennessee at Chattanooga"/>
    <n v="221740"/>
    <x v="2"/>
    <n v="117"/>
    <n v="81316.709401709406"/>
    <n v="9514055"/>
    <n v="121"/>
    <n v="83425.35537190082"/>
    <n v="10094468"/>
    <n v="76"/>
    <n v="65898.789473684214"/>
    <n v="5008308"/>
    <n v="79"/>
    <n v="65795.379746835446"/>
    <n v="5197835"/>
    <n v="78"/>
    <n v="53052.205128205125"/>
    <n v="4138072"/>
    <n v="75"/>
    <n v="53637.213333333333"/>
    <n v="4022791"/>
    <n v="6"/>
    <n v="40139.166666666664"/>
    <n v="240835"/>
    <n v="5"/>
    <n v="39063"/>
    <n v="195315"/>
    <n v="68"/>
    <n v="34873.5"/>
    <n v="2371398"/>
    <n v="75"/>
    <n v="36480.613333333335"/>
    <n v="2736046"/>
    <m/>
    <m/>
    <n v="0"/>
    <m/>
    <m/>
    <n v="0"/>
    <n v="11"/>
    <n v="120614.72727272728"/>
    <n v="1085556.6684000001"/>
    <n v="9"/>
    <n v="130951.66666666667"/>
    <n v="964301.88300000003"/>
    <n v="9"/>
    <n v="68588.222222222219"/>
    <n v="505069.95080000005"/>
    <n v="9"/>
    <n v="68954.888888888891"/>
    <n v="507770.01080000005"/>
    <n v="8"/>
    <n v="58263"/>
    <n v="381366.2928"/>
    <n v="10"/>
    <n v="61283"/>
    <n v="501417.50600000005"/>
    <n v="1"/>
    <n v="67980"/>
    <n v="55621.236000000004"/>
    <n v="1"/>
    <n v="38000"/>
    <n v="31091.600000000002"/>
    <m/>
    <m/>
    <n v="0"/>
    <n v="3"/>
    <n v="36700"/>
    <n v="90083.82"/>
    <m/>
    <m/>
    <n v="0"/>
    <m/>
    <m/>
    <n v="0"/>
  </r>
  <r>
    <x v="12"/>
    <s v="Austin Peay State University "/>
    <n v="219602"/>
    <x v="3"/>
    <n v="92"/>
    <n v="69534.978260869568"/>
    <n v="6397218"/>
    <n v="98"/>
    <n v="68901.306122448979"/>
    <n v="6752328"/>
    <n v="58"/>
    <n v="59945.879310344826"/>
    <n v="3476861"/>
    <n v="66"/>
    <n v="57095.606060606064"/>
    <n v="3768310"/>
    <n v="104"/>
    <n v="47386.519230769234"/>
    <n v="4928198"/>
    <n v="107"/>
    <n v="45495.82242990654"/>
    <n v="4868053"/>
    <n v="24"/>
    <n v="33801.125"/>
    <n v="811227"/>
    <n v="22"/>
    <n v="34028.227272727272"/>
    <n v="748621"/>
    <n v="4"/>
    <n v="34506"/>
    <n v="138024"/>
    <n v="5"/>
    <n v="33373.4"/>
    <n v="166867"/>
    <m/>
    <m/>
    <n v="0"/>
    <m/>
    <m/>
    <n v="0"/>
    <n v="3"/>
    <n v="88887.333333333328"/>
    <n v="218182.84840000002"/>
    <n v="3"/>
    <n v="90168"/>
    <n v="221326.37280000001"/>
    <n v="1"/>
    <n v="92098"/>
    <n v="75354.583599999998"/>
    <n v="1"/>
    <n v="92098"/>
    <n v="75354.583599999998"/>
    <n v="0"/>
    <n v="0"/>
    <n v="0"/>
    <n v="0"/>
    <m/>
    <n v="0"/>
    <n v="0"/>
    <n v="0"/>
    <n v="0"/>
    <n v="0"/>
    <m/>
    <n v="0"/>
    <m/>
    <m/>
    <n v="0"/>
    <m/>
    <m/>
    <n v="0"/>
    <m/>
    <m/>
    <n v="0"/>
    <m/>
    <m/>
    <n v="0"/>
  </r>
  <r>
    <x v="12"/>
    <s v="Tennessee Technological University "/>
    <n v="221847"/>
    <x v="3"/>
    <n v="143"/>
    <n v="76239.370629370635"/>
    <n v="10902230"/>
    <n v="144"/>
    <n v="77362.222222222219"/>
    <n v="11140160"/>
    <n v="86"/>
    <n v="62859.41860465116"/>
    <n v="5405910"/>
    <n v="79"/>
    <n v="64718.443037974685"/>
    <n v="5112757"/>
    <n v="88"/>
    <n v="51667.272727272728"/>
    <n v="4546720"/>
    <n v="88"/>
    <n v="52363.63636363636"/>
    <n v="4608000"/>
    <n v="41"/>
    <n v="37661.951219512193"/>
    <n v="1544140"/>
    <n v="45"/>
    <n v="38531.333333333336"/>
    <n v="1733910"/>
    <n v="0"/>
    <n v="0"/>
    <n v="0"/>
    <n v="0"/>
    <m/>
    <n v="0"/>
    <m/>
    <m/>
    <n v="0"/>
    <m/>
    <m/>
    <n v="0"/>
    <n v="2"/>
    <n v="84155"/>
    <n v="137711.242"/>
    <n v="3"/>
    <n v="82636.666666666672"/>
    <n v="202839.962"/>
    <n v="7"/>
    <n v="67295.71428571429"/>
    <n v="385429.47400000005"/>
    <n v="6"/>
    <n v="61688.333333333336"/>
    <n v="302840.36600000004"/>
    <n v="6"/>
    <n v="54493.333333333336"/>
    <n v="267518.67200000002"/>
    <n v="3"/>
    <n v="53700"/>
    <n v="131812.02000000002"/>
    <n v="0"/>
    <n v="0"/>
    <n v="0"/>
    <n v="0"/>
    <m/>
    <n v="0"/>
    <m/>
    <m/>
    <n v="0"/>
    <m/>
    <m/>
    <n v="0"/>
    <m/>
    <m/>
    <n v="0"/>
    <m/>
    <m/>
    <n v="0"/>
  </r>
  <r>
    <x v="12"/>
    <s v="University of Tennessee at Martin"/>
    <n v="221768"/>
    <x v="4"/>
    <n v="61"/>
    <n v="73793.901639344258"/>
    <n v="4501428"/>
    <n v="56"/>
    <n v="71310.017857142855"/>
    <n v="3993361"/>
    <n v="29"/>
    <n v="57458.793103448275"/>
    <n v="1666305"/>
    <n v="31"/>
    <n v="53656.06451612903"/>
    <n v="1663338"/>
    <n v="93"/>
    <n v="52612.913978494624"/>
    <n v="4893001"/>
    <n v="84"/>
    <n v="53241.75"/>
    <n v="4472307"/>
    <n v="22"/>
    <n v="45547.727272727272"/>
    <n v="1002050"/>
    <n v="21"/>
    <n v="44882.857142857145"/>
    <n v="942540"/>
    <n v="29"/>
    <n v="40941.103448275862"/>
    <n v="1187292"/>
    <n v="44"/>
    <n v="39375"/>
    <n v="1732500"/>
    <m/>
    <m/>
    <n v="0"/>
    <m/>
    <m/>
    <n v="0"/>
    <n v="16"/>
    <n v="94421.0625"/>
    <n v="1236085.0134000001"/>
    <n v="18"/>
    <n v="91169.222222222219"/>
    <n v="1342703.8372"/>
    <n v="8"/>
    <n v="71376"/>
    <n v="467198.74560000002"/>
    <n v="8"/>
    <n v="70150"/>
    <n v="459173.84"/>
    <n v="4"/>
    <n v="61455.5"/>
    <n v="201131.56040000002"/>
    <n v="3"/>
    <n v="63382.333333333336"/>
    <n v="155578.27540000001"/>
    <n v="3"/>
    <n v="48471.666666666664"/>
    <n v="118978.553"/>
    <n v="3"/>
    <n v="46218.333333333336"/>
    <n v="113447.52100000001"/>
    <m/>
    <m/>
    <n v="0"/>
    <m/>
    <m/>
    <n v="0"/>
    <m/>
    <m/>
    <n v="0"/>
    <m/>
    <m/>
    <n v="0"/>
  </r>
  <r>
    <x v="12"/>
    <s v="Chattanooga State Technical Community College "/>
    <n v="219824"/>
    <x v="6"/>
    <n v="19"/>
    <n v="58682.315789473687"/>
    <n v="1114964"/>
    <n v="19"/>
    <n v="59103.947368421053"/>
    <n v="1122975"/>
    <n v="76"/>
    <n v="49734.17105263158"/>
    <n v="3779797"/>
    <n v="78"/>
    <n v="49885.179487179485"/>
    <n v="3891044"/>
    <n v="36"/>
    <n v="43585.416666666664"/>
    <n v="1569075"/>
    <n v="33"/>
    <n v="44602.696969696968"/>
    <n v="1471889"/>
    <n v="21"/>
    <n v="41642.238095238092"/>
    <n v="874486.99999999988"/>
    <n v="21"/>
    <n v="42228.285714285717"/>
    <n v="886794.00000000012"/>
    <n v="0"/>
    <n v="0"/>
    <n v="0"/>
    <n v="1"/>
    <n v="46535"/>
    <n v="46535"/>
    <m/>
    <m/>
    <n v="0"/>
    <m/>
    <m/>
    <n v="0"/>
    <n v="2"/>
    <n v="73313.5"/>
    <n v="119970.2114"/>
    <n v="3"/>
    <n v="78324"/>
    <n v="192254.09040000002"/>
    <n v="12"/>
    <n v="62300.916666666664"/>
    <n v="611695.32020000007"/>
    <n v="13"/>
    <n v="64099.230769230766"/>
    <n v="681797.87800000003"/>
    <n v="8"/>
    <n v="55126.75"/>
    <n v="360837.65480000002"/>
    <n v="9"/>
    <n v="55950.444444444445"/>
    <n v="412007.88280000002"/>
    <n v="36"/>
    <n v="49333.694444444445"/>
    <n v="1453133.8366"/>
    <n v="35"/>
    <n v="48108.6"/>
    <n v="1377685.9782"/>
    <m/>
    <m/>
    <n v="0"/>
    <m/>
    <m/>
    <n v="0"/>
    <m/>
    <m/>
    <n v="0"/>
    <m/>
    <m/>
    <n v="0"/>
  </r>
  <r>
    <x v="12"/>
    <s v="Pellissippi State Technical Community College"/>
    <n v="221643"/>
    <x v="6"/>
    <n v="35"/>
    <n v="57575.199999999997"/>
    <n v="2015132"/>
    <n v="37"/>
    <n v="58799.729729729726"/>
    <n v="2175590"/>
    <n v="117"/>
    <n v="49839.51282051282"/>
    <n v="5831223"/>
    <n v="111"/>
    <n v="50799.189189189186"/>
    <n v="5638710"/>
    <n v="14"/>
    <n v="42282.857142857145"/>
    <n v="591960"/>
    <n v="15"/>
    <n v="41317.333333333336"/>
    <n v="619760"/>
    <n v="20"/>
    <n v="38707.15"/>
    <n v="774143"/>
    <n v="22"/>
    <n v="36030.909090909088"/>
    <n v="792680"/>
    <n v="4"/>
    <n v="37440"/>
    <n v="149760"/>
    <m/>
    <m/>
    <n v="0"/>
    <m/>
    <m/>
    <n v="0"/>
    <m/>
    <m/>
    <n v="0"/>
    <n v="0"/>
    <n v="0"/>
    <n v="0"/>
    <n v="0"/>
    <m/>
    <n v="0"/>
    <n v="0"/>
    <n v="0"/>
    <n v="0"/>
    <n v="0"/>
    <m/>
    <n v="0"/>
    <n v="0"/>
    <n v="0"/>
    <n v="0"/>
    <n v="0"/>
    <m/>
    <n v="0"/>
    <n v="0"/>
    <n v="0"/>
    <n v="0"/>
    <n v="0"/>
    <m/>
    <n v="0"/>
    <m/>
    <m/>
    <n v="0"/>
    <m/>
    <m/>
    <n v="0"/>
    <m/>
    <m/>
    <n v="0"/>
    <m/>
    <m/>
    <n v="0"/>
  </r>
  <r>
    <x v="12"/>
    <s v="Southwest Tennessee Community College"/>
    <n v="221485"/>
    <x v="6"/>
    <n v="16"/>
    <n v="61848.75"/>
    <n v="989580"/>
    <n v="20"/>
    <n v="61173.95"/>
    <n v="1223479"/>
    <n v="83"/>
    <n v="51352.337349397589"/>
    <n v="4262244"/>
    <n v="83"/>
    <n v="50411.566265060239"/>
    <n v="4184160"/>
    <n v="45"/>
    <n v="41238.400000000001"/>
    <n v="1855728"/>
    <n v="48"/>
    <n v="40708.75"/>
    <n v="1954020"/>
    <n v="29"/>
    <n v="36202.758620689652"/>
    <n v="1049880"/>
    <n v="32"/>
    <n v="36009.09375"/>
    <n v="1152291"/>
    <m/>
    <m/>
    <n v="0"/>
    <m/>
    <m/>
    <n v="0"/>
    <m/>
    <m/>
    <n v="0"/>
    <m/>
    <m/>
    <n v="0"/>
    <n v="13"/>
    <n v="78962.769230769234"/>
    <n v="839895.39120000007"/>
    <n v="12"/>
    <n v="75617"/>
    <n v="742437.95280000009"/>
    <n v="38"/>
    <n v="67671.15789473684"/>
    <n v="2104004.5728000002"/>
    <n v="38"/>
    <n v="66239.052631578947"/>
    <n v="2059478.1288000001"/>
    <n v="9"/>
    <n v="55164.888888888891"/>
    <n v="406223.20880000002"/>
    <n v="7"/>
    <n v="56703.428571428572"/>
    <n v="324763.21679999999"/>
    <n v="7"/>
    <n v="48955.714285714283"/>
    <n v="280388.95799999998"/>
    <n v="5"/>
    <n v="39950.400000000001"/>
    <n v="163437.0864"/>
    <m/>
    <m/>
    <n v="0"/>
    <m/>
    <m/>
    <n v="0"/>
    <m/>
    <m/>
    <n v="0"/>
    <m/>
    <m/>
    <n v="0"/>
  </r>
  <r>
    <x v="12"/>
    <s v="Cleveland State Community College "/>
    <n v="219879"/>
    <x v="7"/>
    <n v="4"/>
    <n v="56019"/>
    <n v="224076"/>
    <n v="5"/>
    <n v="56745.599999999999"/>
    <n v="283728"/>
    <n v="29"/>
    <n v="51046.34482758621"/>
    <n v="1480344"/>
    <n v="27"/>
    <n v="50503.407407407409"/>
    <n v="1363592"/>
    <n v="12"/>
    <n v="41445"/>
    <n v="497340"/>
    <n v="20"/>
    <n v="39967.4"/>
    <n v="799348"/>
    <n v="21"/>
    <n v="35124.952380952382"/>
    <n v="737624"/>
    <n v="13"/>
    <n v="34366.153846153844"/>
    <n v="446760"/>
    <m/>
    <m/>
    <n v="0"/>
    <m/>
    <m/>
    <n v="0"/>
    <m/>
    <m/>
    <n v="0"/>
    <m/>
    <m/>
    <n v="0"/>
    <n v="0"/>
    <n v="0"/>
    <n v="0"/>
    <n v="0"/>
    <m/>
    <n v="0"/>
    <n v="0"/>
    <n v="0"/>
    <n v="0"/>
    <n v="1"/>
    <n v="70156"/>
    <n v="57401.639200000005"/>
    <n v="1"/>
    <n v="69156"/>
    <n v="56583.439200000001"/>
    <n v="0"/>
    <m/>
    <n v="0"/>
    <n v="3"/>
    <n v="41976"/>
    <n v="103034.2896"/>
    <n v="3"/>
    <n v="44973.333333333336"/>
    <n v="110391.54400000001"/>
    <m/>
    <m/>
    <n v="0"/>
    <m/>
    <m/>
    <n v="0"/>
    <m/>
    <m/>
    <n v="0"/>
    <m/>
    <m/>
    <n v="0"/>
  </r>
  <r>
    <x v="12"/>
    <s v="Columbia State Community College "/>
    <n v="219888"/>
    <x v="7"/>
    <n v="15"/>
    <n v="68564.666666666672"/>
    <n v="1028470.0000000001"/>
    <n v="15"/>
    <n v="69414.666666666672"/>
    <n v="1041220.0000000001"/>
    <n v="31"/>
    <n v="52997.419354838712"/>
    <n v="1642920"/>
    <n v="35"/>
    <n v="52654.285714285717"/>
    <n v="1842900"/>
    <n v="25"/>
    <n v="41051.199999999997"/>
    <n v="1026279.9999999999"/>
    <n v="21"/>
    <n v="41147.142857142855"/>
    <n v="864090"/>
    <n v="13"/>
    <n v="35301.538461538461"/>
    <n v="458920"/>
    <n v="18"/>
    <n v="34386.666666666664"/>
    <n v="618960"/>
    <m/>
    <m/>
    <n v="0"/>
    <m/>
    <m/>
    <n v="0"/>
    <m/>
    <m/>
    <n v="0"/>
    <m/>
    <m/>
    <n v="0"/>
    <n v="1"/>
    <n v="95270"/>
    <n v="77949.914000000004"/>
    <n v="1"/>
    <n v="97680"/>
    <n v="79921.775999999998"/>
    <n v="3"/>
    <n v="72510"/>
    <n v="177983.046"/>
    <n v="3"/>
    <n v="76386.666666666672"/>
    <n v="187498.712"/>
    <n v="3"/>
    <n v="62660"/>
    <n v="153805.236"/>
    <n v="2"/>
    <n v="59790"/>
    <n v="97840.356"/>
    <n v="6"/>
    <n v="46450"/>
    <n v="228032.34"/>
    <n v="4"/>
    <n v="46255"/>
    <n v="151383.364"/>
    <m/>
    <m/>
    <n v="0"/>
    <m/>
    <m/>
    <n v="0"/>
    <m/>
    <m/>
    <n v="0"/>
    <m/>
    <m/>
    <n v="0"/>
  </r>
  <r>
    <x v="12"/>
    <s v="Jackson State Community College "/>
    <n v="220400"/>
    <x v="7"/>
    <n v="12"/>
    <n v="58422.666666666664"/>
    <n v="701072"/>
    <n v="10"/>
    <n v="60085.8"/>
    <n v="600858"/>
    <n v="38"/>
    <n v="48881.315789473687"/>
    <n v="1857490"/>
    <n v="37"/>
    <n v="48622.189189189186"/>
    <n v="1799021"/>
    <n v="32"/>
    <n v="41629.8125"/>
    <n v="1332154"/>
    <n v="33"/>
    <n v="42891.121212121216"/>
    <n v="1415407"/>
    <n v="7"/>
    <n v="39874"/>
    <n v="279118"/>
    <n v="8"/>
    <n v="43234.5"/>
    <n v="345876"/>
    <m/>
    <m/>
    <n v="0"/>
    <m/>
    <m/>
    <n v="0"/>
    <m/>
    <m/>
    <n v="0"/>
    <m/>
    <m/>
    <n v="0"/>
    <n v="1"/>
    <n v="79567"/>
    <n v="65101.719400000002"/>
    <n v="2"/>
    <n v="75080"/>
    <n v="122860.91200000001"/>
    <n v="12"/>
    <n v="62946.666666666664"/>
    <n v="618035.55200000003"/>
    <n v="8"/>
    <n v="65431.625"/>
    <n v="428289.24460000003"/>
    <n v="6"/>
    <n v="55199.333333333336"/>
    <n v="270984.56719999999"/>
    <n v="6"/>
    <n v="51769.333333333336"/>
    <n v="254146.01120000001"/>
    <n v="1"/>
    <n v="47358"/>
    <n v="38748.315600000002"/>
    <n v="1"/>
    <n v="47358"/>
    <n v="38748.315600000002"/>
    <m/>
    <m/>
    <n v="0"/>
    <m/>
    <m/>
    <n v="0"/>
    <m/>
    <m/>
    <n v="0"/>
    <m/>
    <m/>
    <n v="0"/>
  </r>
  <r>
    <x v="12"/>
    <s v="Motlow State Community College "/>
    <n v="221096"/>
    <x v="7"/>
    <n v="10"/>
    <n v="68501"/>
    <n v="685010"/>
    <n v="10"/>
    <n v="68501"/>
    <n v="685010"/>
    <n v="26"/>
    <n v="48398.115384615383"/>
    <n v="1258351"/>
    <n v="28"/>
    <n v="48215.857142857145"/>
    <n v="1350044"/>
    <n v="22"/>
    <n v="41409.454545454544"/>
    <n v="911008"/>
    <n v="17"/>
    <n v="40259.176470588238"/>
    <n v="684406"/>
    <n v="23"/>
    <n v="34557.043478260872"/>
    <n v="794812"/>
    <n v="27"/>
    <n v="36420.962962962964"/>
    <n v="983366"/>
    <m/>
    <m/>
    <n v="0"/>
    <m/>
    <m/>
    <n v="0"/>
    <m/>
    <m/>
    <n v="0"/>
    <m/>
    <m/>
    <n v="0"/>
    <n v="0"/>
    <n v="0"/>
    <n v="0"/>
    <n v="0"/>
    <m/>
    <n v="0"/>
    <n v="0"/>
    <n v="0"/>
    <n v="0"/>
    <n v="0"/>
    <m/>
    <n v="0"/>
    <n v="0"/>
    <n v="0"/>
    <n v="0"/>
    <n v="0"/>
    <m/>
    <n v="0"/>
    <n v="0"/>
    <n v="0"/>
    <n v="0"/>
    <n v="0"/>
    <m/>
    <n v="0"/>
    <m/>
    <m/>
    <n v="0"/>
    <m/>
    <m/>
    <n v="0"/>
    <m/>
    <m/>
    <n v="0"/>
    <m/>
    <m/>
    <n v="0"/>
  </r>
  <r>
    <x v="12"/>
    <s v="Nashville State Technical Community College"/>
    <n v="221184"/>
    <x v="7"/>
    <n v="7"/>
    <n v="59033.857142857145"/>
    <n v="413237"/>
    <n v="7"/>
    <n v="59033.857142857145"/>
    <n v="413237"/>
    <n v="49"/>
    <n v="51163.061224489793"/>
    <n v="2506990"/>
    <n v="44"/>
    <n v="53430.954545454544"/>
    <n v="2350962"/>
    <n v="22"/>
    <n v="43637.13636363636"/>
    <n v="960016.99999999988"/>
    <n v="29"/>
    <n v="41434.206896551725"/>
    <n v="1201592"/>
    <n v="57"/>
    <n v="36263.824561403511"/>
    <n v="2067038.0000000002"/>
    <n v="70"/>
    <n v="36812.400000000001"/>
    <n v="2576868"/>
    <m/>
    <m/>
    <n v="0"/>
    <m/>
    <m/>
    <n v="0"/>
    <m/>
    <m/>
    <n v="0"/>
    <m/>
    <m/>
    <n v="0"/>
    <n v="0"/>
    <n v="0"/>
    <n v="0"/>
    <n v="0"/>
    <m/>
    <n v="0"/>
    <n v="0"/>
    <n v="0"/>
    <n v="0"/>
    <n v="0"/>
    <m/>
    <n v="0"/>
    <n v="0"/>
    <n v="0"/>
    <n v="0"/>
    <n v="0"/>
    <m/>
    <n v="0"/>
    <n v="2"/>
    <n v="52253"/>
    <n v="85506.809200000003"/>
    <n v="2"/>
    <n v="52253"/>
    <n v="85506.809200000003"/>
    <m/>
    <m/>
    <n v="0"/>
    <m/>
    <m/>
    <n v="0"/>
    <m/>
    <m/>
    <n v="0"/>
    <m/>
    <m/>
    <n v="0"/>
  </r>
  <r>
    <x v="12"/>
    <s v="Northeast State Technical Community College"/>
    <n v="221908"/>
    <x v="7"/>
    <n v="9"/>
    <n v="51714.333333333336"/>
    <n v="465429"/>
    <n v="9"/>
    <n v="52055.777777777781"/>
    <n v="468502"/>
    <n v="29"/>
    <n v="46394.827586206899"/>
    <n v="1345450"/>
    <n v="30"/>
    <n v="45804.333333333336"/>
    <n v="1374130"/>
    <n v="24"/>
    <n v="39504.541666666664"/>
    <n v="948109"/>
    <n v="24"/>
    <n v="39089.291666666664"/>
    <n v="938143"/>
    <n v="31"/>
    <n v="37040.193548387098"/>
    <n v="1148246"/>
    <n v="33"/>
    <n v="37992.42424242424"/>
    <n v="1253750"/>
    <m/>
    <m/>
    <n v="0"/>
    <m/>
    <m/>
    <n v="0"/>
    <m/>
    <m/>
    <n v="0"/>
    <m/>
    <m/>
    <n v="0"/>
    <n v="1"/>
    <n v="70433"/>
    <n v="57628.280600000006"/>
    <n v="1"/>
    <n v="71680"/>
    <n v="58648.576000000001"/>
    <n v="7"/>
    <n v="67247"/>
    <n v="385150.46780000004"/>
    <n v="7"/>
    <n v="68388.142857142855"/>
    <n v="391686.24940000003"/>
    <n v="2"/>
    <n v="69873"/>
    <n v="114340.17720000001"/>
    <n v="3"/>
    <n v="70145.666666666672"/>
    <n v="172179.5534"/>
    <n v="1"/>
    <n v="47327"/>
    <n v="38722.951400000005"/>
    <n v="1"/>
    <n v="47327"/>
    <n v="38722.951400000005"/>
    <m/>
    <m/>
    <n v="0"/>
    <m/>
    <m/>
    <n v="0"/>
    <m/>
    <m/>
    <n v="0"/>
    <m/>
    <m/>
    <n v="0"/>
  </r>
  <r>
    <x v="12"/>
    <s v="Roane State Community College "/>
    <n v="221397"/>
    <x v="7"/>
    <n v="13"/>
    <n v="61520.461538461539"/>
    <n v="799766"/>
    <n v="13"/>
    <n v="59089.538461538461"/>
    <n v="768164"/>
    <n v="69"/>
    <n v="52526.028985507248"/>
    <n v="3624296"/>
    <n v="64"/>
    <n v="51109.984375"/>
    <n v="3271039"/>
    <n v="33"/>
    <n v="42232.242424242424"/>
    <n v="1393664"/>
    <n v="34"/>
    <n v="41994.205882352944"/>
    <n v="1427803"/>
    <n v="6"/>
    <n v="41270.333333333336"/>
    <n v="247622"/>
    <n v="12"/>
    <n v="40653.5"/>
    <n v="487842"/>
    <m/>
    <m/>
    <n v="0"/>
    <m/>
    <m/>
    <n v="0"/>
    <m/>
    <m/>
    <n v="0"/>
    <m/>
    <m/>
    <n v="0"/>
    <n v="4"/>
    <n v="79716.5"/>
    <n v="260896.1612"/>
    <n v="4"/>
    <n v="77769.5"/>
    <n v="254524.0196"/>
    <n v="4"/>
    <n v="69547.25"/>
    <n v="227614.23980000001"/>
    <n v="4"/>
    <n v="68448"/>
    <n v="224016.61440000002"/>
    <n v="5"/>
    <n v="56566"/>
    <n v="231411.50600000002"/>
    <n v="5"/>
    <n v="51915.6"/>
    <n v="212386.71960000001"/>
    <n v="2"/>
    <n v="47674.5"/>
    <n v="78014.551800000001"/>
    <n v="3"/>
    <n v="41950.333333333336"/>
    <n v="102971.28820000001"/>
    <m/>
    <m/>
    <n v="0"/>
    <m/>
    <m/>
    <n v="0"/>
    <m/>
    <m/>
    <n v="0"/>
    <m/>
    <m/>
    <n v="0"/>
  </r>
  <r>
    <x v="12"/>
    <s v="Volunteer State Community College "/>
    <n v="222053"/>
    <x v="7"/>
    <n v="15"/>
    <n v="56608.666666666664"/>
    <n v="849130"/>
    <n v="17"/>
    <n v="56105.529411764706"/>
    <n v="953794"/>
    <n v="74"/>
    <n v="48951.972972972973"/>
    <n v="3622446"/>
    <n v="71"/>
    <n v="48668.943661971833"/>
    <n v="3455495"/>
    <n v="14"/>
    <n v="40820.5"/>
    <n v="571487"/>
    <n v="16"/>
    <n v="41486.25"/>
    <n v="663780"/>
    <n v="18"/>
    <n v="35160.277777777781"/>
    <n v="632885"/>
    <n v="14"/>
    <n v="35009.642857142855"/>
    <n v="490135"/>
    <m/>
    <m/>
    <n v="0"/>
    <m/>
    <m/>
    <n v="0"/>
    <m/>
    <m/>
    <n v="0"/>
    <m/>
    <m/>
    <n v="0"/>
    <n v="1"/>
    <n v="77798"/>
    <n v="63654.323600000003"/>
    <n v="0"/>
    <m/>
    <n v="0"/>
    <n v="12"/>
    <n v="64503.916666666664"/>
    <n v="633325.25540000002"/>
    <n v="10"/>
    <n v="62770.6"/>
    <n v="513589.04920000001"/>
    <n v="6"/>
    <n v="56316.5"/>
    <n v="276468.96179999999"/>
    <n v="4"/>
    <n v="53964.5"/>
    <n v="176615.01560000001"/>
    <n v="7"/>
    <n v="52080.857142857145"/>
    <n v="298287.90120000002"/>
    <n v="11"/>
    <n v="51537.090909090912"/>
    <n v="463844.12560000003"/>
    <m/>
    <m/>
    <n v="0"/>
    <m/>
    <m/>
    <n v="0"/>
    <m/>
    <m/>
    <n v="0"/>
    <m/>
    <m/>
    <n v="0"/>
  </r>
  <r>
    <x v="12"/>
    <s v="Walters State Community College "/>
    <n v="222062"/>
    <x v="7"/>
    <n v="15"/>
    <n v="58604.666666666664"/>
    <n v="879070"/>
    <n v="14"/>
    <n v="60700.214285714283"/>
    <n v="849803"/>
    <n v="60"/>
    <n v="52196.95"/>
    <n v="3131817"/>
    <n v="59"/>
    <n v="51231.847457627118"/>
    <n v="3022679"/>
    <n v="27"/>
    <n v="42329.925925925927"/>
    <n v="1142908"/>
    <n v="27"/>
    <n v="41777.925925925927"/>
    <n v="1128004"/>
    <n v="11"/>
    <n v="38173.454545454544"/>
    <n v="419908"/>
    <n v="17"/>
    <n v="38497.529411764706"/>
    <n v="654458"/>
    <m/>
    <m/>
    <n v="0"/>
    <m/>
    <m/>
    <n v="0"/>
    <m/>
    <m/>
    <n v="0"/>
    <m/>
    <m/>
    <n v="0"/>
    <n v="4"/>
    <n v="87883.5"/>
    <n v="287625.1188"/>
    <n v="6"/>
    <n v="81059.333333333328"/>
    <n v="397936.4792"/>
    <n v="13"/>
    <n v="66033.769230769234"/>
    <n v="702374.78980000003"/>
    <n v="13"/>
    <n v="65256"/>
    <n v="694101.96960000007"/>
    <n v="7"/>
    <n v="55400.571428571428"/>
    <n v="317301.2328"/>
    <n v="5"/>
    <n v="55635.6"/>
    <n v="227605.2396"/>
    <n v="2"/>
    <n v="46249.5"/>
    <n v="75682.681800000006"/>
    <n v="4"/>
    <n v="49311.5"/>
    <n v="161386.67720000001"/>
    <m/>
    <m/>
    <n v="0"/>
    <m/>
    <m/>
    <n v="0"/>
    <m/>
    <m/>
    <n v="0"/>
    <m/>
    <m/>
    <n v="0"/>
  </r>
  <r>
    <x v="12"/>
    <s v="Dyersburg State Community College "/>
    <n v="220057"/>
    <x v="8"/>
    <n v="10"/>
    <n v="50448.1"/>
    <n v="504481"/>
    <n v="9"/>
    <n v="56546.222222222219"/>
    <n v="508916"/>
    <n v="18"/>
    <n v="49045.722222222219"/>
    <n v="882823"/>
    <n v="20"/>
    <n v="47828.35"/>
    <n v="956567"/>
    <n v="7"/>
    <n v="40824.142857142855"/>
    <n v="285769"/>
    <n v="7"/>
    <n v="39006.428571428572"/>
    <n v="273045"/>
    <n v="15"/>
    <n v="41014.800000000003"/>
    <n v="615222"/>
    <n v="13"/>
    <n v="43211.461538461539"/>
    <n v="561749"/>
    <m/>
    <m/>
    <n v="0"/>
    <m/>
    <m/>
    <n v="0"/>
    <m/>
    <m/>
    <n v="0"/>
    <m/>
    <m/>
    <n v="0"/>
    <n v="2"/>
    <n v="74891"/>
    <n v="122551.6324"/>
    <n v="2"/>
    <n v="76142"/>
    <n v="124598.76880000001"/>
    <n v="4"/>
    <n v="64799"/>
    <n v="212074.1672"/>
    <n v="4"/>
    <n v="64799.25"/>
    <n v="212074.98540000001"/>
    <n v="0"/>
    <n v="0"/>
    <n v="0"/>
    <m/>
    <m/>
    <n v="0"/>
    <n v="2"/>
    <n v="50734.5"/>
    <n v="83021.935800000007"/>
    <n v="1"/>
    <n v="45205"/>
    <n v="36986.731"/>
    <m/>
    <m/>
    <n v="0"/>
    <m/>
    <m/>
    <n v="0"/>
    <m/>
    <m/>
    <n v="0"/>
    <m/>
    <m/>
    <n v="0"/>
  </r>
  <r>
    <x v="12"/>
    <s v="Tennessee Technology Center at Athens"/>
    <n v="219596"/>
    <x v="10"/>
    <m/>
    <m/>
    <n v="0"/>
    <m/>
    <m/>
    <n v="0"/>
    <m/>
    <m/>
    <n v="0"/>
    <m/>
    <m/>
    <n v="0"/>
    <m/>
    <m/>
    <n v="0"/>
    <m/>
    <m/>
    <n v="0"/>
    <m/>
    <m/>
    <n v="0"/>
    <m/>
    <m/>
    <n v="0"/>
    <m/>
    <m/>
    <n v="0"/>
    <m/>
    <m/>
    <n v="0"/>
    <m/>
    <m/>
    <n v="0"/>
    <m/>
    <m/>
    <n v="0"/>
    <m/>
    <m/>
    <n v="0"/>
    <m/>
    <m/>
    <n v="0"/>
    <m/>
    <m/>
    <n v="0"/>
    <m/>
    <m/>
    <n v="0"/>
    <m/>
    <m/>
    <n v="0"/>
    <m/>
    <m/>
    <n v="0"/>
    <m/>
    <m/>
    <n v="0"/>
    <m/>
    <m/>
    <n v="0"/>
    <m/>
    <m/>
    <n v="0"/>
    <m/>
    <m/>
    <n v="0"/>
    <n v="11"/>
    <n v="45701.402890909085"/>
    <n v="411321.76629875996"/>
    <n v="9"/>
    <n v="45340"/>
    <n v="333874.69200000004"/>
  </r>
  <r>
    <x v="12"/>
    <s v="Tennessee Technology Center at Chattanooga"/>
    <s v="219824B"/>
    <x v="10"/>
    <m/>
    <m/>
    <n v="0"/>
    <m/>
    <m/>
    <n v="0"/>
    <m/>
    <m/>
    <n v="0"/>
    <m/>
    <m/>
    <n v="0"/>
    <m/>
    <m/>
    <n v="0"/>
    <m/>
    <m/>
    <n v="0"/>
    <m/>
    <m/>
    <n v="0"/>
    <m/>
    <m/>
    <n v="0"/>
    <m/>
    <m/>
    <n v="0"/>
    <m/>
    <m/>
    <n v="0"/>
    <m/>
    <m/>
    <n v="0"/>
    <m/>
    <m/>
    <n v="0"/>
    <m/>
    <m/>
    <n v="0"/>
    <m/>
    <m/>
    <n v="0"/>
    <m/>
    <m/>
    <n v="0"/>
    <m/>
    <m/>
    <n v="0"/>
    <m/>
    <m/>
    <n v="0"/>
    <m/>
    <m/>
    <n v="0"/>
    <m/>
    <m/>
    <n v="0"/>
    <m/>
    <m/>
    <n v="0"/>
    <m/>
    <m/>
    <n v="0"/>
    <m/>
    <m/>
    <n v="0"/>
    <n v="35"/>
    <n v="49069.401805714275"/>
    <n v="1405200.4595102398"/>
    <n v="34"/>
    <n v="47801.76470588235"/>
    <n v="1329787.7320000001"/>
  </r>
  <r>
    <x v="12"/>
    <s v="Tennessee Technology Center at Covington"/>
    <n v="219921"/>
    <x v="10"/>
    <m/>
    <m/>
    <n v="0"/>
    <m/>
    <m/>
    <n v="0"/>
    <m/>
    <m/>
    <n v="0"/>
    <m/>
    <m/>
    <n v="0"/>
    <m/>
    <m/>
    <n v="0"/>
    <m/>
    <m/>
    <n v="0"/>
    <m/>
    <m/>
    <n v="0"/>
    <m/>
    <m/>
    <n v="0"/>
    <m/>
    <m/>
    <n v="0"/>
    <m/>
    <m/>
    <n v="0"/>
    <m/>
    <m/>
    <n v="0"/>
    <m/>
    <m/>
    <n v="0"/>
    <m/>
    <m/>
    <n v="0"/>
    <m/>
    <m/>
    <n v="0"/>
    <m/>
    <m/>
    <n v="0"/>
    <m/>
    <m/>
    <n v="0"/>
    <m/>
    <m/>
    <n v="0"/>
    <m/>
    <m/>
    <n v="0"/>
    <m/>
    <m/>
    <n v="0"/>
    <m/>
    <m/>
    <n v="0"/>
    <m/>
    <m/>
    <n v="0"/>
    <m/>
    <m/>
    <n v="0"/>
    <n v="10"/>
    <n v="43262.518409999997"/>
    <n v="353973.92563061998"/>
    <n v="5"/>
    <n v="44158.8"/>
    <n v="180653.6508"/>
  </r>
  <r>
    <x v="12"/>
    <s v="Tennessee Technology Center at Crossville"/>
    <n v="221591"/>
    <x v="10"/>
    <m/>
    <m/>
    <n v="0"/>
    <m/>
    <m/>
    <n v="0"/>
    <m/>
    <m/>
    <n v="0"/>
    <m/>
    <m/>
    <n v="0"/>
    <m/>
    <m/>
    <n v="0"/>
    <m/>
    <m/>
    <n v="0"/>
    <m/>
    <m/>
    <n v="0"/>
    <m/>
    <m/>
    <n v="0"/>
    <m/>
    <m/>
    <n v="0"/>
    <m/>
    <m/>
    <n v="0"/>
    <m/>
    <m/>
    <n v="0"/>
    <m/>
    <m/>
    <n v="0"/>
    <m/>
    <m/>
    <n v="0"/>
    <m/>
    <m/>
    <n v="0"/>
    <m/>
    <m/>
    <n v="0"/>
    <m/>
    <m/>
    <n v="0"/>
    <m/>
    <m/>
    <n v="0"/>
    <m/>
    <m/>
    <n v="0"/>
    <m/>
    <m/>
    <n v="0"/>
    <m/>
    <m/>
    <n v="0"/>
    <m/>
    <m/>
    <n v="0"/>
    <m/>
    <m/>
    <n v="0"/>
    <n v="21"/>
    <n v="46184.496152380947"/>
    <n v="793551.24978943996"/>
    <n v="19"/>
    <n v="45791.789473684214"/>
    <n v="711870.00080000004"/>
  </r>
  <r>
    <x v="12"/>
    <s v="Tennessee Technology Center at Crump"/>
    <n v="221430"/>
    <x v="10"/>
    <m/>
    <m/>
    <n v="0"/>
    <m/>
    <m/>
    <n v="0"/>
    <m/>
    <m/>
    <n v="0"/>
    <m/>
    <m/>
    <n v="0"/>
    <m/>
    <m/>
    <n v="0"/>
    <m/>
    <m/>
    <n v="0"/>
    <m/>
    <m/>
    <n v="0"/>
    <m/>
    <m/>
    <n v="0"/>
    <m/>
    <m/>
    <n v="0"/>
    <m/>
    <m/>
    <n v="0"/>
    <m/>
    <m/>
    <n v="0"/>
    <m/>
    <m/>
    <n v="0"/>
    <m/>
    <m/>
    <n v="0"/>
    <m/>
    <m/>
    <n v="0"/>
    <m/>
    <m/>
    <n v="0"/>
    <m/>
    <m/>
    <n v="0"/>
    <m/>
    <m/>
    <n v="0"/>
    <m/>
    <m/>
    <n v="0"/>
    <m/>
    <m/>
    <n v="0"/>
    <m/>
    <m/>
    <n v="0"/>
    <m/>
    <m/>
    <n v="0"/>
    <m/>
    <m/>
    <n v="0"/>
    <n v="14"/>
    <n v="46478.742764285715"/>
    <n v="532404.70261634002"/>
    <n v="8"/>
    <n v="49423.25"/>
    <n v="323504.82520000002"/>
  </r>
  <r>
    <x v="12"/>
    <s v="Tennessee Technology Center at Dickson"/>
    <n v="219994"/>
    <x v="10"/>
    <m/>
    <m/>
    <n v="0"/>
    <m/>
    <m/>
    <n v="0"/>
    <m/>
    <m/>
    <n v="0"/>
    <m/>
    <m/>
    <n v="0"/>
    <m/>
    <m/>
    <n v="0"/>
    <m/>
    <m/>
    <n v="0"/>
    <m/>
    <m/>
    <n v="0"/>
    <m/>
    <m/>
    <n v="0"/>
    <m/>
    <m/>
    <n v="0"/>
    <m/>
    <m/>
    <n v="0"/>
    <m/>
    <m/>
    <n v="0"/>
    <m/>
    <m/>
    <n v="0"/>
    <m/>
    <m/>
    <n v="0"/>
    <m/>
    <m/>
    <n v="0"/>
    <m/>
    <m/>
    <n v="0"/>
    <m/>
    <m/>
    <n v="0"/>
    <m/>
    <m/>
    <n v="0"/>
    <m/>
    <m/>
    <n v="0"/>
    <m/>
    <m/>
    <n v="0"/>
    <m/>
    <m/>
    <n v="0"/>
    <m/>
    <m/>
    <n v="0"/>
    <m/>
    <m/>
    <n v="0"/>
    <n v="24"/>
    <n v="45106.650083333334"/>
    <n v="885750.26635639998"/>
    <n v="14"/>
    <n v="47277"/>
    <n v="541548.57960000006"/>
  </r>
  <r>
    <x v="12"/>
    <s v="Tennessee Technology Center at Elizabethton"/>
    <n v="220127"/>
    <x v="10"/>
    <m/>
    <m/>
    <n v="0"/>
    <m/>
    <m/>
    <n v="0"/>
    <m/>
    <m/>
    <n v="0"/>
    <m/>
    <m/>
    <n v="0"/>
    <m/>
    <m/>
    <n v="0"/>
    <m/>
    <m/>
    <n v="0"/>
    <m/>
    <m/>
    <n v="0"/>
    <m/>
    <m/>
    <n v="0"/>
    <m/>
    <m/>
    <n v="0"/>
    <m/>
    <m/>
    <n v="0"/>
    <m/>
    <m/>
    <n v="0"/>
    <m/>
    <m/>
    <n v="0"/>
    <m/>
    <m/>
    <n v="0"/>
    <m/>
    <m/>
    <n v="0"/>
    <m/>
    <m/>
    <n v="0"/>
    <m/>
    <m/>
    <n v="0"/>
    <m/>
    <m/>
    <n v="0"/>
    <m/>
    <m/>
    <n v="0"/>
    <m/>
    <m/>
    <n v="0"/>
    <m/>
    <m/>
    <n v="0"/>
    <m/>
    <m/>
    <n v="0"/>
    <m/>
    <m/>
    <n v="0"/>
    <n v="15"/>
    <n v="46120.269186666665"/>
    <n v="566034.06372795999"/>
    <n v="15"/>
    <n v="45240.933333333334"/>
    <n v="555241.97480000008"/>
  </r>
  <r>
    <x v="12"/>
    <s v="Tennessee Technology Center at Harriman"/>
    <n v="220251"/>
    <x v="10"/>
    <m/>
    <m/>
    <n v="0"/>
    <m/>
    <m/>
    <n v="0"/>
    <m/>
    <m/>
    <n v="0"/>
    <m/>
    <m/>
    <n v="0"/>
    <m/>
    <m/>
    <n v="0"/>
    <m/>
    <m/>
    <n v="0"/>
    <m/>
    <m/>
    <n v="0"/>
    <m/>
    <m/>
    <n v="0"/>
    <m/>
    <m/>
    <n v="0"/>
    <m/>
    <m/>
    <n v="0"/>
    <m/>
    <m/>
    <n v="0"/>
    <m/>
    <m/>
    <n v="0"/>
    <m/>
    <m/>
    <n v="0"/>
    <m/>
    <m/>
    <n v="0"/>
    <m/>
    <m/>
    <n v="0"/>
    <m/>
    <m/>
    <n v="0"/>
    <m/>
    <m/>
    <n v="0"/>
    <m/>
    <m/>
    <n v="0"/>
    <m/>
    <m/>
    <n v="0"/>
    <m/>
    <m/>
    <n v="0"/>
    <m/>
    <m/>
    <n v="0"/>
    <m/>
    <m/>
    <n v="0"/>
    <n v="11"/>
    <n v="40355.597145454543"/>
    <n v="363208.44542852003"/>
    <n v="11"/>
    <n v="39924.818181818184"/>
    <n v="359331.34860000003"/>
  </r>
  <r>
    <x v="12"/>
    <s v="Tennessee Technology Center at Hartsville"/>
    <n v="220279"/>
    <x v="10"/>
    <m/>
    <m/>
    <n v="0"/>
    <m/>
    <m/>
    <n v="0"/>
    <m/>
    <m/>
    <n v="0"/>
    <m/>
    <m/>
    <n v="0"/>
    <m/>
    <m/>
    <n v="0"/>
    <m/>
    <m/>
    <n v="0"/>
    <m/>
    <m/>
    <n v="0"/>
    <m/>
    <m/>
    <n v="0"/>
    <m/>
    <m/>
    <n v="0"/>
    <m/>
    <m/>
    <n v="0"/>
    <m/>
    <m/>
    <n v="0"/>
    <m/>
    <m/>
    <n v="0"/>
    <m/>
    <m/>
    <n v="0"/>
    <m/>
    <m/>
    <n v="0"/>
    <m/>
    <m/>
    <n v="0"/>
    <m/>
    <m/>
    <n v="0"/>
    <m/>
    <m/>
    <n v="0"/>
    <m/>
    <m/>
    <n v="0"/>
    <m/>
    <m/>
    <n v="0"/>
    <m/>
    <m/>
    <n v="0"/>
    <m/>
    <m/>
    <n v="0"/>
    <m/>
    <m/>
    <n v="0"/>
    <n v="10"/>
    <n v="45938.051519999994"/>
    <n v="375865.13753663993"/>
    <n v="11"/>
    <n v="44207.272727272728"/>
    <n v="397874.29600000003"/>
  </r>
  <r>
    <x v="12"/>
    <s v="Tennessee Technology Center at Holenwald"/>
    <n v="220321"/>
    <x v="10"/>
    <m/>
    <m/>
    <n v="0"/>
    <m/>
    <m/>
    <n v="0"/>
    <m/>
    <m/>
    <n v="0"/>
    <m/>
    <m/>
    <n v="0"/>
    <m/>
    <m/>
    <n v="0"/>
    <m/>
    <m/>
    <n v="0"/>
    <m/>
    <m/>
    <n v="0"/>
    <m/>
    <m/>
    <n v="0"/>
    <m/>
    <m/>
    <n v="0"/>
    <m/>
    <m/>
    <n v="0"/>
    <m/>
    <m/>
    <n v="0"/>
    <m/>
    <m/>
    <n v="0"/>
    <m/>
    <m/>
    <n v="0"/>
    <m/>
    <m/>
    <n v="0"/>
    <m/>
    <m/>
    <n v="0"/>
    <m/>
    <m/>
    <n v="0"/>
    <m/>
    <m/>
    <n v="0"/>
    <m/>
    <m/>
    <n v="0"/>
    <m/>
    <m/>
    <n v="0"/>
    <m/>
    <m/>
    <n v="0"/>
    <m/>
    <m/>
    <n v="0"/>
    <m/>
    <m/>
    <n v="0"/>
    <n v="19"/>
    <n v="42323.292768421059"/>
    <n v="657949.44471932005"/>
    <n v="19"/>
    <n v="41803.368421052633"/>
    <n v="649866.80480000004"/>
  </r>
  <r>
    <x v="12"/>
    <s v="Tennessee Technology Center at Jacksboro"/>
    <n v="220394"/>
    <x v="10"/>
    <m/>
    <m/>
    <n v="0"/>
    <m/>
    <m/>
    <n v="0"/>
    <m/>
    <m/>
    <n v="0"/>
    <m/>
    <m/>
    <n v="0"/>
    <m/>
    <m/>
    <n v="0"/>
    <m/>
    <m/>
    <n v="0"/>
    <m/>
    <m/>
    <n v="0"/>
    <m/>
    <m/>
    <n v="0"/>
    <m/>
    <m/>
    <n v="0"/>
    <m/>
    <m/>
    <n v="0"/>
    <m/>
    <m/>
    <n v="0"/>
    <m/>
    <m/>
    <n v="0"/>
    <m/>
    <m/>
    <n v="0"/>
    <m/>
    <m/>
    <n v="0"/>
    <m/>
    <m/>
    <n v="0"/>
    <m/>
    <m/>
    <n v="0"/>
    <m/>
    <m/>
    <n v="0"/>
    <m/>
    <m/>
    <n v="0"/>
    <m/>
    <m/>
    <n v="0"/>
    <m/>
    <m/>
    <n v="0"/>
    <m/>
    <m/>
    <n v="0"/>
    <m/>
    <m/>
    <n v="0"/>
    <n v="9"/>
    <n v="46997.491699999999"/>
    <n v="346080.12938046001"/>
    <n v="9"/>
    <n v="46821.111111111109"/>
    <n v="344781.29800000001"/>
  </r>
  <r>
    <x v="12"/>
    <s v="Tennessee Technology Center at Jackson"/>
    <n v="221616"/>
    <x v="10"/>
    <m/>
    <m/>
    <n v="0"/>
    <m/>
    <m/>
    <n v="0"/>
    <m/>
    <m/>
    <n v="0"/>
    <m/>
    <m/>
    <n v="0"/>
    <m/>
    <m/>
    <n v="0"/>
    <m/>
    <m/>
    <n v="0"/>
    <m/>
    <m/>
    <n v="0"/>
    <m/>
    <m/>
    <n v="0"/>
    <m/>
    <m/>
    <n v="0"/>
    <m/>
    <m/>
    <n v="0"/>
    <m/>
    <m/>
    <n v="0"/>
    <m/>
    <m/>
    <n v="0"/>
    <m/>
    <m/>
    <n v="0"/>
    <m/>
    <m/>
    <n v="0"/>
    <m/>
    <m/>
    <n v="0"/>
    <m/>
    <m/>
    <n v="0"/>
    <m/>
    <m/>
    <n v="0"/>
    <m/>
    <m/>
    <n v="0"/>
    <m/>
    <m/>
    <n v="0"/>
    <m/>
    <m/>
    <n v="0"/>
    <m/>
    <m/>
    <n v="0"/>
    <m/>
    <m/>
    <n v="0"/>
    <n v="23"/>
    <n v="47696.778565217384"/>
    <n v="897586.59710739995"/>
    <n v="16"/>
    <n v="48021"/>
    <n v="628652.51520000002"/>
  </r>
  <r>
    <x v="12"/>
    <s v="Tennessee Technology Center at Knoxville"/>
    <n v="221625"/>
    <x v="10"/>
    <m/>
    <m/>
    <n v="0"/>
    <m/>
    <m/>
    <n v="0"/>
    <m/>
    <m/>
    <n v="0"/>
    <m/>
    <m/>
    <n v="0"/>
    <m/>
    <m/>
    <n v="0"/>
    <m/>
    <m/>
    <n v="0"/>
    <m/>
    <m/>
    <n v="0"/>
    <m/>
    <m/>
    <n v="0"/>
    <m/>
    <m/>
    <n v="0"/>
    <m/>
    <m/>
    <n v="0"/>
    <m/>
    <m/>
    <n v="0"/>
    <m/>
    <m/>
    <n v="0"/>
    <m/>
    <m/>
    <n v="0"/>
    <m/>
    <m/>
    <n v="0"/>
    <m/>
    <m/>
    <n v="0"/>
    <m/>
    <m/>
    <n v="0"/>
    <m/>
    <m/>
    <n v="0"/>
    <m/>
    <m/>
    <n v="0"/>
    <m/>
    <m/>
    <n v="0"/>
    <m/>
    <m/>
    <n v="0"/>
    <m/>
    <m/>
    <n v="0"/>
    <m/>
    <m/>
    <n v="0"/>
    <n v="28"/>
    <n v="46131.370496428572"/>
    <n v="1056851.2455249801"/>
    <n v="28"/>
    <n v="46072"/>
    <n v="1055491.0912000001"/>
  </r>
  <r>
    <x v="12"/>
    <s v="Tennessee Technology Center at Livingston"/>
    <n v="220640"/>
    <x v="10"/>
    <m/>
    <m/>
    <n v="0"/>
    <m/>
    <m/>
    <n v="0"/>
    <m/>
    <m/>
    <n v="0"/>
    <m/>
    <m/>
    <n v="0"/>
    <m/>
    <m/>
    <n v="0"/>
    <m/>
    <m/>
    <n v="0"/>
    <m/>
    <m/>
    <n v="0"/>
    <m/>
    <m/>
    <n v="0"/>
    <m/>
    <m/>
    <n v="0"/>
    <m/>
    <m/>
    <n v="0"/>
    <m/>
    <m/>
    <n v="0"/>
    <m/>
    <m/>
    <n v="0"/>
    <m/>
    <m/>
    <n v="0"/>
    <m/>
    <m/>
    <n v="0"/>
    <m/>
    <m/>
    <n v="0"/>
    <m/>
    <m/>
    <n v="0"/>
    <m/>
    <m/>
    <n v="0"/>
    <m/>
    <m/>
    <n v="0"/>
    <m/>
    <m/>
    <n v="0"/>
    <m/>
    <m/>
    <n v="0"/>
    <m/>
    <m/>
    <n v="0"/>
    <m/>
    <m/>
    <n v="0"/>
    <n v="20"/>
    <n v="45049.807059999992"/>
    <n v="737195.04272983992"/>
    <n v="17"/>
    <n v="44174.294117647056"/>
    <n v="614437.92660000001"/>
  </r>
  <r>
    <x v="12"/>
    <s v="Tennessee Technology Center at McKenzie"/>
    <n v="220756"/>
    <x v="10"/>
    <m/>
    <m/>
    <n v="0"/>
    <m/>
    <m/>
    <n v="0"/>
    <m/>
    <m/>
    <n v="0"/>
    <m/>
    <m/>
    <n v="0"/>
    <m/>
    <m/>
    <n v="0"/>
    <m/>
    <m/>
    <n v="0"/>
    <m/>
    <m/>
    <n v="0"/>
    <m/>
    <m/>
    <n v="0"/>
    <m/>
    <m/>
    <n v="0"/>
    <m/>
    <m/>
    <n v="0"/>
    <m/>
    <m/>
    <n v="0"/>
    <m/>
    <m/>
    <n v="0"/>
    <m/>
    <m/>
    <n v="0"/>
    <m/>
    <m/>
    <n v="0"/>
    <m/>
    <m/>
    <n v="0"/>
    <m/>
    <m/>
    <n v="0"/>
    <m/>
    <m/>
    <n v="0"/>
    <m/>
    <m/>
    <n v="0"/>
    <m/>
    <m/>
    <n v="0"/>
    <m/>
    <m/>
    <n v="0"/>
    <m/>
    <m/>
    <n v="0"/>
    <m/>
    <m/>
    <n v="0"/>
    <n v="11"/>
    <n v="43236.13119090908"/>
    <n v="389133.82794441993"/>
    <n v="12"/>
    <n v="43031"/>
    <n v="422495.57040000003"/>
  </r>
  <r>
    <x v="12"/>
    <s v="Tennessee Technology Center at McMinnville"/>
    <n v="221607"/>
    <x v="10"/>
    <m/>
    <m/>
    <n v="0"/>
    <m/>
    <m/>
    <n v="0"/>
    <m/>
    <m/>
    <n v="0"/>
    <m/>
    <m/>
    <n v="0"/>
    <m/>
    <m/>
    <n v="0"/>
    <m/>
    <m/>
    <n v="0"/>
    <m/>
    <m/>
    <n v="0"/>
    <m/>
    <m/>
    <n v="0"/>
    <m/>
    <m/>
    <n v="0"/>
    <m/>
    <m/>
    <n v="0"/>
    <m/>
    <m/>
    <n v="0"/>
    <m/>
    <m/>
    <n v="0"/>
    <m/>
    <m/>
    <n v="0"/>
    <m/>
    <m/>
    <n v="0"/>
    <m/>
    <m/>
    <n v="0"/>
    <m/>
    <m/>
    <n v="0"/>
    <m/>
    <m/>
    <n v="0"/>
    <m/>
    <m/>
    <n v="0"/>
    <m/>
    <m/>
    <n v="0"/>
    <m/>
    <m/>
    <n v="0"/>
    <m/>
    <m/>
    <n v="0"/>
    <m/>
    <m/>
    <n v="0"/>
    <n v="12"/>
    <n v="45290.089941666665"/>
    <n v="444676.21908325999"/>
    <n v="13"/>
    <n v="46132.538461538461"/>
    <n v="490693.35860000004"/>
  </r>
  <r>
    <x v="12"/>
    <s v="Tennessee Technology Center at Memphis"/>
    <n v="220853"/>
    <x v="10"/>
    <m/>
    <m/>
    <n v="0"/>
    <m/>
    <m/>
    <n v="0"/>
    <m/>
    <m/>
    <n v="0"/>
    <m/>
    <m/>
    <n v="0"/>
    <m/>
    <m/>
    <n v="0"/>
    <m/>
    <m/>
    <n v="0"/>
    <m/>
    <m/>
    <n v="0"/>
    <m/>
    <m/>
    <n v="0"/>
    <m/>
    <m/>
    <n v="0"/>
    <m/>
    <m/>
    <n v="0"/>
    <m/>
    <m/>
    <n v="0"/>
    <m/>
    <m/>
    <n v="0"/>
    <m/>
    <m/>
    <n v="0"/>
    <m/>
    <m/>
    <n v="0"/>
    <m/>
    <m/>
    <n v="0"/>
    <m/>
    <m/>
    <n v="0"/>
    <m/>
    <m/>
    <n v="0"/>
    <m/>
    <m/>
    <n v="0"/>
    <m/>
    <m/>
    <n v="0"/>
    <m/>
    <m/>
    <n v="0"/>
    <m/>
    <m/>
    <n v="0"/>
    <m/>
    <m/>
    <n v="0"/>
    <n v="41"/>
    <n v="45523.122056097556"/>
    <n v="1527127.75711826"/>
    <n v="38"/>
    <n v="46110.15789473684"/>
    <n v="1433638.5852000001"/>
  </r>
  <r>
    <x v="12"/>
    <s v="Tennessee Technology Center at Morristown"/>
    <n v="221050"/>
    <x v="10"/>
    <m/>
    <m/>
    <n v="0"/>
    <m/>
    <m/>
    <n v="0"/>
    <m/>
    <m/>
    <n v="0"/>
    <m/>
    <m/>
    <n v="0"/>
    <m/>
    <m/>
    <n v="0"/>
    <m/>
    <m/>
    <n v="0"/>
    <m/>
    <m/>
    <n v="0"/>
    <m/>
    <m/>
    <n v="0"/>
    <m/>
    <m/>
    <n v="0"/>
    <m/>
    <m/>
    <n v="0"/>
    <m/>
    <m/>
    <n v="0"/>
    <m/>
    <m/>
    <n v="0"/>
    <m/>
    <m/>
    <n v="0"/>
    <m/>
    <m/>
    <n v="0"/>
    <m/>
    <m/>
    <n v="0"/>
    <m/>
    <m/>
    <n v="0"/>
    <m/>
    <m/>
    <n v="0"/>
    <m/>
    <m/>
    <n v="0"/>
    <m/>
    <m/>
    <n v="0"/>
    <m/>
    <m/>
    <n v="0"/>
    <m/>
    <m/>
    <n v="0"/>
    <m/>
    <m/>
    <n v="0"/>
    <n v="35"/>
    <n v="48799.351414285709"/>
    <n v="1397467.0264508999"/>
    <n v="34"/>
    <n v="48997.352941176468"/>
    <n v="1363047.5620000002"/>
  </r>
  <r>
    <x v="12"/>
    <s v="Tennessee Technology Center at Murfreesboro"/>
    <n v="221102"/>
    <x v="10"/>
    <m/>
    <m/>
    <n v="0"/>
    <m/>
    <m/>
    <n v="0"/>
    <m/>
    <m/>
    <n v="0"/>
    <m/>
    <m/>
    <n v="0"/>
    <m/>
    <m/>
    <n v="0"/>
    <m/>
    <m/>
    <n v="0"/>
    <m/>
    <m/>
    <n v="0"/>
    <m/>
    <m/>
    <n v="0"/>
    <m/>
    <m/>
    <n v="0"/>
    <m/>
    <m/>
    <n v="0"/>
    <m/>
    <m/>
    <n v="0"/>
    <m/>
    <m/>
    <n v="0"/>
    <m/>
    <m/>
    <n v="0"/>
    <m/>
    <m/>
    <n v="0"/>
    <m/>
    <m/>
    <n v="0"/>
    <m/>
    <m/>
    <n v="0"/>
    <m/>
    <m/>
    <n v="0"/>
    <m/>
    <m/>
    <n v="0"/>
    <m/>
    <m/>
    <n v="0"/>
    <m/>
    <m/>
    <n v="0"/>
    <m/>
    <m/>
    <n v="0"/>
    <m/>
    <m/>
    <n v="0"/>
    <n v="20"/>
    <n v="45410.998029999995"/>
    <n v="743105.57176291989"/>
    <n v="19"/>
    <n v="49028.894736842107"/>
    <n v="762193.39179999998"/>
  </r>
  <r>
    <x v="12"/>
    <s v="Tennessee Technology Center at Nashville"/>
    <n v="248925"/>
    <x v="10"/>
    <m/>
    <m/>
    <n v="0"/>
    <m/>
    <m/>
    <n v="0"/>
    <m/>
    <m/>
    <n v="0"/>
    <m/>
    <m/>
    <n v="0"/>
    <m/>
    <m/>
    <n v="0"/>
    <m/>
    <m/>
    <n v="0"/>
    <m/>
    <m/>
    <n v="0"/>
    <m/>
    <m/>
    <n v="0"/>
    <m/>
    <m/>
    <n v="0"/>
    <m/>
    <m/>
    <n v="0"/>
    <m/>
    <m/>
    <n v="0"/>
    <m/>
    <m/>
    <n v="0"/>
    <m/>
    <m/>
    <n v="0"/>
    <m/>
    <m/>
    <n v="0"/>
    <m/>
    <m/>
    <n v="0"/>
    <m/>
    <m/>
    <n v="0"/>
    <m/>
    <m/>
    <n v="0"/>
    <m/>
    <m/>
    <n v="0"/>
    <m/>
    <m/>
    <n v="0"/>
    <m/>
    <m/>
    <n v="0"/>
    <m/>
    <m/>
    <n v="0"/>
    <m/>
    <m/>
    <n v="0"/>
    <n v="30"/>
    <n v="43046.479366666666"/>
    <n v="1056618.8825342001"/>
    <n v="18"/>
    <n v="46716.388888888891"/>
    <n v="688020.28899999999"/>
  </r>
  <r>
    <x v="12"/>
    <s v="Tennessee Technology Center at Newbern"/>
    <n v="221236"/>
    <x v="10"/>
    <m/>
    <m/>
    <n v="0"/>
    <m/>
    <m/>
    <n v="0"/>
    <m/>
    <m/>
    <n v="0"/>
    <m/>
    <m/>
    <n v="0"/>
    <m/>
    <m/>
    <n v="0"/>
    <m/>
    <m/>
    <n v="0"/>
    <m/>
    <m/>
    <n v="0"/>
    <m/>
    <m/>
    <n v="0"/>
    <m/>
    <m/>
    <n v="0"/>
    <m/>
    <m/>
    <n v="0"/>
    <m/>
    <m/>
    <n v="0"/>
    <m/>
    <m/>
    <n v="0"/>
    <m/>
    <m/>
    <n v="0"/>
    <m/>
    <m/>
    <n v="0"/>
    <m/>
    <m/>
    <n v="0"/>
    <m/>
    <m/>
    <n v="0"/>
    <m/>
    <m/>
    <n v="0"/>
    <m/>
    <m/>
    <n v="0"/>
    <m/>
    <m/>
    <n v="0"/>
    <m/>
    <m/>
    <n v="0"/>
    <m/>
    <m/>
    <n v="0"/>
    <m/>
    <m/>
    <n v="0"/>
    <n v="12"/>
    <n v="42087.392233333339"/>
    <n v="413230.85190376005"/>
    <n v="7"/>
    <n v="41574.285714285717"/>
    <n v="238112.56400000001"/>
  </r>
  <r>
    <x v="12"/>
    <s v="Tennessee Technology Center at Oneida"/>
    <n v="221582"/>
    <x v="10"/>
    <m/>
    <m/>
    <n v="0"/>
    <m/>
    <m/>
    <n v="0"/>
    <m/>
    <m/>
    <n v="0"/>
    <m/>
    <m/>
    <n v="0"/>
    <m/>
    <m/>
    <n v="0"/>
    <m/>
    <m/>
    <n v="0"/>
    <m/>
    <m/>
    <n v="0"/>
    <m/>
    <m/>
    <n v="0"/>
    <m/>
    <m/>
    <n v="0"/>
    <m/>
    <m/>
    <n v="0"/>
    <m/>
    <m/>
    <n v="0"/>
    <m/>
    <m/>
    <n v="0"/>
    <m/>
    <m/>
    <n v="0"/>
    <m/>
    <m/>
    <n v="0"/>
    <m/>
    <m/>
    <n v="0"/>
    <m/>
    <m/>
    <n v="0"/>
    <m/>
    <m/>
    <n v="0"/>
    <m/>
    <m/>
    <n v="0"/>
    <m/>
    <m/>
    <n v="0"/>
    <m/>
    <m/>
    <n v="0"/>
    <m/>
    <m/>
    <n v="0"/>
    <m/>
    <m/>
    <n v="0"/>
    <n v="13"/>
    <n v="41860.081676923081"/>
    <n v="445248.94476476003"/>
    <n v="13"/>
    <n v="42588.923076923078"/>
    <n v="453001.33920000005"/>
  </r>
  <r>
    <x v="12"/>
    <s v="Tennessee Technology Center at Paris"/>
    <n v="221281"/>
    <x v="10"/>
    <m/>
    <m/>
    <n v="0"/>
    <m/>
    <m/>
    <n v="0"/>
    <m/>
    <m/>
    <n v="0"/>
    <m/>
    <m/>
    <n v="0"/>
    <m/>
    <m/>
    <n v="0"/>
    <m/>
    <m/>
    <n v="0"/>
    <m/>
    <m/>
    <n v="0"/>
    <m/>
    <m/>
    <n v="0"/>
    <m/>
    <m/>
    <n v="0"/>
    <m/>
    <m/>
    <n v="0"/>
    <m/>
    <m/>
    <n v="0"/>
    <m/>
    <m/>
    <n v="0"/>
    <m/>
    <m/>
    <n v="0"/>
    <m/>
    <m/>
    <n v="0"/>
    <m/>
    <m/>
    <n v="0"/>
    <m/>
    <m/>
    <n v="0"/>
    <m/>
    <m/>
    <n v="0"/>
    <m/>
    <m/>
    <n v="0"/>
    <m/>
    <m/>
    <n v="0"/>
    <m/>
    <m/>
    <n v="0"/>
    <m/>
    <m/>
    <n v="0"/>
    <m/>
    <m/>
    <n v="0"/>
    <n v="20"/>
    <n v="44072.831484999995"/>
    <n v="721207.81442054"/>
    <n v="11"/>
    <n v="44514.36363636364"/>
    <n v="400638.17560000008"/>
  </r>
  <r>
    <x v="12"/>
    <s v="Tennessee Technology Center at Pulaski"/>
    <n v="221333"/>
    <x v="10"/>
    <m/>
    <m/>
    <n v="0"/>
    <m/>
    <m/>
    <n v="0"/>
    <m/>
    <m/>
    <n v="0"/>
    <m/>
    <m/>
    <n v="0"/>
    <m/>
    <m/>
    <n v="0"/>
    <m/>
    <m/>
    <n v="0"/>
    <m/>
    <m/>
    <n v="0"/>
    <m/>
    <m/>
    <n v="0"/>
    <m/>
    <m/>
    <n v="0"/>
    <m/>
    <m/>
    <n v="0"/>
    <m/>
    <m/>
    <n v="0"/>
    <m/>
    <m/>
    <n v="0"/>
    <m/>
    <m/>
    <n v="0"/>
    <m/>
    <m/>
    <n v="0"/>
    <m/>
    <m/>
    <n v="0"/>
    <m/>
    <m/>
    <n v="0"/>
    <m/>
    <m/>
    <n v="0"/>
    <m/>
    <m/>
    <n v="0"/>
    <m/>
    <m/>
    <n v="0"/>
    <m/>
    <m/>
    <n v="0"/>
    <m/>
    <m/>
    <n v="0"/>
    <m/>
    <m/>
    <n v="0"/>
    <n v="15"/>
    <n v="47542.278079999996"/>
    <n v="583486.37887583999"/>
    <n v="16"/>
    <n v="47962.375"/>
    <n v="627885.04359999998"/>
  </r>
  <r>
    <x v="12"/>
    <s v="Tennessee Technology Center at Ripley"/>
    <n v="221388"/>
    <x v="10"/>
    <m/>
    <m/>
    <n v="0"/>
    <m/>
    <m/>
    <n v="0"/>
    <m/>
    <m/>
    <n v="0"/>
    <m/>
    <m/>
    <n v="0"/>
    <m/>
    <m/>
    <n v="0"/>
    <m/>
    <m/>
    <n v="0"/>
    <m/>
    <m/>
    <n v="0"/>
    <m/>
    <m/>
    <n v="0"/>
    <m/>
    <m/>
    <n v="0"/>
    <m/>
    <m/>
    <n v="0"/>
    <m/>
    <m/>
    <n v="0"/>
    <m/>
    <m/>
    <n v="0"/>
    <m/>
    <m/>
    <n v="0"/>
    <m/>
    <m/>
    <n v="0"/>
    <m/>
    <m/>
    <n v="0"/>
    <m/>
    <m/>
    <n v="0"/>
    <m/>
    <m/>
    <n v="0"/>
    <m/>
    <m/>
    <n v="0"/>
    <m/>
    <m/>
    <n v="0"/>
    <m/>
    <m/>
    <n v="0"/>
    <m/>
    <m/>
    <n v="0"/>
    <m/>
    <m/>
    <n v="0"/>
    <n v="12"/>
    <n v="42192.500716666669"/>
    <n v="414262.84903652006"/>
    <n v="9"/>
    <n v="42538.444444444445"/>
    <n v="313244.59720000002"/>
  </r>
  <r>
    <x v="12"/>
    <s v="Tennessee Technology Center at Shelbyville"/>
    <n v="221494"/>
    <x v="10"/>
    <m/>
    <m/>
    <n v="0"/>
    <m/>
    <m/>
    <n v="0"/>
    <m/>
    <m/>
    <n v="0"/>
    <m/>
    <m/>
    <n v="0"/>
    <m/>
    <m/>
    <n v="0"/>
    <m/>
    <m/>
    <n v="0"/>
    <m/>
    <m/>
    <n v="0"/>
    <m/>
    <m/>
    <n v="0"/>
    <m/>
    <m/>
    <n v="0"/>
    <m/>
    <m/>
    <n v="0"/>
    <m/>
    <m/>
    <n v="0"/>
    <m/>
    <m/>
    <n v="0"/>
    <m/>
    <m/>
    <n v="0"/>
    <m/>
    <m/>
    <n v="0"/>
    <m/>
    <m/>
    <n v="0"/>
    <m/>
    <m/>
    <n v="0"/>
    <m/>
    <m/>
    <n v="0"/>
    <m/>
    <m/>
    <n v="0"/>
    <m/>
    <m/>
    <n v="0"/>
    <m/>
    <m/>
    <n v="0"/>
    <m/>
    <m/>
    <n v="0"/>
    <m/>
    <m/>
    <n v="0"/>
    <n v="19"/>
    <n v="46850.407657894735"/>
    <n v="728327.06736810005"/>
    <n v="20"/>
    <n v="47588.95"/>
    <n v="778745.57780000009"/>
  </r>
  <r>
    <x v="12"/>
    <s v="Tennessee Technology Center at Whiteville"/>
    <n v="221634"/>
    <x v="10"/>
    <m/>
    <m/>
    <n v="0"/>
    <m/>
    <m/>
    <n v="0"/>
    <m/>
    <m/>
    <n v="0"/>
    <m/>
    <m/>
    <n v="0"/>
    <m/>
    <m/>
    <n v="0"/>
    <m/>
    <m/>
    <n v="0"/>
    <m/>
    <m/>
    <n v="0"/>
    <m/>
    <m/>
    <n v="0"/>
    <m/>
    <m/>
    <n v="0"/>
    <m/>
    <m/>
    <n v="0"/>
    <m/>
    <m/>
    <n v="0"/>
    <m/>
    <m/>
    <n v="0"/>
    <m/>
    <m/>
    <n v="0"/>
    <m/>
    <m/>
    <n v="0"/>
    <m/>
    <m/>
    <n v="0"/>
    <m/>
    <m/>
    <n v="0"/>
    <m/>
    <m/>
    <n v="0"/>
    <m/>
    <m/>
    <n v="0"/>
    <m/>
    <m/>
    <n v="0"/>
    <m/>
    <m/>
    <n v="0"/>
    <m/>
    <m/>
    <n v="0"/>
    <m/>
    <m/>
    <n v="0"/>
    <n v="10"/>
    <n v="47692.940979999999"/>
    <n v="390223.64309836004"/>
    <n v="8"/>
    <n v="48842.125"/>
    <n v="319701.0134"/>
  </r>
  <r>
    <x v="13"/>
    <s v="Texas A &amp; M University "/>
    <n v="228723"/>
    <x v="0"/>
    <n v="828"/>
    <n v="110143"/>
    <n v="91198404"/>
    <n v="913"/>
    <n v="118024.88280394305"/>
    <n v="107756718"/>
    <n v="473"/>
    <n v="76285"/>
    <n v="36082805"/>
    <n v="573"/>
    <n v="78681.568935427567"/>
    <n v="45084538.999999993"/>
    <n v="567"/>
    <n v="68634"/>
    <n v="38915478"/>
    <n v="664"/>
    <n v="68371.272590361448"/>
    <n v="45398525"/>
    <m/>
    <m/>
    <n v="0"/>
    <n v="38"/>
    <n v="30895.42105263158"/>
    <n v="1174026"/>
    <n v="311"/>
    <n v="43166"/>
    <n v="13424626"/>
    <n v="460"/>
    <n v="51604.513043478262"/>
    <n v="23738076"/>
    <m/>
    <m/>
    <n v="0"/>
    <m/>
    <m/>
    <n v="0"/>
    <m/>
    <m/>
    <n v="0"/>
    <m/>
    <m/>
    <n v="0"/>
    <m/>
    <m/>
    <n v="0"/>
    <m/>
    <m/>
    <n v="0"/>
    <m/>
    <m/>
    <n v="0"/>
    <m/>
    <m/>
    <n v="0"/>
    <m/>
    <m/>
    <n v="0"/>
    <m/>
    <m/>
    <n v="0"/>
    <m/>
    <m/>
    <n v="0"/>
    <m/>
    <m/>
    <n v="0"/>
    <m/>
    <m/>
    <n v="0"/>
    <m/>
    <m/>
    <n v="0"/>
  </r>
  <r>
    <x v="13"/>
    <s v="Texas Tech University "/>
    <n v="229115"/>
    <x v="0"/>
    <n v="258"/>
    <n v="99345"/>
    <n v="25631010"/>
    <n v="252"/>
    <n v="102130.10714285714"/>
    <n v="25736787"/>
    <n v="316"/>
    <n v="70518"/>
    <n v="22283688"/>
    <n v="347"/>
    <n v="72031.90489913545"/>
    <n v="24995071"/>
    <n v="308"/>
    <n v="61142"/>
    <n v="18831736"/>
    <n v="298"/>
    <n v="62002.322147651008"/>
    <n v="18476692"/>
    <n v="146"/>
    <n v="39158"/>
    <n v="5717068"/>
    <n v="141"/>
    <n v="42012.829787234041"/>
    <n v="5923809"/>
    <m/>
    <m/>
    <n v="0"/>
    <n v="1"/>
    <n v="67000"/>
    <n v="67000"/>
    <m/>
    <m/>
    <n v="0"/>
    <m/>
    <m/>
    <n v="0"/>
    <n v="18"/>
    <n v="143329"/>
    <n v="2110892.1804"/>
    <n v="20"/>
    <n v="132258.04999999999"/>
    <n v="2164270.7302000001"/>
    <n v="7"/>
    <n v="100843"/>
    <n v="577568.19819999998"/>
    <n v="8"/>
    <n v="93566.875"/>
    <n v="612451.33700000006"/>
    <n v="11"/>
    <n v="72969"/>
    <n v="656735.59380000003"/>
    <n v="11"/>
    <n v="87248.363636363632"/>
    <n v="785252.72240000009"/>
    <n v="14"/>
    <n v="58007"/>
    <n v="664458.58360000001"/>
    <n v="21"/>
    <n v="45811.523809523809"/>
    <n v="787142.76439999999"/>
    <m/>
    <m/>
    <n v="0"/>
    <m/>
    <m/>
    <n v="0"/>
    <m/>
    <m/>
    <n v="0"/>
    <m/>
    <m/>
    <n v="0"/>
  </r>
  <r>
    <x v="13"/>
    <s v="University of Houston"/>
    <n v="225511"/>
    <x v="0"/>
    <n v="355"/>
    <n v="111621"/>
    <n v="39625455"/>
    <n v="359"/>
    <n v="117493.91364902507"/>
    <n v="42180315"/>
    <n v="284"/>
    <n v="74244"/>
    <n v="21085296"/>
    <n v="270"/>
    <n v="77499.622222222228"/>
    <n v="20924898"/>
    <n v="165"/>
    <n v="75238"/>
    <n v="12414270"/>
    <n v="188"/>
    <n v="77193.335106382976"/>
    <n v="14512347"/>
    <m/>
    <m/>
    <n v="0"/>
    <m/>
    <m/>
    <n v="0"/>
    <n v="200"/>
    <n v="52760"/>
    <n v="10552000"/>
    <n v="209"/>
    <n v="53459.133971291863"/>
    <n v="11172959"/>
    <m/>
    <m/>
    <n v="0"/>
    <m/>
    <m/>
    <n v="0"/>
    <n v="15"/>
    <n v="136725"/>
    <n v="1678025.925"/>
    <n v="19"/>
    <n v="153799.10526315789"/>
    <n v="2390930.1306000003"/>
    <n v="14"/>
    <n v="95974"/>
    <n v="1099362.9752"/>
    <n v="14"/>
    <n v="102772.42857142857"/>
    <n v="1177237.6148000001"/>
    <n v="8"/>
    <n v="90491"/>
    <n v="592317.88959999999"/>
    <n v="9"/>
    <n v="88667.777777777781"/>
    <n v="652931.78200000001"/>
    <m/>
    <m/>
    <n v="0"/>
    <m/>
    <m/>
    <n v="0"/>
    <n v="48"/>
    <n v="76884"/>
    <n v="3019511.4624000001"/>
    <n v="6"/>
    <n v="87563.833333333328"/>
    <n v="429868.37060000002"/>
    <m/>
    <m/>
    <n v="0"/>
    <m/>
    <m/>
    <n v="0"/>
  </r>
  <r>
    <x v="13"/>
    <s v="University of North Texas"/>
    <n v="227216"/>
    <x v="0"/>
    <n v="230"/>
    <n v="96663"/>
    <n v="22232490"/>
    <n v="225"/>
    <n v="102394.36444444445"/>
    <n v="23038732"/>
    <n v="237"/>
    <n v="73995"/>
    <n v="17536815"/>
    <n v="252"/>
    <n v="78386.960317460311"/>
    <n v="19753514"/>
    <n v="220"/>
    <n v="62262"/>
    <n v="13697640"/>
    <n v="219"/>
    <n v="65758.251141552508"/>
    <n v="14401057"/>
    <n v="1"/>
    <n v="54632"/>
    <n v="54632"/>
    <n v="1"/>
    <n v="56763"/>
    <n v="56763"/>
    <n v="146"/>
    <n v="45241"/>
    <n v="6605186"/>
    <n v="154"/>
    <n v="48087.85064935065"/>
    <n v="7405529"/>
    <m/>
    <m/>
    <n v="0"/>
    <m/>
    <m/>
    <n v="0"/>
    <n v="18"/>
    <n v="138996"/>
    <n v="2047077.4896000002"/>
    <n v="25"/>
    <n v="145182.64000000001"/>
    <n v="2969710.9012000007"/>
    <n v="19"/>
    <n v="101708"/>
    <n v="1581132.2264"/>
    <n v="22"/>
    <n v="103457.59090909091"/>
    <n v="1862278.0194000001"/>
    <m/>
    <m/>
    <n v="0"/>
    <m/>
    <m/>
    <n v="0"/>
    <m/>
    <m/>
    <n v="0"/>
    <m/>
    <m/>
    <n v="0"/>
    <m/>
    <m/>
    <n v="0"/>
    <m/>
    <m/>
    <n v="0"/>
    <m/>
    <m/>
    <n v="0"/>
    <m/>
    <m/>
    <n v="0"/>
  </r>
  <r>
    <x v="13"/>
    <s v="University of Texas at Arlington"/>
    <n v="228769"/>
    <x v="0"/>
    <n v="180"/>
    <n v="98160"/>
    <n v="17668800"/>
    <n v="180"/>
    <n v="102184.36666666667"/>
    <n v="18393186"/>
    <n v="174"/>
    <n v="72220"/>
    <n v="12566280"/>
    <n v="182"/>
    <n v="76071.912087912089"/>
    <n v="13845088"/>
    <n v="210"/>
    <n v="69582"/>
    <n v="14612220"/>
    <n v="217"/>
    <n v="70587.66820276498"/>
    <n v="15317524"/>
    <m/>
    <m/>
    <n v="0"/>
    <m/>
    <m/>
    <n v="0"/>
    <n v="248"/>
    <n v="45677"/>
    <n v="11327896"/>
    <n v="246"/>
    <n v="47114.739837398374"/>
    <n v="11590226"/>
    <m/>
    <m/>
    <n v="0"/>
    <m/>
    <m/>
    <n v="0"/>
    <m/>
    <m/>
    <n v="0"/>
    <m/>
    <m/>
    <n v="0"/>
    <m/>
    <m/>
    <n v="0"/>
    <m/>
    <m/>
    <n v="0"/>
    <m/>
    <m/>
    <n v="0"/>
    <m/>
    <m/>
    <n v="0"/>
    <m/>
    <m/>
    <n v="0"/>
    <m/>
    <m/>
    <n v="0"/>
    <m/>
    <m/>
    <n v="0"/>
    <m/>
    <m/>
    <n v="0"/>
    <m/>
    <m/>
    <n v="0"/>
    <m/>
    <m/>
    <n v="0"/>
  </r>
  <r>
    <x v="13"/>
    <s v="University of Texas at Austin"/>
    <n v="228778"/>
    <x v="0"/>
    <n v="976"/>
    <n v="126018"/>
    <n v="122993568"/>
    <n v="968"/>
    <n v="132253.36157024794"/>
    <n v="128021254.00000001"/>
    <n v="453"/>
    <n v="81269"/>
    <n v="36814857"/>
    <n v="487"/>
    <n v="85325.540041067768"/>
    <n v="41553538"/>
    <n v="455"/>
    <n v="77574"/>
    <n v="35296170"/>
    <n v="456"/>
    <n v="81800.037280701756"/>
    <n v="37300817"/>
    <n v="3"/>
    <n v="75667"/>
    <n v="227001"/>
    <n v="2"/>
    <n v="65000"/>
    <n v="130000"/>
    <n v="561"/>
    <n v="54355"/>
    <n v="30493155"/>
    <n v="596"/>
    <n v="57048.172818791943"/>
    <n v="34000711"/>
    <m/>
    <m/>
    <n v="0"/>
    <m/>
    <m/>
    <n v="0"/>
    <m/>
    <m/>
    <n v="0"/>
    <m/>
    <m/>
    <n v="0"/>
    <m/>
    <m/>
    <n v="0"/>
    <m/>
    <m/>
    <n v="0"/>
    <m/>
    <m/>
    <n v="0"/>
    <m/>
    <m/>
    <n v="0"/>
    <m/>
    <m/>
    <n v="0"/>
    <m/>
    <m/>
    <n v="0"/>
    <m/>
    <m/>
    <n v="0"/>
    <m/>
    <m/>
    <n v="0"/>
    <m/>
    <m/>
    <n v="0"/>
    <m/>
    <m/>
    <n v="0"/>
  </r>
  <r>
    <x v="13"/>
    <s v="University of Texas at Dallas"/>
    <n v="228787"/>
    <x v="0"/>
    <n v="168"/>
    <n v="123079"/>
    <n v="20677272"/>
    <n v="146"/>
    <n v="126705.47945205479"/>
    <n v="18499000"/>
    <n v="108"/>
    <n v="96421"/>
    <n v="10413468"/>
    <n v="91"/>
    <n v="94473.252747252744"/>
    <n v="8597066"/>
    <n v="95"/>
    <n v="88366"/>
    <n v="8394770"/>
    <n v="94"/>
    <n v="90486.819148936163"/>
    <n v="8505761"/>
    <m/>
    <m/>
    <n v="0"/>
    <m/>
    <m/>
    <n v="0"/>
    <n v="101"/>
    <n v="54743"/>
    <n v="5529043"/>
    <n v="122"/>
    <n v="59983.467213114753"/>
    <n v="7317983"/>
    <m/>
    <m/>
    <n v="0"/>
    <m/>
    <m/>
    <n v="0"/>
    <m/>
    <m/>
    <n v="0"/>
    <n v="14"/>
    <n v="132510.57142857142"/>
    <n v="1517882.0936"/>
    <m/>
    <m/>
    <n v="0"/>
    <n v="8"/>
    <n v="88015.375"/>
    <n v="576113.43859999999"/>
    <m/>
    <m/>
    <n v="0"/>
    <n v="3"/>
    <n v="78850"/>
    <n v="193545.21000000002"/>
    <m/>
    <m/>
    <n v="0"/>
    <m/>
    <m/>
    <n v="0"/>
    <m/>
    <m/>
    <n v="0"/>
    <n v="2"/>
    <n v="60577.482500000006"/>
    <n v="99128.992363000012"/>
    <m/>
    <m/>
    <n v="0"/>
    <m/>
    <m/>
    <n v="0"/>
  </r>
  <r>
    <x v="13"/>
    <s v="Texas Woman's University"/>
    <n v="229179"/>
    <x v="1"/>
    <n v="73"/>
    <n v="85568"/>
    <n v="6246464"/>
    <n v="64"/>
    <n v="84222.421875"/>
    <n v="5390235"/>
    <n v="92"/>
    <n v="66559"/>
    <n v="6123428"/>
    <n v="87"/>
    <n v="69454.3908045977"/>
    <n v="6042532"/>
    <n v="134"/>
    <n v="55722"/>
    <n v="7466748"/>
    <n v="120"/>
    <n v="58105.033333333333"/>
    <n v="6972604"/>
    <n v="9"/>
    <n v="49302"/>
    <n v="443718"/>
    <n v="10"/>
    <n v="50562.9"/>
    <n v="505629"/>
    <n v="96"/>
    <n v="50712"/>
    <n v="4868352"/>
    <n v="146"/>
    <n v="53447.760273972606"/>
    <n v="7803373.0000000009"/>
    <m/>
    <m/>
    <n v="0"/>
    <m/>
    <m/>
    <n v="0"/>
    <m/>
    <m/>
    <n v="0"/>
    <m/>
    <m/>
    <n v="0"/>
    <m/>
    <m/>
    <n v="0"/>
    <m/>
    <m/>
    <n v="0"/>
    <m/>
    <m/>
    <n v="0"/>
    <m/>
    <m/>
    <n v="0"/>
    <m/>
    <m/>
    <n v="0"/>
    <m/>
    <m/>
    <n v="0"/>
    <m/>
    <m/>
    <n v="0"/>
    <m/>
    <m/>
    <n v="0"/>
    <m/>
    <m/>
    <n v="0"/>
    <m/>
    <m/>
    <n v="0"/>
  </r>
  <r>
    <x v="13"/>
    <s v="University of Texas at El Paso"/>
    <n v="228796"/>
    <x v="1"/>
    <n v="140"/>
    <n v="89498"/>
    <n v="12529720"/>
    <n v="145"/>
    <n v="91276.358620689658"/>
    <n v="13235072"/>
    <n v="160"/>
    <n v="67270"/>
    <n v="10763200"/>
    <n v="167"/>
    <n v="69603.365269461079"/>
    <n v="11623762"/>
    <n v="153"/>
    <n v="61477"/>
    <n v="9405981"/>
    <n v="152"/>
    <n v="63661.07894736842"/>
    <n v="9676484"/>
    <m/>
    <m/>
    <n v="0"/>
    <m/>
    <m/>
    <n v="0"/>
    <n v="179"/>
    <n v="40748"/>
    <n v="7293892"/>
    <n v="190"/>
    <n v="43818.473684210527"/>
    <n v="8325510"/>
    <m/>
    <m/>
    <n v="0"/>
    <m/>
    <m/>
    <n v="0"/>
    <m/>
    <m/>
    <n v="0"/>
    <m/>
    <m/>
    <n v="0"/>
    <m/>
    <m/>
    <n v="0"/>
    <m/>
    <m/>
    <n v="0"/>
    <m/>
    <m/>
    <n v="0"/>
    <m/>
    <m/>
    <n v="0"/>
    <m/>
    <m/>
    <n v="0"/>
    <m/>
    <m/>
    <n v="0"/>
    <m/>
    <m/>
    <n v="0"/>
    <m/>
    <m/>
    <n v="0"/>
    <m/>
    <m/>
    <n v="0"/>
    <m/>
    <m/>
    <n v="0"/>
  </r>
  <r>
    <x v="13"/>
    <s v="Angelo State University"/>
    <n v="222831"/>
    <x v="2"/>
    <n v="55"/>
    <n v="71620"/>
    <n v="3939100"/>
    <n v="50"/>
    <n v="72718.179999999993"/>
    <n v="3635908.9999999995"/>
    <n v="56"/>
    <n v="60191"/>
    <n v="3370696"/>
    <n v="64"/>
    <n v="62076.828125"/>
    <n v="3972917"/>
    <n v="51"/>
    <n v="52641"/>
    <n v="2684691"/>
    <n v="57"/>
    <n v="54003.719298245611"/>
    <n v="3078212"/>
    <n v="13"/>
    <n v="38945"/>
    <n v="506285"/>
    <n v="15"/>
    <n v="42348.333333333336"/>
    <n v="635225"/>
    <n v="40"/>
    <n v="38057"/>
    <n v="1522280"/>
    <n v="36"/>
    <n v="37198.277777777781"/>
    <n v="1339138"/>
    <m/>
    <m/>
    <n v="0"/>
    <m/>
    <m/>
    <n v="0"/>
    <n v="7"/>
    <n v="112569"/>
    <n v="644727.69059999997"/>
    <n v="4"/>
    <n v="107168.5"/>
    <n v="350741.06680000003"/>
    <n v="1"/>
    <n v="71153"/>
    <n v="58217.384600000005"/>
    <n v="4"/>
    <n v="84744.75"/>
    <n v="277352.61780000001"/>
    <n v="3"/>
    <n v="68901"/>
    <n v="169124.3946"/>
    <n v="3"/>
    <n v="72370.333333333328"/>
    <n v="177640.22020000001"/>
    <m/>
    <m/>
    <n v="0"/>
    <n v="1"/>
    <n v="43039"/>
    <n v="35214.5098"/>
    <n v="4"/>
    <n v="67411"/>
    <n v="220622.72080000001"/>
    <n v="6"/>
    <n v="54553.757733333339"/>
    <n v="267815.30746448005"/>
    <m/>
    <m/>
    <n v="0"/>
    <m/>
    <m/>
    <n v="0"/>
  </r>
  <r>
    <x v="13"/>
    <s v="Lamar University"/>
    <n v="226091"/>
    <x v="2"/>
    <n v="95"/>
    <n v="82366"/>
    <n v="7824770"/>
    <n v="93"/>
    <n v="86760.204301075268"/>
    <n v="8068699"/>
    <n v="70"/>
    <n v="66773"/>
    <n v="4674110"/>
    <n v="86"/>
    <n v="69388.441860465115"/>
    <n v="5967406"/>
    <n v="109"/>
    <n v="55844"/>
    <n v="6086996"/>
    <n v="103"/>
    <n v="60020.446601941745"/>
    <n v="6182106"/>
    <n v="49"/>
    <n v="42609"/>
    <n v="2087841"/>
    <n v="93"/>
    <n v="40186.645161290326"/>
    <n v="3737358.0000000005"/>
    <n v="33"/>
    <n v="30920"/>
    <n v="1020360"/>
    <n v="4"/>
    <n v="34057"/>
    <n v="136228"/>
    <m/>
    <m/>
    <n v="0"/>
    <m/>
    <m/>
    <n v="0"/>
    <n v="1"/>
    <n v="116940"/>
    <n v="95680.308000000005"/>
    <m/>
    <m/>
    <n v="0"/>
    <n v="2"/>
    <n v="71520"/>
    <n v="117035.32800000001"/>
    <n v="1"/>
    <n v="115008"/>
    <n v="94099.545599999998"/>
    <n v="9"/>
    <n v="62287"/>
    <n v="458669.01060000004"/>
    <m/>
    <m/>
    <n v="0"/>
    <n v="4"/>
    <n v="45942"/>
    <n v="150358.97760000001"/>
    <m/>
    <m/>
    <n v="0"/>
    <n v="1"/>
    <n v="26992"/>
    <n v="22084.8544"/>
    <m/>
    <m/>
    <n v="0"/>
    <m/>
    <m/>
    <n v="0"/>
    <m/>
    <m/>
    <n v="0"/>
  </r>
  <r>
    <x v="13"/>
    <s v="Midwestern State University"/>
    <n v="226833"/>
    <x v="2"/>
    <n v="47"/>
    <n v="75493"/>
    <n v="3548171"/>
    <n v="47"/>
    <n v="78327.574468085106"/>
    <n v="3681396"/>
    <n v="56"/>
    <n v="62906"/>
    <n v="3522736"/>
    <n v="53"/>
    <n v="64006.188679245286"/>
    <n v="3392328"/>
    <n v="79"/>
    <n v="54138"/>
    <n v="4276902"/>
    <n v="82"/>
    <n v="56350.329268292684"/>
    <n v="4620727"/>
    <n v="31"/>
    <n v="42378"/>
    <n v="1313718"/>
    <n v="30"/>
    <n v="42928.366666666669"/>
    <n v="1287851"/>
    <m/>
    <m/>
    <n v="0"/>
    <m/>
    <m/>
    <n v="0"/>
    <m/>
    <m/>
    <n v="0"/>
    <m/>
    <m/>
    <n v="0"/>
    <m/>
    <m/>
    <n v="0"/>
    <m/>
    <m/>
    <n v="0"/>
    <m/>
    <m/>
    <n v="0"/>
    <m/>
    <m/>
    <n v="0"/>
    <m/>
    <m/>
    <n v="0"/>
    <m/>
    <m/>
    <n v="0"/>
    <m/>
    <m/>
    <n v="0"/>
    <m/>
    <m/>
    <n v="0"/>
    <m/>
    <m/>
    <n v="0"/>
    <m/>
    <m/>
    <n v="0"/>
    <m/>
    <m/>
    <n v="0"/>
    <m/>
    <m/>
    <n v="0"/>
  </r>
  <r>
    <x v="13"/>
    <s v="Prairie View A &amp; M University"/>
    <n v="227526"/>
    <x v="2"/>
    <n v="40"/>
    <n v="77172"/>
    <n v="3086880"/>
    <n v="41"/>
    <n v="80840.243902439019"/>
    <n v="3314450"/>
    <n v="54"/>
    <n v="62999"/>
    <n v="3401946"/>
    <n v="59"/>
    <n v="65915.898305084746"/>
    <n v="3889038"/>
    <n v="79"/>
    <n v="57277"/>
    <n v="4524883"/>
    <n v="72"/>
    <n v="59325.75"/>
    <n v="4271454"/>
    <n v="2"/>
    <n v="48406"/>
    <n v="96812"/>
    <n v="2"/>
    <n v="48380"/>
    <n v="96760"/>
    <n v="94"/>
    <n v="50035"/>
    <n v="4703290"/>
    <n v="100"/>
    <n v="51552.03"/>
    <n v="5155203"/>
    <m/>
    <m/>
    <n v="0"/>
    <m/>
    <m/>
    <n v="0"/>
    <n v="15"/>
    <n v="109359"/>
    <n v="1342163.007"/>
    <n v="15"/>
    <n v="83351.8"/>
    <n v="1022976.6414000001"/>
    <n v="19"/>
    <n v="90026"/>
    <n v="1399526.1908"/>
    <n v="21"/>
    <n v="72680.666666666672"/>
    <n v="1248813.7508"/>
    <n v="8"/>
    <n v="74136"/>
    <n v="485264.60159999999"/>
    <n v="5"/>
    <n v="63929.2"/>
    <n v="261534.3572"/>
    <m/>
    <m/>
    <n v="0"/>
    <m/>
    <m/>
    <n v="0"/>
    <n v="22"/>
    <n v="62964"/>
    <n v="1133377.1856"/>
    <n v="25"/>
    <n v="49480.160000000003"/>
    <n v="1012116.6728000001"/>
    <m/>
    <m/>
    <n v="0"/>
    <m/>
    <m/>
    <n v="0"/>
  </r>
  <r>
    <x v="13"/>
    <s v="Sam Houston State University "/>
    <n v="227881"/>
    <x v="2"/>
    <n v="128"/>
    <n v="82014"/>
    <n v="10497792"/>
    <n v="128"/>
    <n v="84783.640625"/>
    <n v="10852306"/>
    <n v="133"/>
    <n v="64683"/>
    <n v="8602839"/>
    <n v="137"/>
    <n v="66275.576642335771"/>
    <n v="9079754"/>
    <n v="181"/>
    <n v="55065"/>
    <n v="9966765"/>
    <n v="184"/>
    <n v="56352.315217391304"/>
    <n v="10368826"/>
    <n v="2"/>
    <n v="49410"/>
    <n v="98820"/>
    <n v="2"/>
    <n v="50571"/>
    <n v="101142"/>
    <n v="54"/>
    <n v="44810"/>
    <n v="2419740"/>
    <n v="46"/>
    <n v="45052.043478260872"/>
    <n v="2072394"/>
    <m/>
    <m/>
    <n v="0"/>
    <m/>
    <m/>
    <n v="0"/>
    <m/>
    <m/>
    <n v="0"/>
    <m/>
    <m/>
    <n v="0"/>
    <m/>
    <m/>
    <n v="0"/>
    <m/>
    <m/>
    <n v="0"/>
    <m/>
    <m/>
    <n v="0"/>
    <m/>
    <m/>
    <n v="0"/>
    <m/>
    <m/>
    <n v="0"/>
    <m/>
    <m/>
    <n v="0"/>
    <m/>
    <m/>
    <n v="0"/>
    <m/>
    <m/>
    <n v="0"/>
    <m/>
    <m/>
    <n v="0"/>
    <m/>
    <m/>
    <n v="0"/>
  </r>
  <r>
    <x v="13"/>
    <s v="Stephen F. Austin State University"/>
    <n v="228431"/>
    <x v="2"/>
    <n v="47"/>
    <n v="73916"/>
    <n v="3474052"/>
    <n v="36"/>
    <n v="78367.611111111109"/>
    <n v="2821234"/>
    <n v="63"/>
    <n v="66957"/>
    <n v="4218291"/>
    <n v="54"/>
    <n v="71717.388888888891"/>
    <n v="3872739"/>
    <n v="66"/>
    <n v="58042"/>
    <n v="3830772"/>
    <n v="57"/>
    <n v="62936.701754385962"/>
    <n v="3587392"/>
    <n v="23"/>
    <n v="51945"/>
    <n v="1194735"/>
    <n v="20"/>
    <n v="58957.9"/>
    <n v="1179158"/>
    <n v="163"/>
    <n v="48637"/>
    <n v="7927831"/>
    <n v="186"/>
    <n v="51086.639784946237"/>
    <n v="9502115"/>
    <m/>
    <m/>
    <n v="0"/>
    <m/>
    <m/>
    <n v="0"/>
    <n v="12"/>
    <n v="99622"/>
    <n v="978128.64480000001"/>
    <n v="12"/>
    <n v="103712.25"/>
    <n v="1018288.3554"/>
    <n v="3"/>
    <n v="102356"/>
    <n v="251243.03760000001"/>
    <n v="3"/>
    <n v="107761.66666666667"/>
    <n v="264511.78700000001"/>
    <n v="3"/>
    <n v="52901"/>
    <n v="129850.79460000001"/>
    <n v="4"/>
    <n v="54924"/>
    <n v="179755.2672"/>
    <n v="5"/>
    <n v="50454"/>
    <n v="206407.31400000001"/>
    <n v="4"/>
    <n v="51341.5"/>
    <n v="168030.46120000002"/>
    <n v="44"/>
    <n v="49581"/>
    <n v="1784955.6648000001"/>
    <n v="56"/>
    <n v="43735.390707142862"/>
    <n v="2003920.6138887203"/>
    <m/>
    <m/>
    <n v="0"/>
    <m/>
    <m/>
    <n v="0"/>
  </r>
  <r>
    <x v="13"/>
    <s v="Sul Ross State University "/>
    <n v="228501"/>
    <x v="2"/>
    <n v="36"/>
    <n v="67654"/>
    <n v="2435544"/>
    <n v="38"/>
    <n v="67881.605263157893"/>
    <n v="2579501"/>
    <n v="31"/>
    <n v="52543"/>
    <n v="1628833"/>
    <n v="29"/>
    <n v="52680.310344827587"/>
    <n v="1527729"/>
    <n v="30"/>
    <n v="46203"/>
    <n v="1386090"/>
    <n v="29"/>
    <n v="47391.551724137928"/>
    <n v="1374355"/>
    <m/>
    <m/>
    <n v="0"/>
    <m/>
    <m/>
    <n v="0"/>
    <n v="19"/>
    <n v="39020"/>
    <n v="741380"/>
    <n v="22"/>
    <n v="43560.909090909088"/>
    <n v="958340"/>
    <m/>
    <m/>
    <n v="0"/>
    <m/>
    <m/>
    <n v="0"/>
    <n v="2"/>
    <n v="96201"/>
    <n v="157423.31640000001"/>
    <n v="5"/>
    <n v="99458.4"/>
    <n v="406884.31440000003"/>
    <m/>
    <m/>
    <n v="0"/>
    <n v="1"/>
    <n v="79479"/>
    <n v="65029.717800000006"/>
    <m/>
    <m/>
    <n v="0"/>
    <m/>
    <m/>
    <n v="0"/>
    <n v="1"/>
    <n v="40902"/>
    <n v="33466.0164"/>
    <n v="2"/>
    <n v="50860"/>
    <n v="83227.304000000004"/>
    <n v="4"/>
    <n v="52830"/>
    <n v="172902.024"/>
    <n v="2"/>
    <n v="55770"/>
    <n v="91262.028000000006"/>
    <m/>
    <m/>
    <n v="0"/>
    <m/>
    <m/>
    <n v="0"/>
  </r>
  <r>
    <x v="13"/>
    <s v="Tarleton State University"/>
    <n v="228529"/>
    <x v="2"/>
    <n v="48"/>
    <n v="75372"/>
    <n v="3617856"/>
    <n v="50"/>
    <n v="78598.14"/>
    <n v="3929907"/>
    <n v="58"/>
    <n v="61538"/>
    <n v="3569204"/>
    <n v="58"/>
    <n v="63569.431034482761"/>
    <n v="3687027"/>
    <n v="94"/>
    <n v="52210"/>
    <n v="4907740"/>
    <n v="103"/>
    <n v="51696.281553398061"/>
    <n v="5324717"/>
    <n v="50"/>
    <n v="39073"/>
    <n v="1953650"/>
    <n v="47"/>
    <n v="42170.808510638301"/>
    <n v="1982028.0000000002"/>
    <n v="4"/>
    <n v="28076"/>
    <n v="112304"/>
    <n v="15"/>
    <n v="34935.333333333336"/>
    <n v="524030.00000000006"/>
    <m/>
    <m/>
    <n v="0"/>
    <m/>
    <m/>
    <n v="0"/>
    <n v="14"/>
    <n v="103783"/>
    <n v="1188813.5084000002"/>
    <n v="15"/>
    <n v="102621.06666666667"/>
    <n v="1259468.3512000002"/>
    <n v="14"/>
    <n v="83848"/>
    <n v="960462.07040000008"/>
    <n v="20"/>
    <n v="93919.35"/>
    <n v="1536896.2434"/>
    <n v="19"/>
    <n v="75107"/>
    <n v="1167598.4006000001"/>
    <n v="31"/>
    <n v="70399.967741935485"/>
    <n v="1785638.8618000001"/>
    <n v="18"/>
    <n v="59455"/>
    <n v="875629.45799999998"/>
    <n v="18"/>
    <n v="66173.722222222219"/>
    <n v="974580.11140000005"/>
    <n v="1"/>
    <n v="56586"/>
    <n v="46298.665200000003"/>
    <n v="2"/>
    <n v="55200"/>
    <n v="90329.279999999999"/>
    <m/>
    <m/>
    <n v="0"/>
    <m/>
    <m/>
    <n v="0"/>
  </r>
  <r>
    <x v="13"/>
    <s v="Texas A &amp; M - Commerce"/>
    <n v="224554"/>
    <x v="2"/>
    <n v="39"/>
    <n v="73448"/>
    <n v="2864472"/>
    <n v="38"/>
    <n v="77726.15789473684"/>
    <n v="2953594"/>
    <n v="39"/>
    <n v="62189"/>
    <n v="2425371"/>
    <n v="43"/>
    <n v="61487"/>
    <n v="2643941"/>
    <n v="109"/>
    <n v="53861"/>
    <n v="5870849"/>
    <n v="127"/>
    <n v="57312.27559055118"/>
    <n v="7278659"/>
    <n v="40"/>
    <n v="45676"/>
    <n v="1827040"/>
    <n v="44"/>
    <n v="46119.931818181816"/>
    <n v="2029277"/>
    <m/>
    <m/>
    <n v="0"/>
    <m/>
    <m/>
    <n v="0"/>
    <m/>
    <m/>
    <n v="0"/>
    <m/>
    <m/>
    <n v="0"/>
    <m/>
    <m/>
    <n v="0"/>
    <m/>
    <m/>
    <n v="0"/>
    <n v="1"/>
    <n v="51301"/>
    <n v="41974.478200000005"/>
    <m/>
    <m/>
    <n v="0"/>
    <m/>
    <m/>
    <n v="0"/>
    <n v="1"/>
    <n v="67000"/>
    <n v="54819.4"/>
    <n v="8"/>
    <n v="57101"/>
    <n v="373760.30560000002"/>
    <n v="14"/>
    <n v="50355.428571428572"/>
    <n v="576811.36320000002"/>
    <m/>
    <m/>
    <n v="0"/>
    <m/>
    <m/>
    <n v="0"/>
    <m/>
    <m/>
    <n v="0"/>
    <m/>
    <m/>
    <n v="0"/>
  </r>
  <r>
    <x v="13"/>
    <s v="Texas A &amp; M University-Corpus Christi "/>
    <n v="224147"/>
    <x v="2"/>
    <n v="92"/>
    <n v="76222"/>
    <n v="7012424"/>
    <n v="97"/>
    <n v="80724.515463917531"/>
    <n v="7830278.0000000009"/>
    <n v="73"/>
    <n v="66875"/>
    <n v="4881875"/>
    <n v="84"/>
    <n v="64127.095238095237"/>
    <n v="5386676"/>
    <n v="72"/>
    <n v="59357"/>
    <n v="4273704"/>
    <n v="70"/>
    <n v="58854.314285714288"/>
    <n v="4119802"/>
    <n v="14"/>
    <n v="34332"/>
    <n v="480648"/>
    <m/>
    <m/>
    <n v="0"/>
    <m/>
    <m/>
    <n v="0"/>
    <m/>
    <m/>
    <n v="0"/>
    <m/>
    <m/>
    <n v="0"/>
    <m/>
    <m/>
    <n v="0"/>
    <m/>
    <m/>
    <n v="0"/>
    <m/>
    <m/>
    <n v="0"/>
    <m/>
    <m/>
    <n v="0"/>
    <m/>
    <m/>
    <n v="0"/>
    <m/>
    <m/>
    <n v="0"/>
    <m/>
    <m/>
    <n v="0"/>
    <m/>
    <m/>
    <n v="0"/>
    <m/>
    <m/>
    <n v="0"/>
    <m/>
    <m/>
    <n v="0"/>
    <m/>
    <m/>
    <n v="0"/>
    <m/>
    <m/>
    <n v="0"/>
    <m/>
    <m/>
    <n v="0"/>
  </r>
  <r>
    <x v="13"/>
    <s v="Texas A &amp; M University-Kingsville"/>
    <n v="228705"/>
    <x v="2"/>
    <n v="68"/>
    <n v="71292"/>
    <n v="4847856"/>
    <n v="65"/>
    <n v="76592.338461538457"/>
    <n v="4978502"/>
    <n v="61"/>
    <n v="62044"/>
    <n v="3784684"/>
    <n v="62"/>
    <n v="63590.93548387097"/>
    <n v="3942638"/>
    <n v="90"/>
    <n v="53476"/>
    <n v="4812840"/>
    <n v="86"/>
    <n v="58097.406976744183"/>
    <n v="4996377"/>
    <m/>
    <m/>
    <n v="0"/>
    <n v="3"/>
    <n v="49277"/>
    <n v="147831"/>
    <n v="50"/>
    <n v="34932"/>
    <n v="1746600"/>
    <n v="50"/>
    <n v="39068"/>
    <n v="1953400"/>
    <m/>
    <m/>
    <n v="0"/>
    <m/>
    <m/>
    <n v="0"/>
    <n v="14"/>
    <n v="96374"/>
    <n v="1103944.8952000001"/>
    <n v="18"/>
    <n v="102638.61111111111"/>
    <n v="1511620.409"/>
    <n v="10"/>
    <n v="86089"/>
    <n v="704380.19799999997"/>
    <n v="10"/>
    <n v="84039.4"/>
    <n v="687610.37080000003"/>
    <n v="7"/>
    <n v="53286"/>
    <n v="305190.23639999999"/>
    <n v="8"/>
    <n v="58335.25"/>
    <n v="381839.21240000002"/>
    <m/>
    <m/>
    <n v="0"/>
    <m/>
    <m/>
    <n v="0"/>
    <m/>
    <m/>
    <n v="0"/>
    <m/>
    <m/>
    <n v="0"/>
    <m/>
    <m/>
    <n v="0"/>
    <m/>
    <m/>
    <n v="0"/>
  </r>
  <r>
    <x v="13"/>
    <s v="Texas Southern University "/>
    <n v="229063"/>
    <x v="2"/>
    <n v="70"/>
    <n v="86287"/>
    <n v="6040090"/>
    <n v="40"/>
    <n v="102726.675"/>
    <n v="4109067"/>
    <n v="76"/>
    <n v="68130"/>
    <n v="5177880"/>
    <n v="55"/>
    <n v="80837.94545454545"/>
    <n v="4446087"/>
    <n v="95"/>
    <n v="58117"/>
    <n v="5521115"/>
    <n v="72"/>
    <n v="68067.833333333328"/>
    <n v="4900884"/>
    <n v="74"/>
    <n v="28450"/>
    <n v="2105300"/>
    <n v="9"/>
    <n v="67602.888888888891"/>
    <n v="608426"/>
    <m/>
    <m/>
    <n v="0"/>
    <n v="148"/>
    <n v="53784.891891891893"/>
    <n v="7960164"/>
    <m/>
    <m/>
    <n v="0"/>
    <m/>
    <m/>
    <n v="0"/>
    <n v="17"/>
    <n v="110008"/>
    <n v="1530145.2752"/>
    <n v="12"/>
    <n v="112924.75"/>
    <n v="1108740.3654"/>
    <n v="10"/>
    <n v="86793"/>
    <n v="710140.326"/>
    <n v="6"/>
    <n v="112167.5"/>
    <n v="550652.69099999999"/>
    <n v="2"/>
    <n v="51352"/>
    <n v="84032.412800000006"/>
    <n v="7"/>
    <n v="96513.71428571429"/>
    <n v="552772.64720000001"/>
    <n v="1"/>
    <n v="54540"/>
    <n v="44624.628000000004"/>
    <n v="1"/>
    <n v="115984"/>
    <n v="94898.108800000002"/>
    <m/>
    <m/>
    <n v="0"/>
    <n v="3"/>
    <n v="79540.666666666672"/>
    <n v="195240.52040000001"/>
    <m/>
    <m/>
    <n v="0"/>
    <m/>
    <m/>
    <n v="0"/>
  </r>
  <r>
    <x v="13"/>
    <s v="Texas State University - San Marcos"/>
    <n v="228459"/>
    <x v="2"/>
    <n v="231"/>
    <n v="82909"/>
    <n v="19151979"/>
    <n v="237"/>
    <n v="85704.033755274257"/>
    <n v="20311856"/>
    <n v="151"/>
    <n v="67767"/>
    <n v="10232817"/>
    <n v="160"/>
    <n v="69742.53125"/>
    <n v="11158805"/>
    <n v="208"/>
    <n v="57406"/>
    <n v="11940448"/>
    <n v="251"/>
    <n v="58966.346613545815"/>
    <n v="14800553"/>
    <n v="5"/>
    <n v="41157"/>
    <n v="205785"/>
    <n v="5"/>
    <n v="39583.800000000003"/>
    <n v="197919"/>
    <n v="243"/>
    <n v="40733"/>
    <n v="9898119"/>
    <n v="245"/>
    <n v="42312.693877551021"/>
    <n v="10366610"/>
    <m/>
    <m/>
    <n v="0"/>
    <m/>
    <m/>
    <n v="0"/>
    <n v="27"/>
    <n v="126153"/>
    <n v="2786896.3842000002"/>
    <n v="32"/>
    <n v="129755.96875"/>
    <n v="3397322.6762000001"/>
    <n v="5"/>
    <n v="102704"/>
    <n v="420162.06400000001"/>
    <n v="4"/>
    <n v="105909.75"/>
    <n v="346621.42980000004"/>
    <m/>
    <m/>
    <n v="0"/>
    <m/>
    <m/>
    <n v="0"/>
    <m/>
    <m/>
    <n v="0"/>
    <m/>
    <m/>
    <n v="0"/>
    <m/>
    <m/>
    <n v="0"/>
    <m/>
    <m/>
    <n v="0"/>
    <m/>
    <m/>
    <n v="0"/>
    <m/>
    <m/>
    <n v="0"/>
  </r>
  <r>
    <x v="13"/>
    <s v="University of Houston-Clear Lake "/>
    <n v="225414"/>
    <x v="2"/>
    <n v="40"/>
    <n v="89236"/>
    <n v="3569440"/>
    <n v="42"/>
    <n v="85551.476190476184"/>
    <n v="3593161.9999999995"/>
    <n v="62"/>
    <n v="68863"/>
    <n v="4269506"/>
    <n v="82"/>
    <n v="66951.768292682929"/>
    <n v="5490045"/>
    <n v="60"/>
    <n v="62497"/>
    <n v="3749820"/>
    <n v="63"/>
    <n v="64753.555555555555"/>
    <n v="4079474"/>
    <n v="2"/>
    <n v="43145"/>
    <n v="86290"/>
    <n v="2"/>
    <n v="43072.5"/>
    <n v="86145"/>
    <n v="34"/>
    <n v="45796"/>
    <n v="1557064"/>
    <n v="27"/>
    <n v="46789.037037037036"/>
    <n v="1263304"/>
    <m/>
    <m/>
    <n v="0"/>
    <m/>
    <m/>
    <n v="0"/>
    <n v="1"/>
    <n v="85279"/>
    <n v="69775.277799999996"/>
    <n v="1"/>
    <n v="85279"/>
    <n v="69775.277799999996"/>
    <m/>
    <m/>
    <n v="0"/>
    <m/>
    <m/>
    <n v="0"/>
    <m/>
    <m/>
    <n v="0"/>
    <m/>
    <m/>
    <n v="0"/>
    <m/>
    <m/>
    <n v="0"/>
    <m/>
    <m/>
    <n v="0"/>
    <n v="3"/>
    <n v="78078"/>
    <n v="191650.25880000001"/>
    <n v="3"/>
    <n v="78078.333333333328"/>
    <n v="191651.07700000002"/>
    <m/>
    <m/>
    <n v="0"/>
    <m/>
    <m/>
    <n v="0"/>
  </r>
  <r>
    <x v="13"/>
    <s v="University of Texas at San Antonio"/>
    <n v="229027"/>
    <x v="2"/>
    <n v="156"/>
    <n v="106990"/>
    <n v="16690440"/>
    <n v="153"/>
    <n v="111776.36601307189"/>
    <n v="17101784"/>
    <n v="180"/>
    <n v="77975"/>
    <n v="14035500"/>
    <n v="180"/>
    <n v="80902.877777777772"/>
    <n v="14562517.999999998"/>
    <n v="177"/>
    <n v="66643"/>
    <n v="11795811"/>
    <n v="173"/>
    <n v="68344.242774566475"/>
    <n v="11823554"/>
    <n v="3"/>
    <n v="47169"/>
    <n v="141507"/>
    <n v="5"/>
    <n v="49561.2"/>
    <n v="247806"/>
    <n v="66"/>
    <n v="43767"/>
    <n v="2888622"/>
    <n v="75"/>
    <n v="51648.946666666663"/>
    <n v="3873670.9999999995"/>
    <m/>
    <m/>
    <n v="0"/>
    <m/>
    <m/>
    <n v="0"/>
    <m/>
    <m/>
    <n v="0"/>
    <m/>
    <m/>
    <n v="0"/>
    <m/>
    <m/>
    <n v="0"/>
    <m/>
    <m/>
    <n v="0"/>
    <m/>
    <m/>
    <n v="0"/>
    <m/>
    <m/>
    <n v="0"/>
    <m/>
    <m/>
    <n v="0"/>
    <m/>
    <m/>
    <n v="0"/>
    <m/>
    <m/>
    <n v="0"/>
    <m/>
    <m/>
    <n v="0"/>
    <m/>
    <m/>
    <n v="0"/>
    <m/>
    <m/>
    <n v="0"/>
  </r>
  <r>
    <x v="13"/>
    <s v="University of Texas at Tyler"/>
    <n v="228802"/>
    <x v="2"/>
    <n v="50"/>
    <n v="76451"/>
    <n v="3822550"/>
    <n v="55"/>
    <n v="81223.854545454538"/>
    <n v="4467312"/>
    <n v="59"/>
    <n v="63252"/>
    <n v="3731868"/>
    <n v="54"/>
    <n v="65373.944444444445"/>
    <n v="3530193"/>
    <n v="60"/>
    <n v="55464"/>
    <n v="3327840"/>
    <n v="69"/>
    <n v="58398"/>
    <n v="4029462"/>
    <n v="45"/>
    <n v="44091"/>
    <n v="1984095"/>
    <n v="41"/>
    <n v="46891.756097560974"/>
    <n v="1922562"/>
    <n v="39"/>
    <n v="43907"/>
    <n v="1712373"/>
    <n v="41"/>
    <n v="49668.439024390245"/>
    <n v="2036406"/>
    <m/>
    <m/>
    <n v="0"/>
    <m/>
    <m/>
    <n v="0"/>
    <m/>
    <m/>
    <n v="0"/>
    <m/>
    <m/>
    <n v="0"/>
    <m/>
    <m/>
    <n v="0"/>
    <m/>
    <m/>
    <n v="0"/>
    <m/>
    <m/>
    <n v="0"/>
    <m/>
    <m/>
    <n v="0"/>
    <m/>
    <m/>
    <n v="0"/>
    <m/>
    <m/>
    <n v="0"/>
    <m/>
    <m/>
    <n v="0"/>
    <m/>
    <m/>
    <n v="0"/>
    <m/>
    <m/>
    <n v="0"/>
    <m/>
    <m/>
    <n v="0"/>
  </r>
  <r>
    <x v="13"/>
    <s v="University of Texas-Pan American"/>
    <n v="227368"/>
    <x v="2"/>
    <n v="99"/>
    <n v="82278"/>
    <n v="8145522"/>
    <n v="107"/>
    <n v="83328"/>
    <n v="8916096"/>
    <n v="148"/>
    <n v="68734"/>
    <n v="10172632"/>
    <n v="148"/>
    <n v="68926"/>
    <n v="10201048"/>
    <n v="191"/>
    <n v="55898"/>
    <n v="10676518"/>
    <n v="204"/>
    <n v="58019"/>
    <n v="11835876"/>
    <m/>
    <m/>
    <n v="0"/>
    <m/>
    <m/>
    <n v="0"/>
    <n v="181"/>
    <n v="42641"/>
    <n v="7718021"/>
    <n v="188"/>
    <n v="47146.106382978724"/>
    <n v="8863468"/>
    <m/>
    <m/>
    <n v="0"/>
    <m/>
    <m/>
    <n v="0"/>
    <n v="1"/>
    <n v="97725"/>
    <n v="79958.595000000001"/>
    <n v="1"/>
    <n v="101634"/>
    <n v="83156.938800000004"/>
    <n v="2"/>
    <n v="88249"/>
    <n v="144410.6636"/>
    <n v="2"/>
    <n v="82819"/>
    <n v="135525.0116"/>
    <n v="10"/>
    <n v="75998"/>
    <n v="621815.63600000006"/>
    <n v="5"/>
    <n v="79737"/>
    <n v="326204.06700000004"/>
    <m/>
    <m/>
    <n v="0"/>
    <n v="0"/>
    <m/>
    <n v="0"/>
    <n v="1"/>
    <n v="38000"/>
    <n v="31091.600000000002"/>
    <n v="6"/>
    <n v="67433.453033333339"/>
    <n v="331044.30763123999"/>
    <m/>
    <m/>
    <n v="0"/>
    <m/>
    <m/>
    <n v="0"/>
  </r>
  <r>
    <x v="13"/>
    <s v="West Texas A &amp; M University"/>
    <n v="229814"/>
    <x v="2"/>
    <n v="35"/>
    <n v="69859"/>
    <n v="2445065"/>
    <n v="27"/>
    <n v="72275.111111111109"/>
    <n v="1951428"/>
    <n v="44"/>
    <n v="59436"/>
    <n v="2615184"/>
    <n v="45"/>
    <n v="61884.977777777778"/>
    <n v="2784824"/>
    <n v="70"/>
    <n v="52653"/>
    <n v="3685710"/>
    <n v="80"/>
    <n v="55213.574999999997"/>
    <n v="4417086"/>
    <n v="61"/>
    <n v="44332"/>
    <n v="2704252"/>
    <n v="68"/>
    <n v="42999.647058823532"/>
    <n v="2923976"/>
    <m/>
    <m/>
    <n v="0"/>
    <m/>
    <m/>
    <n v="0"/>
    <m/>
    <m/>
    <n v="0"/>
    <m/>
    <m/>
    <n v="0"/>
    <n v="12"/>
    <n v="97750"/>
    <n v="959748.60000000009"/>
    <n v="12"/>
    <n v="104185.83333333333"/>
    <n v="1022938.1860000001"/>
    <n v="10"/>
    <n v="90045"/>
    <n v="736748.19000000006"/>
    <n v="10"/>
    <n v="83211.600000000006"/>
    <n v="680837.3112"/>
    <n v="1"/>
    <n v="90117"/>
    <n v="73733.729399999997"/>
    <n v="3"/>
    <n v="85316.666666666672"/>
    <n v="209418.29"/>
    <n v="3"/>
    <n v="60075"/>
    <n v="147460.095"/>
    <n v="5"/>
    <n v="65234.400000000001"/>
    <n v="266873.93040000001"/>
    <m/>
    <m/>
    <n v="0"/>
    <m/>
    <m/>
    <n v="0"/>
    <m/>
    <m/>
    <n v="0"/>
    <m/>
    <m/>
    <n v="0"/>
  </r>
  <r>
    <x v="13"/>
    <s v="Texas A &amp; M -Texarkana"/>
    <n v="224545"/>
    <x v="3"/>
    <n v="19"/>
    <n v="75226"/>
    <n v="1429294"/>
    <n v="19"/>
    <n v="78474.105263157893"/>
    <n v="1491008"/>
    <n v="12"/>
    <n v="58240"/>
    <n v="698880"/>
    <n v="12"/>
    <n v="59344.25"/>
    <n v="712131"/>
    <n v="17"/>
    <n v="57120"/>
    <n v="971040"/>
    <n v="20"/>
    <n v="61953.2"/>
    <n v="1239064"/>
    <n v="2"/>
    <n v="46718"/>
    <n v="93436"/>
    <n v="5"/>
    <n v="50040"/>
    <n v="250200"/>
    <n v="4"/>
    <n v="46762"/>
    <n v="187048"/>
    <m/>
    <m/>
    <n v="0"/>
    <m/>
    <m/>
    <n v="0"/>
    <m/>
    <m/>
    <n v="0"/>
    <n v="6"/>
    <n v="126071"/>
    <n v="618907.75320000004"/>
    <n v="7"/>
    <n v="140490.85714285713"/>
    <n v="804647.33519999997"/>
    <m/>
    <m/>
    <n v="0"/>
    <n v="1"/>
    <n v="86436"/>
    <n v="70721.935200000007"/>
    <m/>
    <m/>
    <n v="0"/>
    <n v="1"/>
    <n v="85180"/>
    <n v="69694.275999999998"/>
    <m/>
    <m/>
    <n v="0"/>
    <m/>
    <m/>
    <n v="0"/>
    <n v="2"/>
    <n v="124169"/>
    <n v="203190.15160000001"/>
    <m/>
    <m/>
    <n v="0"/>
    <m/>
    <m/>
    <n v="0"/>
    <m/>
    <m/>
    <n v="0"/>
  </r>
  <r>
    <x v="13"/>
    <s v="Texas A&amp;M International University"/>
    <n v="226152"/>
    <x v="3"/>
    <n v="13"/>
    <n v="77954"/>
    <n v="1013402"/>
    <n v="15"/>
    <n v="81600.733333333337"/>
    <n v="1224011"/>
    <n v="46"/>
    <n v="63682"/>
    <n v="2929372"/>
    <n v="43"/>
    <n v="65470.651162790695"/>
    <n v="2815238"/>
    <n v="73"/>
    <n v="56023"/>
    <n v="4089679"/>
    <n v="74"/>
    <n v="59268.25675675676"/>
    <n v="4385851"/>
    <n v="17"/>
    <n v="41411"/>
    <n v="703987"/>
    <n v="25"/>
    <n v="38812.68"/>
    <n v="970317"/>
    <n v="3"/>
    <n v="30866"/>
    <n v="92598"/>
    <m/>
    <m/>
    <n v="0"/>
    <m/>
    <m/>
    <n v="0"/>
    <m/>
    <m/>
    <n v="0"/>
    <n v="5"/>
    <n v="121340"/>
    <n v="496401.94"/>
    <n v="7"/>
    <n v="124360"/>
    <n v="712259.46400000004"/>
    <n v="8"/>
    <n v="87781"/>
    <n v="574579.31359999999"/>
    <n v="7"/>
    <n v="87527.142857142855"/>
    <n v="501302.95800000004"/>
    <n v="8"/>
    <n v="83238"/>
    <n v="544842.65280000004"/>
    <n v="8"/>
    <n v="86478.125"/>
    <n v="566051.21500000008"/>
    <n v="1"/>
    <n v="48592"/>
    <n v="39757.974399999999"/>
    <n v="1"/>
    <n v="49647"/>
    <n v="40621.1754"/>
    <m/>
    <m/>
    <n v="0"/>
    <n v="1"/>
    <n v="37833.567999999999"/>
    <n v="30955.425337600002"/>
    <m/>
    <m/>
    <n v="0"/>
    <m/>
    <m/>
    <n v="0"/>
  </r>
  <r>
    <x v="13"/>
    <s v="University of Texas at Brownsville"/>
    <n v="227377"/>
    <x v="3"/>
    <n v="35"/>
    <n v="72095"/>
    <n v="2523325"/>
    <n v="40"/>
    <n v="76061.25"/>
    <n v="3042450"/>
    <n v="92"/>
    <n v="61986"/>
    <n v="5702712"/>
    <n v="90"/>
    <n v="64896.588888888888"/>
    <n v="5840693"/>
    <n v="101"/>
    <n v="55010"/>
    <n v="5556010"/>
    <n v="98"/>
    <n v="55962.581632653062"/>
    <n v="5484333"/>
    <n v="51"/>
    <n v="53447"/>
    <n v="2725797"/>
    <n v="56"/>
    <n v="54486.696428571428"/>
    <n v="3051255"/>
    <n v="55"/>
    <n v="41872"/>
    <n v="2302960"/>
    <n v="63"/>
    <n v="44348.603174603173"/>
    <n v="2793962"/>
    <m/>
    <m/>
    <n v="0"/>
    <m/>
    <m/>
    <n v="0"/>
    <n v="1"/>
    <n v="126723"/>
    <n v="103684.7586"/>
    <n v="2"/>
    <n v="133262.5"/>
    <n v="218070.755"/>
    <n v="4"/>
    <n v="76858"/>
    <n v="251540.86240000001"/>
    <n v="4"/>
    <n v="81212.75"/>
    <n v="265793.0882"/>
    <n v="3"/>
    <n v="55517"/>
    <n v="136272.0282"/>
    <n v="2"/>
    <n v="65238.5"/>
    <n v="106756.28140000001"/>
    <n v="23"/>
    <n v="59836"/>
    <n v="1126029.7496"/>
    <n v="24"/>
    <n v="62714.875"/>
    <n v="1231519.4574"/>
    <n v="11"/>
    <n v="49417"/>
    <n v="444762.88340000005"/>
    <n v="12"/>
    <n v="37666.996116666669"/>
    <n v="369829.63467187999"/>
    <m/>
    <m/>
    <n v="0"/>
    <m/>
    <m/>
    <n v="0"/>
  </r>
  <r>
    <x v="13"/>
    <s v="University of Texas of the Permian Basin"/>
    <n v="229018"/>
    <x v="3"/>
    <n v="18"/>
    <n v="76924"/>
    <n v="1384632"/>
    <n v="18"/>
    <n v="79658.5"/>
    <n v="1433853"/>
    <n v="32"/>
    <n v="64418"/>
    <n v="2061376"/>
    <n v="31"/>
    <n v="66414.483870967742"/>
    <n v="2058849"/>
    <n v="40"/>
    <n v="55621"/>
    <n v="2224840"/>
    <n v="38"/>
    <n v="57156.526315789473"/>
    <n v="2171948"/>
    <m/>
    <m/>
    <n v="0"/>
    <m/>
    <m/>
    <n v="0"/>
    <n v="27"/>
    <n v="42424"/>
    <n v="1145448"/>
    <n v="29"/>
    <n v="44245.172413793101"/>
    <n v="1283110"/>
    <m/>
    <m/>
    <n v="0"/>
    <m/>
    <m/>
    <n v="0"/>
    <m/>
    <m/>
    <n v="0"/>
    <m/>
    <m/>
    <n v="0"/>
    <m/>
    <m/>
    <n v="0"/>
    <m/>
    <m/>
    <n v="0"/>
    <m/>
    <m/>
    <n v="0"/>
    <m/>
    <m/>
    <n v="0"/>
    <m/>
    <m/>
    <n v="0"/>
    <m/>
    <m/>
    <n v="0"/>
    <m/>
    <m/>
    <n v="0"/>
    <m/>
    <m/>
    <n v="0"/>
    <m/>
    <m/>
    <n v="0"/>
    <m/>
    <m/>
    <n v="0"/>
  </r>
  <r>
    <x v="13"/>
    <s v="Sul Ross State University-Rio Grande College"/>
    <n v="227924"/>
    <x v="4"/>
    <m/>
    <m/>
    <n v="0"/>
    <m/>
    <m/>
    <n v="0"/>
    <m/>
    <m/>
    <n v="0"/>
    <m/>
    <m/>
    <n v="0"/>
    <m/>
    <m/>
    <n v="0"/>
    <m/>
    <m/>
    <n v="0"/>
    <m/>
    <m/>
    <n v="0"/>
    <m/>
    <m/>
    <n v="0"/>
    <m/>
    <m/>
    <n v="0"/>
    <m/>
    <m/>
    <n v="0"/>
    <m/>
    <m/>
    <n v="0"/>
    <m/>
    <m/>
    <n v="0"/>
    <m/>
    <m/>
    <n v="0"/>
    <m/>
    <m/>
    <n v="0"/>
    <m/>
    <m/>
    <n v="0"/>
    <m/>
    <m/>
    <n v="0"/>
    <m/>
    <m/>
    <n v="0"/>
    <m/>
    <m/>
    <n v="0"/>
    <m/>
    <m/>
    <n v="0"/>
    <m/>
    <m/>
    <n v="0"/>
    <m/>
    <m/>
    <n v="0"/>
    <m/>
    <m/>
    <n v="0"/>
    <m/>
    <m/>
    <n v="0"/>
    <m/>
    <m/>
    <n v="0"/>
  </r>
  <r>
    <x v="13"/>
    <s v="University of Houston-Downtown"/>
    <n v="225432"/>
    <x v="4"/>
    <n v="34"/>
    <n v="81464"/>
    <n v="2769776"/>
    <n v="41"/>
    <n v="84728.682926829264"/>
    <n v="3473876"/>
    <n v="74"/>
    <n v="65213"/>
    <n v="4825762"/>
    <n v="83"/>
    <n v="67934.313253012049"/>
    <n v="5638548"/>
    <n v="92"/>
    <n v="54302"/>
    <n v="4995784"/>
    <n v="88"/>
    <n v="56622.625"/>
    <n v="4982791"/>
    <n v="9"/>
    <n v="47360"/>
    <n v="426240"/>
    <n v="3"/>
    <n v="58056.333333333336"/>
    <n v="174169"/>
    <n v="58"/>
    <n v="43999"/>
    <n v="2551942"/>
    <n v="52"/>
    <n v="44969.211538461539"/>
    <n v="2338399"/>
    <m/>
    <m/>
    <n v="0"/>
    <m/>
    <m/>
    <n v="0"/>
    <n v="4"/>
    <n v="105720"/>
    <n v="346000.41600000003"/>
    <n v="4"/>
    <n v="105959.25"/>
    <n v="346783.43340000004"/>
    <n v="7"/>
    <n v="89014"/>
    <n v="509818.78360000002"/>
    <n v="7"/>
    <n v="93037.571428571435"/>
    <n v="532863.38659999997"/>
    <m/>
    <m/>
    <n v="0"/>
    <m/>
    <m/>
    <n v="0"/>
    <m/>
    <m/>
    <n v="0"/>
    <m/>
    <m/>
    <n v="0"/>
    <n v="3"/>
    <n v="52227"/>
    <n v="128196.39420000001"/>
    <n v="3"/>
    <n v="54496.333333333336"/>
    <n v="133766.6998"/>
    <m/>
    <m/>
    <n v="0"/>
    <m/>
    <m/>
    <n v="0"/>
  </r>
  <r>
    <x v="13"/>
    <s v="University of Houston-Victoria"/>
    <n v="225502"/>
    <x v="4"/>
    <n v="16"/>
    <n v="84500"/>
    <n v="1352000"/>
    <n v="17"/>
    <n v="86953.176470588238"/>
    <n v="1478204"/>
    <n v="26"/>
    <n v="71856"/>
    <n v="1868256"/>
    <n v="26"/>
    <n v="73849.423076923078"/>
    <n v="1920085"/>
    <n v="30"/>
    <n v="63489"/>
    <n v="1904670"/>
    <n v="35"/>
    <n v="64533.885714285716"/>
    <n v="2258686"/>
    <n v="1"/>
    <n v="33000"/>
    <n v="33000"/>
    <n v="3"/>
    <n v="38900"/>
    <n v="116700"/>
    <n v="4"/>
    <n v="66500"/>
    <n v="266000"/>
    <n v="3"/>
    <n v="53047"/>
    <n v="159141"/>
    <m/>
    <m/>
    <n v="0"/>
    <m/>
    <m/>
    <n v="0"/>
    <n v="2"/>
    <n v="129916"/>
    <n v="212594.54240000001"/>
    <n v="2"/>
    <n v="121952.5"/>
    <n v="199563.071"/>
    <n v="2"/>
    <n v="125867"/>
    <n v="205968.75880000001"/>
    <n v="2"/>
    <n v="123472"/>
    <n v="202049.5808"/>
    <m/>
    <m/>
    <n v="0"/>
    <m/>
    <m/>
    <n v="0"/>
    <m/>
    <m/>
    <n v="0"/>
    <m/>
    <m/>
    <n v="0"/>
    <m/>
    <m/>
    <n v="0"/>
    <m/>
    <m/>
    <n v="0"/>
    <m/>
    <m/>
    <n v="0"/>
    <m/>
    <m/>
    <n v="0"/>
  </r>
  <r>
    <x v="13"/>
    <s v="Texas A &amp; M University at Galveston"/>
    <n v="228714"/>
    <x v="5"/>
    <n v="16"/>
    <n v="87073"/>
    <n v="1393168"/>
    <n v="16"/>
    <n v="87199.25"/>
    <n v="1395188"/>
    <n v="15"/>
    <n v="62395"/>
    <n v="935925"/>
    <n v="15"/>
    <n v="62401.466666666667"/>
    <n v="936022"/>
    <n v="12"/>
    <n v="56533"/>
    <n v="678396"/>
    <n v="13"/>
    <n v="57889.769230769234"/>
    <n v="752567"/>
    <m/>
    <m/>
    <n v="0"/>
    <m/>
    <m/>
    <n v="0"/>
    <n v="26"/>
    <n v="45104"/>
    <n v="1172704"/>
    <n v="26"/>
    <n v="45010.961538461539"/>
    <n v="1170285"/>
    <m/>
    <m/>
    <n v="0"/>
    <m/>
    <m/>
    <n v="0"/>
    <n v="7"/>
    <n v="131434"/>
    <n v="752775.09160000004"/>
    <n v="7"/>
    <n v="131433.85714285713"/>
    <n v="752774.27339999995"/>
    <m/>
    <m/>
    <n v="0"/>
    <m/>
    <m/>
    <n v="0"/>
    <m/>
    <m/>
    <n v="0"/>
    <m/>
    <m/>
    <n v="0"/>
    <m/>
    <m/>
    <n v="0"/>
    <m/>
    <m/>
    <n v="0"/>
    <n v="13"/>
    <n v="59517"/>
    <n v="633058.52220000001"/>
    <n v="16"/>
    <n v="56708.4375"/>
    <n v="742381.49700000009"/>
    <m/>
    <m/>
    <n v="0"/>
    <m/>
    <m/>
    <n v="0"/>
  </r>
  <r>
    <x v="13"/>
    <s v="Amarillo College "/>
    <n v="222576"/>
    <x v="6"/>
    <n v="30"/>
    <n v="59058"/>
    <n v="1771740"/>
    <n v="32"/>
    <n v="59551.9375"/>
    <n v="1905662"/>
    <n v="24"/>
    <n v="52985"/>
    <n v="1271640"/>
    <n v="22"/>
    <n v="52809.181818181816"/>
    <n v="1161802"/>
    <n v="26"/>
    <n v="49180"/>
    <n v="1278680"/>
    <n v="20"/>
    <n v="50108.5"/>
    <n v="1002170"/>
    <n v="101"/>
    <n v="42774"/>
    <n v="4320174"/>
    <n v="106"/>
    <n v="43670.990566037734"/>
    <n v="4629125"/>
    <m/>
    <m/>
    <n v="0"/>
    <m/>
    <m/>
    <n v="0"/>
    <m/>
    <m/>
    <n v="0"/>
    <m/>
    <m/>
    <n v="0"/>
    <n v="10"/>
    <n v="72371"/>
    <n v="592139.522"/>
    <n v="7"/>
    <n v="75222.571428571435"/>
    <n v="430829.75560000003"/>
    <n v="4"/>
    <n v="62427"/>
    <n v="204311.08560000002"/>
    <n v="6"/>
    <n v="62338"/>
    <n v="306029.7096"/>
    <n v="7"/>
    <n v="66293"/>
    <n v="379686.5282"/>
    <n v="11"/>
    <n v="63925.36363636364"/>
    <n v="575341.05780000007"/>
    <n v="23"/>
    <n v="56000"/>
    <n v="1053841.6000000001"/>
    <n v="24"/>
    <n v="55585.375"/>
    <n v="1091518.8918000001"/>
    <m/>
    <m/>
    <n v="0"/>
    <m/>
    <m/>
    <n v="0"/>
    <m/>
    <m/>
    <n v="0"/>
    <m/>
    <m/>
    <n v="0"/>
  </r>
  <r>
    <x v="13"/>
    <s v="Austin Community College "/>
    <n v="222992"/>
    <x v="6"/>
    <n v="32"/>
    <n v="65509"/>
    <n v="2096288"/>
    <n v="35"/>
    <n v="67985.114285714284"/>
    <n v="2379479"/>
    <n v="21"/>
    <n v="52385"/>
    <n v="1100085"/>
    <n v="18"/>
    <n v="58573"/>
    <n v="1054314"/>
    <n v="8"/>
    <n v="44084"/>
    <n v="352672"/>
    <n v="7"/>
    <n v="44220.142857142855"/>
    <n v="309541"/>
    <m/>
    <m/>
    <n v="0"/>
    <m/>
    <m/>
    <n v="0"/>
    <m/>
    <m/>
    <n v="0"/>
    <m/>
    <m/>
    <n v="0"/>
    <m/>
    <m/>
    <n v="0"/>
    <m/>
    <m/>
    <n v="0"/>
    <n v="273"/>
    <n v="80977"/>
    <n v="18087719.122200001"/>
    <n v="286"/>
    <n v="83626.6013986014"/>
    <n v="19569059.5856"/>
    <n v="116"/>
    <n v="62219"/>
    <n v="5905279.9528000001"/>
    <n v="129"/>
    <n v="63541.038759689924"/>
    <n v="6706616.8508000001"/>
    <n v="49"/>
    <n v="53725"/>
    <n v="2153931.9550000001"/>
    <n v="55"/>
    <n v="54096.290909090909"/>
    <n v="2434387.1872"/>
    <m/>
    <m/>
    <n v="0"/>
    <m/>
    <m/>
    <n v="0"/>
    <m/>
    <m/>
    <n v="0"/>
    <m/>
    <m/>
    <n v="0"/>
    <m/>
    <m/>
    <n v="0"/>
    <m/>
    <m/>
    <n v="0"/>
  </r>
  <r>
    <x v="13"/>
    <s v="Blinn College "/>
    <n v="223427"/>
    <x v="6"/>
    <m/>
    <m/>
    <n v="0"/>
    <m/>
    <m/>
    <n v="0"/>
    <m/>
    <m/>
    <n v="0"/>
    <m/>
    <m/>
    <n v="0"/>
    <m/>
    <m/>
    <n v="0"/>
    <m/>
    <m/>
    <n v="0"/>
    <m/>
    <m/>
    <n v="0"/>
    <m/>
    <m/>
    <n v="0"/>
    <m/>
    <m/>
    <n v="0"/>
    <m/>
    <m/>
    <n v="0"/>
    <n v="267"/>
    <n v="44628"/>
    <n v="11915676"/>
    <n v="256"/>
    <n v="49130.71484375"/>
    <n v="12577463"/>
    <m/>
    <m/>
    <n v="0"/>
    <m/>
    <m/>
    <n v="0"/>
    <m/>
    <m/>
    <n v="0"/>
    <m/>
    <m/>
    <n v="0"/>
    <m/>
    <m/>
    <n v="0"/>
    <m/>
    <m/>
    <n v="0"/>
    <m/>
    <m/>
    <n v="0"/>
    <m/>
    <m/>
    <n v="0"/>
    <m/>
    <m/>
    <n v="0"/>
    <m/>
    <m/>
    <n v="0"/>
    <n v="27"/>
    <n v="47504"/>
    <n v="1049429.8656000001"/>
    <n v="47"/>
    <n v="46201.063829787236"/>
    <n v="1776680.3900000001"/>
  </r>
  <r>
    <x v="13"/>
    <s v="Brookhaven College  (DCCCD)"/>
    <n v="223524"/>
    <x v="6"/>
    <m/>
    <m/>
    <n v="0"/>
    <m/>
    <m/>
    <n v="0"/>
    <m/>
    <m/>
    <n v="0"/>
    <m/>
    <m/>
    <n v="0"/>
    <m/>
    <m/>
    <n v="0"/>
    <m/>
    <m/>
    <n v="0"/>
    <m/>
    <m/>
    <n v="0"/>
    <m/>
    <m/>
    <n v="0"/>
    <m/>
    <m/>
    <n v="0"/>
    <m/>
    <m/>
    <n v="0"/>
    <n v="121"/>
    <n v="59408"/>
    <n v="7188368"/>
    <n v="125"/>
    <n v="58907.392"/>
    <n v="7363424"/>
    <m/>
    <m/>
    <n v="0"/>
    <m/>
    <m/>
    <n v="0"/>
    <m/>
    <m/>
    <n v="0"/>
    <m/>
    <m/>
    <n v="0"/>
    <m/>
    <m/>
    <n v="0"/>
    <m/>
    <m/>
    <n v="0"/>
    <m/>
    <m/>
    <n v="0"/>
    <m/>
    <m/>
    <n v="0"/>
    <m/>
    <m/>
    <n v="0"/>
    <m/>
    <m/>
    <n v="0"/>
    <m/>
    <m/>
    <n v="0"/>
    <m/>
    <m/>
    <n v="0"/>
  </r>
  <r>
    <x v="13"/>
    <s v="Central Texas College "/>
    <n v="223816"/>
    <x v="6"/>
    <n v="85"/>
    <n v="56563"/>
    <n v="4807855"/>
    <n v="82"/>
    <n v="60734.939024390245"/>
    <n v="4980265"/>
    <m/>
    <m/>
    <n v="0"/>
    <m/>
    <m/>
    <n v="0"/>
    <m/>
    <m/>
    <n v="0"/>
    <m/>
    <m/>
    <n v="0"/>
    <m/>
    <m/>
    <n v="0"/>
    <m/>
    <m/>
    <n v="0"/>
    <m/>
    <m/>
    <n v="0"/>
    <m/>
    <m/>
    <n v="0"/>
    <m/>
    <m/>
    <n v="0"/>
    <m/>
    <m/>
    <n v="0"/>
    <n v="70"/>
    <n v="66797"/>
    <n v="3825731.378"/>
    <n v="77"/>
    <n v="69312.857142857145"/>
    <n v="4366807.0380000006"/>
    <m/>
    <m/>
    <n v="0"/>
    <m/>
    <m/>
    <n v="0"/>
    <m/>
    <m/>
    <n v="0"/>
    <m/>
    <m/>
    <n v="0"/>
    <n v="117"/>
    <n v="37341"/>
    <n v="3574631.5254000002"/>
    <n v="93"/>
    <n v="35454.440860215051"/>
    <n v="2697820.5865999996"/>
    <m/>
    <m/>
    <n v="0"/>
    <m/>
    <m/>
    <n v="0"/>
    <m/>
    <m/>
    <n v="0"/>
    <m/>
    <m/>
    <n v="0"/>
  </r>
  <r>
    <x v="13"/>
    <s v="Collin County Community College District"/>
    <n v="247834"/>
    <x v="6"/>
    <m/>
    <m/>
    <n v="0"/>
    <m/>
    <m/>
    <n v="0"/>
    <m/>
    <m/>
    <n v="0"/>
    <m/>
    <m/>
    <n v="0"/>
    <m/>
    <m/>
    <n v="0"/>
    <m/>
    <m/>
    <n v="0"/>
    <m/>
    <m/>
    <n v="0"/>
    <m/>
    <m/>
    <n v="0"/>
    <m/>
    <m/>
    <n v="0"/>
    <m/>
    <m/>
    <n v="0"/>
    <n v="274"/>
    <n v="58881"/>
    <n v="16133394"/>
    <n v="291"/>
    <n v="53613.182130584195"/>
    <n v="15601436"/>
    <m/>
    <m/>
    <n v="0"/>
    <m/>
    <m/>
    <n v="0"/>
    <m/>
    <m/>
    <n v="0"/>
    <m/>
    <m/>
    <n v="0"/>
    <m/>
    <m/>
    <n v="0"/>
    <m/>
    <m/>
    <n v="0"/>
    <m/>
    <m/>
    <n v="0"/>
    <m/>
    <m/>
    <n v="0"/>
    <m/>
    <m/>
    <n v="0"/>
    <m/>
    <m/>
    <n v="0"/>
    <m/>
    <m/>
    <n v="0"/>
    <n v="2"/>
    <n v="51553"/>
    <n v="84361.329200000007"/>
  </r>
  <r>
    <x v="13"/>
    <s v="Del Mar College "/>
    <n v="224350"/>
    <x v="6"/>
    <n v="93"/>
    <n v="65734"/>
    <n v="6113262"/>
    <n v="80"/>
    <n v="67576.625"/>
    <n v="5406130"/>
    <n v="31"/>
    <n v="56365"/>
    <n v="1747315"/>
    <n v="33"/>
    <n v="58219.727272727272"/>
    <n v="1921251"/>
    <n v="72"/>
    <n v="49279"/>
    <n v="3548088"/>
    <n v="77"/>
    <n v="52470.727272727272"/>
    <n v="4040246"/>
    <n v="70"/>
    <n v="43174"/>
    <n v="3022180"/>
    <n v="59"/>
    <n v="45027.949152542373"/>
    <n v="2656649"/>
    <m/>
    <m/>
    <n v="0"/>
    <m/>
    <m/>
    <n v="0"/>
    <m/>
    <m/>
    <n v="0"/>
    <n v="47"/>
    <n v="45832.255319148935"/>
    <n v="2154116"/>
    <n v="2"/>
    <n v="85304"/>
    <n v="139591.4656"/>
    <n v="4"/>
    <n v="90399"/>
    <n v="295857.84720000002"/>
    <n v="1"/>
    <n v="75996"/>
    <n v="62179.927200000006"/>
    <m/>
    <m/>
    <n v="0"/>
    <m/>
    <m/>
    <n v="0"/>
    <m/>
    <m/>
    <n v="0"/>
    <n v="1"/>
    <n v="41191"/>
    <n v="33702.476200000005"/>
    <m/>
    <m/>
    <n v="0"/>
    <m/>
    <m/>
    <n v="0"/>
    <m/>
    <m/>
    <n v="0"/>
    <m/>
    <m/>
    <n v="0"/>
    <m/>
    <m/>
    <n v="0"/>
  </r>
  <r>
    <x v="13"/>
    <s v="Eastfield College  (DCCCD)"/>
    <n v="224572"/>
    <x v="6"/>
    <m/>
    <m/>
    <n v="0"/>
    <m/>
    <m/>
    <n v="0"/>
    <m/>
    <m/>
    <n v="0"/>
    <m/>
    <m/>
    <n v="0"/>
    <m/>
    <m/>
    <n v="0"/>
    <m/>
    <m/>
    <n v="0"/>
    <m/>
    <m/>
    <n v="0"/>
    <m/>
    <m/>
    <n v="0"/>
    <m/>
    <m/>
    <n v="0"/>
    <m/>
    <m/>
    <n v="0"/>
    <n v="107"/>
    <n v="58197"/>
    <n v="6227079"/>
    <n v="104"/>
    <n v="60837.528846153844"/>
    <n v="6327103"/>
    <m/>
    <m/>
    <n v="0"/>
    <m/>
    <m/>
    <n v="0"/>
    <m/>
    <m/>
    <n v="0"/>
    <m/>
    <m/>
    <n v="0"/>
    <m/>
    <m/>
    <n v="0"/>
    <m/>
    <m/>
    <n v="0"/>
    <m/>
    <m/>
    <n v="0"/>
    <m/>
    <m/>
    <n v="0"/>
    <m/>
    <m/>
    <n v="0"/>
    <m/>
    <m/>
    <n v="0"/>
    <m/>
    <m/>
    <n v="0"/>
    <m/>
    <m/>
    <n v="0"/>
  </r>
  <r>
    <x v="13"/>
    <s v="El Paso County Community College District"/>
    <n v="224642"/>
    <x v="6"/>
    <n v="168"/>
    <n v="59495"/>
    <n v="9995160"/>
    <n v="162"/>
    <n v="61503.395061728392"/>
    <n v="9963550"/>
    <n v="73"/>
    <n v="45229"/>
    <n v="3301717"/>
    <n v="74"/>
    <n v="45938.445945945947"/>
    <n v="3399445"/>
    <n v="96"/>
    <n v="40781"/>
    <n v="3914976"/>
    <n v="95"/>
    <n v="42673.905263157896"/>
    <n v="4054021"/>
    <n v="1"/>
    <n v="42332"/>
    <n v="42332"/>
    <n v="23"/>
    <n v="47837.739130434784"/>
    <n v="1100268"/>
    <n v="35"/>
    <n v="31844"/>
    <n v="1114540"/>
    <n v="31"/>
    <n v="37489.741935483871"/>
    <n v="1162182"/>
    <m/>
    <m/>
    <n v="0"/>
    <n v="9"/>
    <n v="26232.555555555555"/>
    <n v="236093"/>
    <m/>
    <m/>
    <n v="0"/>
    <m/>
    <m/>
    <n v="0"/>
    <m/>
    <m/>
    <n v="0"/>
    <m/>
    <m/>
    <n v="0"/>
    <m/>
    <m/>
    <n v="0"/>
    <m/>
    <m/>
    <n v="0"/>
    <n v="24"/>
    <n v="47499"/>
    <n v="932728.36320000002"/>
    <m/>
    <m/>
    <n v="0"/>
    <m/>
    <m/>
    <n v="0"/>
    <m/>
    <m/>
    <n v="0"/>
    <m/>
    <m/>
    <n v="0"/>
    <m/>
    <m/>
    <n v="0"/>
  </r>
  <r>
    <x v="13"/>
    <s v="Houston Community College"/>
    <n v="225423"/>
    <x v="6"/>
    <m/>
    <m/>
    <n v="0"/>
    <m/>
    <m/>
    <n v="0"/>
    <m/>
    <m/>
    <n v="0"/>
    <m/>
    <m/>
    <n v="0"/>
    <m/>
    <m/>
    <n v="0"/>
    <m/>
    <m/>
    <n v="0"/>
    <n v="530"/>
    <n v="49171"/>
    <n v="26060630"/>
    <n v="526"/>
    <n v="51903.44866920152"/>
    <n v="27301214"/>
    <m/>
    <m/>
    <n v="0"/>
    <m/>
    <m/>
    <n v="0"/>
    <m/>
    <m/>
    <n v="0"/>
    <m/>
    <m/>
    <n v="0"/>
    <m/>
    <m/>
    <n v="0"/>
    <m/>
    <m/>
    <n v="0"/>
    <m/>
    <m/>
    <n v="0"/>
    <m/>
    <m/>
    <n v="0"/>
    <m/>
    <m/>
    <n v="0"/>
    <m/>
    <m/>
    <n v="0"/>
    <n v="291"/>
    <n v="66781"/>
    <n v="15900302.3322"/>
    <n v="303"/>
    <n v="69043.240924092403"/>
    <n v="17116827.4564"/>
    <m/>
    <m/>
    <n v="0"/>
    <m/>
    <m/>
    <n v="0"/>
    <m/>
    <m/>
    <n v="0"/>
    <m/>
    <m/>
    <n v="0"/>
  </r>
  <r>
    <x v="13"/>
    <s v="Laredo Community College "/>
    <n v="226134"/>
    <x v="6"/>
    <m/>
    <m/>
    <n v="0"/>
    <m/>
    <m/>
    <n v="0"/>
    <m/>
    <m/>
    <n v="0"/>
    <m/>
    <m/>
    <n v="0"/>
    <m/>
    <m/>
    <n v="0"/>
    <m/>
    <m/>
    <n v="0"/>
    <n v="179"/>
    <n v="52796"/>
    <n v="9450484"/>
    <n v="177"/>
    <n v="54470.91525423729"/>
    <n v="9641352"/>
    <m/>
    <m/>
    <n v="0"/>
    <m/>
    <m/>
    <n v="0"/>
    <m/>
    <m/>
    <n v="0"/>
    <m/>
    <m/>
    <n v="0"/>
    <m/>
    <m/>
    <n v="0"/>
    <m/>
    <m/>
    <n v="0"/>
    <m/>
    <m/>
    <n v="0"/>
    <m/>
    <m/>
    <n v="0"/>
    <m/>
    <m/>
    <n v="0"/>
    <m/>
    <m/>
    <n v="0"/>
    <n v="14"/>
    <n v="66195"/>
    <n v="758250.48600000003"/>
    <n v="15"/>
    <n v="67580.2"/>
    <n v="829411.79460000002"/>
    <m/>
    <m/>
    <n v="0"/>
    <m/>
    <m/>
    <n v="0"/>
    <m/>
    <m/>
    <n v="0"/>
    <m/>
    <m/>
    <n v="0"/>
  </r>
  <r>
    <x v="13"/>
    <s v="McLennan Community College "/>
    <n v="226578"/>
    <x v="6"/>
    <m/>
    <m/>
    <n v="0"/>
    <m/>
    <m/>
    <n v="0"/>
    <m/>
    <m/>
    <n v="0"/>
    <m/>
    <m/>
    <n v="0"/>
    <m/>
    <m/>
    <n v="0"/>
    <m/>
    <m/>
    <n v="0"/>
    <m/>
    <m/>
    <n v="0"/>
    <m/>
    <m/>
    <n v="0"/>
    <m/>
    <m/>
    <n v="0"/>
    <m/>
    <m/>
    <n v="0"/>
    <n v="167"/>
    <n v="55750"/>
    <n v="9310250"/>
    <n v="172"/>
    <n v="58105.25"/>
    <n v="9994103"/>
    <m/>
    <m/>
    <n v="0"/>
    <m/>
    <m/>
    <n v="0"/>
    <m/>
    <m/>
    <n v="0"/>
    <m/>
    <m/>
    <n v="0"/>
    <m/>
    <m/>
    <n v="0"/>
    <m/>
    <m/>
    <n v="0"/>
    <m/>
    <m/>
    <n v="0"/>
    <m/>
    <m/>
    <n v="0"/>
    <m/>
    <m/>
    <n v="0"/>
    <m/>
    <m/>
    <n v="0"/>
    <n v="16"/>
    <n v="51968"/>
    <n v="680323.48160000006"/>
    <n v="18"/>
    <n v="55742.888888888891"/>
    <n v="820958.97039999999"/>
  </r>
  <r>
    <x v="13"/>
    <s v="Navarro College "/>
    <n v="227146"/>
    <x v="6"/>
    <m/>
    <m/>
    <n v="0"/>
    <n v="40"/>
    <n v="53963.3"/>
    <n v="2158532"/>
    <m/>
    <m/>
    <n v="0"/>
    <n v="34"/>
    <n v="48796.176470588238"/>
    <n v="1659070"/>
    <m/>
    <m/>
    <n v="0"/>
    <n v="3"/>
    <n v="46548"/>
    <n v="139644"/>
    <n v="83"/>
    <n v="50285"/>
    <n v="4173655"/>
    <m/>
    <m/>
    <n v="0"/>
    <m/>
    <m/>
    <n v="0"/>
    <m/>
    <m/>
    <n v="0"/>
    <m/>
    <m/>
    <n v="0"/>
    <m/>
    <m/>
    <n v="0"/>
    <m/>
    <m/>
    <n v="0"/>
    <n v="3"/>
    <n v="48561.666666666664"/>
    <n v="119199.467"/>
    <m/>
    <m/>
    <n v="0"/>
    <n v="21"/>
    <n v="68385.142857142855"/>
    <n v="1175007.2016"/>
    <m/>
    <m/>
    <n v="0"/>
    <n v="12"/>
    <n v="59901.666666666664"/>
    <n v="588138.52399999998"/>
    <n v="29"/>
    <n v="55211"/>
    <n v="1310035.5658"/>
    <m/>
    <m/>
    <n v="0"/>
    <m/>
    <m/>
    <n v="0"/>
    <m/>
    <m/>
    <n v="0"/>
    <m/>
    <m/>
    <n v="0"/>
    <m/>
    <m/>
    <n v="0"/>
  </r>
  <r>
    <x v="13"/>
    <s v="North Harris Montgomery Community College District"/>
    <n v="227182"/>
    <x v="6"/>
    <n v="429"/>
    <n v="65966"/>
    <n v="28299414"/>
    <n v="450"/>
    <n v="67570.451111111106"/>
    <n v="30406702.999999996"/>
    <n v="114"/>
    <n v="50639"/>
    <n v="5772846"/>
    <n v="114"/>
    <n v="53397.324561403511"/>
    <n v="6087295"/>
    <n v="31"/>
    <n v="45676"/>
    <n v="1415956"/>
    <n v="27"/>
    <n v="50585.703703703701"/>
    <n v="1365814"/>
    <m/>
    <m/>
    <n v="0"/>
    <n v="4"/>
    <n v="30660"/>
    <n v="122640"/>
    <m/>
    <m/>
    <n v="0"/>
    <m/>
    <m/>
    <n v="0"/>
    <m/>
    <m/>
    <n v="0"/>
    <m/>
    <m/>
    <n v="0"/>
    <n v="29"/>
    <n v="73878"/>
    <n v="1752962.4084000001"/>
    <n v="33"/>
    <n v="72692.818181818177"/>
    <n v="1962749.7066000002"/>
    <n v="16"/>
    <n v="55238"/>
    <n v="723131.70559999999"/>
    <n v="18"/>
    <n v="58728.111111111109"/>
    <n v="864924.12920000008"/>
    <n v="6"/>
    <n v="50324"/>
    <n v="247050.58080000003"/>
    <n v="14"/>
    <n v="57442.928571428572"/>
    <n v="657997.25820000004"/>
    <m/>
    <m/>
    <n v="0"/>
    <m/>
    <m/>
    <n v="0"/>
    <m/>
    <m/>
    <n v="0"/>
    <m/>
    <m/>
    <n v="0"/>
    <m/>
    <m/>
    <n v="0"/>
    <m/>
    <m/>
    <n v="0"/>
  </r>
  <r>
    <x v="13"/>
    <s v="North Lake College  (DCCCD)"/>
    <n v="227191"/>
    <x v="6"/>
    <m/>
    <m/>
    <n v="0"/>
    <m/>
    <m/>
    <n v="0"/>
    <m/>
    <m/>
    <n v="0"/>
    <m/>
    <m/>
    <n v="0"/>
    <m/>
    <m/>
    <n v="0"/>
    <m/>
    <m/>
    <n v="0"/>
    <m/>
    <m/>
    <n v="0"/>
    <m/>
    <m/>
    <n v="0"/>
    <m/>
    <m/>
    <n v="0"/>
    <m/>
    <m/>
    <n v="0"/>
    <n v="93"/>
    <n v="57248"/>
    <n v="5324064"/>
    <n v="103"/>
    <n v="58378.2427184466"/>
    <n v="6012959"/>
    <m/>
    <m/>
    <n v="0"/>
    <m/>
    <m/>
    <n v="0"/>
    <m/>
    <m/>
    <n v="0"/>
    <m/>
    <m/>
    <n v="0"/>
    <m/>
    <m/>
    <n v="0"/>
    <m/>
    <m/>
    <n v="0"/>
    <m/>
    <m/>
    <n v="0"/>
    <m/>
    <m/>
    <n v="0"/>
    <m/>
    <m/>
    <n v="0"/>
    <m/>
    <m/>
    <n v="0"/>
    <m/>
    <m/>
    <n v="0"/>
    <m/>
    <m/>
    <n v="0"/>
  </r>
  <r>
    <x v="13"/>
    <s v="Northwest Vista College (ACCD)"/>
    <n v="420398"/>
    <x v="6"/>
    <n v="1"/>
    <n v="76707"/>
    <n v="76707"/>
    <n v="1"/>
    <n v="79776"/>
    <n v="79776"/>
    <n v="7"/>
    <n v="54383"/>
    <n v="380681"/>
    <n v="11"/>
    <n v="72011.363636363632"/>
    <n v="792125"/>
    <n v="27"/>
    <n v="49680"/>
    <n v="1341360"/>
    <n v="32"/>
    <n v="67174.96875"/>
    <n v="2149599"/>
    <n v="74"/>
    <n v="42857"/>
    <n v="3171418"/>
    <n v="75"/>
    <n v="58052.653333333335"/>
    <n v="4353949"/>
    <m/>
    <m/>
    <n v="0"/>
    <n v="1"/>
    <n v="84968"/>
    <n v="84968"/>
    <m/>
    <m/>
    <n v="0"/>
    <m/>
    <m/>
    <n v="0"/>
    <m/>
    <m/>
    <n v="0"/>
    <m/>
    <m/>
    <n v="0"/>
    <m/>
    <m/>
    <n v="0"/>
    <m/>
    <m/>
    <n v="0"/>
    <n v="1"/>
    <n v="66888"/>
    <n v="54727.761600000005"/>
    <n v="1"/>
    <n v="80782"/>
    <n v="66095.832399999999"/>
    <n v="3"/>
    <n v="61552"/>
    <n v="151085.5392"/>
    <n v="3"/>
    <n v="76234"/>
    <n v="187123.97640000001"/>
    <n v="3"/>
    <n v="18735"/>
    <n v="45986.931000000004"/>
    <n v="101"/>
    <n v="22798.79207920792"/>
    <n v="1884051.1396000001"/>
    <m/>
    <m/>
    <n v="0"/>
    <m/>
    <m/>
    <n v="0"/>
  </r>
  <r>
    <x v="13"/>
    <s v="Palo Alto College (ACCD)"/>
    <n v="246354"/>
    <x v="6"/>
    <n v="21"/>
    <n v="65769"/>
    <n v="1381149"/>
    <n v="22"/>
    <n v="75663.272727272721"/>
    <n v="1664591.9999999998"/>
    <n v="14"/>
    <n v="60395"/>
    <n v="845530"/>
    <n v="15"/>
    <n v="75118.133333333331"/>
    <n v="1126772"/>
    <n v="37"/>
    <n v="54278"/>
    <n v="2008286"/>
    <n v="39"/>
    <n v="66852.564102564109"/>
    <n v="2607250.0000000005"/>
    <n v="51"/>
    <n v="43799"/>
    <n v="2233749"/>
    <n v="49"/>
    <n v="55385.510204081635"/>
    <n v="2713890"/>
    <m/>
    <m/>
    <n v="0"/>
    <n v="2"/>
    <n v="37518.5"/>
    <n v="75037"/>
    <m/>
    <m/>
    <n v="0"/>
    <n v="1"/>
    <n v="25908"/>
    <n v="25908"/>
    <m/>
    <m/>
    <n v="0"/>
    <m/>
    <m/>
    <n v="0"/>
    <m/>
    <m/>
    <n v="0"/>
    <m/>
    <m/>
    <n v="0"/>
    <m/>
    <m/>
    <n v="0"/>
    <m/>
    <m/>
    <n v="0"/>
    <n v="1"/>
    <n v="38970"/>
    <n v="31885.254000000001"/>
    <n v="1"/>
    <n v="54983"/>
    <n v="44987.090600000003"/>
    <n v="1"/>
    <n v="32410"/>
    <n v="26517.862000000001"/>
    <n v="21"/>
    <n v="21982.619047619046"/>
    <n v="377709.75699999998"/>
    <m/>
    <m/>
    <n v="0"/>
    <n v="1"/>
    <n v="32924"/>
    <n v="26938.416800000003"/>
  </r>
  <r>
    <x v="13"/>
    <s v="Richland College  (DCCCD)"/>
    <n v="227766"/>
    <x v="6"/>
    <m/>
    <m/>
    <n v="0"/>
    <m/>
    <m/>
    <n v="0"/>
    <m/>
    <m/>
    <n v="0"/>
    <m/>
    <m/>
    <n v="0"/>
    <m/>
    <m/>
    <n v="0"/>
    <m/>
    <m/>
    <n v="0"/>
    <m/>
    <m/>
    <n v="0"/>
    <m/>
    <m/>
    <n v="0"/>
    <m/>
    <m/>
    <n v="0"/>
    <m/>
    <m/>
    <n v="0"/>
    <n v="140"/>
    <n v="63011"/>
    <n v="8821540"/>
    <n v="146"/>
    <n v="64835.095890410958"/>
    <n v="9465924"/>
    <m/>
    <m/>
    <n v="0"/>
    <m/>
    <m/>
    <n v="0"/>
    <m/>
    <m/>
    <n v="0"/>
    <m/>
    <m/>
    <n v="0"/>
    <m/>
    <m/>
    <n v="0"/>
    <m/>
    <m/>
    <n v="0"/>
    <m/>
    <m/>
    <n v="0"/>
    <m/>
    <m/>
    <n v="0"/>
    <m/>
    <m/>
    <n v="0"/>
    <m/>
    <m/>
    <n v="0"/>
    <m/>
    <m/>
    <n v="0"/>
    <m/>
    <m/>
    <n v="0"/>
  </r>
  <r>
    <x v="13"/>
    <s v="San Antonio College (ACCD)"/>
    <n v="227924"/>
    <x v="6"/>
    <n v="134"/>
    <n v="71679"/>
    <n v="9604986"/>
    <n v="266"/>
    <n v="77969.12781954887"/>
    <n v="20739788"/>
    <n v="75"/>
    <n v="60724"/>
    <n v="4554300"/>
    <n v="148"/>
    <n v="72445.972972972973"/>
    <n v="10722004"/>
    <n v="72"/>
    <n v="54920"/>
    <n v="3954240"/>
    <n v="156"/>
    <n v="63969.256410256414"/>
    <n v="9979204"/>
    <n v="112"/>
    <n v="47384"/>
    <n v="5307008"/>
    <n v="214"/>
    <n v="55097.345794392524"/>
    <n v="11790832"/>
    <m/>
    <m/>
    <n v="0"/>
    <n v="2"/>
    <n v="27455"/>
    <n v="54910"/>
    <m/>
    <m/>
    <n v="0"/>
    <m/>
    <m/>
    <n v="0"/>
    <m/>
    <m/>
    <n v="0"/>
    <m/>
    <m/>
    <n v="0"/>
    <m/>
    <m/>
    <n v="0"/>
    <m/>
    <m/>
    <n v="0"/>
    <n v="1"/>
    <n v="57546"/>
    <n v="47084.137200000005"/>
    <n v="2"/>
    <n v="69418"/>
    <n v="113595.6152"/>
    <n v="1"/>
    <n v="52204"/>
    <n v="42713.3128"/>
    <n v="4"/>
    <n v="82138"/>
    <n v="268821.2464"/>
    <n v="3"/>
    <n v="21304"/>
    <n v="52292.7984"/>
    <n v="60"/>
    <n v="23606.933333333334"/>
    <n v="1158911.5712000001"/>
    <m/>
    <m/>
    <n v="0"/>
    <m/>
    <m/>
    <n v="0"/>
  </r>
  <r>
    <x v="13"/>
    <s v="San Jacinto College (SJCDS)"/>
    <n v="227979"/>
    <x v="6"/>
    <m/>
    <m/>
    <n v="0"/>
    <m/>
    <m/>
    <n v="0"/>
    <m/>
    <m/>
    <n v="0"/>
    <m/>
    <m/>
    <n v="0"/>
    <m/>
    <m/>
    <n v="0"/>
    <m/>
    <m/>
    <n v="0"/>
    <m/>
    <m/>
    <n v="0"/>
    <m/>
    <m/>
    <n v="0"/>
    <m/>
    <m/>
    <n v="0"/>
    <m/>
    <m/>
    <n v="0"/>
    <n v="344"/>
    <n v="49862"/>
    <n v="17152528"/>
    <n v="336"/>
    <n v="57083.127976190473"/>
    <n v="19179931"/>
    <m/>
    <m/>
    <n v="0"/>
    <m/>
    <m/>
    <n v="0"/>
    <m/>
    <m/>
    <n v="0"/>
    <m/>
    <m/>
    <n v="0"/>
    <m/>
    <m/>
    <n v="0"/>
    <m/>
    <m/>
    <n v="0"/>
    <m/>
    <m/>
    <n v="0"/>
    <m/>
    <m/>
    <n v="0"/>
    <m/>
    <m/>
    <n v="0"/>
    <m/>
    <m/>
    <n v="0"/>
    <n v="69"/>
    <n v="62845"/>
    <n v="3547964.7510000002"/>
    <n v="78"/>
    <n v="72805.346153846156"/>
    <n v="4646408.0694000004"/>
  </r>
  <r>
    <x v="13"/>
    <s v="South Plains College "/>
    <n v="228158"/>
    <x v="6"/>
    <n v="39"/>
    <n v="55292"/>
    <n v="2156388"/>
    <n v="39"/>
    <n v="56822.179487179485"/>
    <n v="2216065"/>
    <n v="36"/>
    <n v="47764"/>
    <n v="1719504"/>
    <n v="41"/>
    <n v="48673.268292682929"/>
    <n v="1995604"/>
    <n v="98"/>
    <n v="42760"/>
    <n v="4190480"/>
    <n v="93"/>
    <n v="43562.795698924732"/>
    <n v="4051340"/>
    <n v="82"/>
    <n v="32249"/>
    <n v="2644418"/>
    <n v="67"/>
    <n v="37281.13432835821"/>
    <n v="2497836"/>
    <m/>
    <m/>
    <n v="0"/>
    <m/>
    <m/>
    <n v="0"/>
    <m/>
    <m/>
    <n v="0"/>
    <m/>
    <m/>
    <n v="0"/>
    <m/>
    <m/>
    <n v="0"/>
    <m/>
    <m/>
    <n v="0"/>
    <n v="1"/>
    <n v="58326"/>
    <n v="47722.333200000001"/>
    <m/>
    <m/>
    <n v="0"/>
    <n v="11"/>
    <n v="22081"/>
    <n v="198733.41620000001"/>
    <n v="3"/>
    <n v="67655.333333333328"/>
    <n v="166066.7812"/>
    <n v="12"/>
    <n v="81524"/>
    <n v="800435.24160000007"/>
    <n v="27"/>
    <n v="39336.962962962964"/>
    <n v="869008.58360000001"/>
    <m/>
    <m/>
    <n v="0"/>
    <m/>
    <m/>
    <n v="0"/>
    <m/>
    <m/>
    <n v="0"/>
    <m/>
    <m/>
    <n v="0"/>
  </r>
  <r>
    <x v="13"/>
    <s v="South Texas College"/>
    <n v="409315"/>
    <x v="6"/>
    <m/>
    <m/>
    <n v="0"/>
    <n v="2"/>
    <n v="58815.5"/>
    <n v="117631"/>
    <m/>
    <m/>
    <n v="0"/>
    <n v="11"/>
    <n v="55947.818181818184"/>
    <n v="615426"/>
    <m/>
    <m/>
    <n v="0"/>
    <n v="15"/>
    <n v="49302.26666666667"/>
    <n v="739534"/>
    <n v="392"/>
    <n v="46443"/>
    <n v="18205656"/>
    <n v="385"/>
    <n v="49599.054545454543"/>
    <n v="19095636"/>
    <m/>
    <m/>
    <n v="0"/>
    <m/>
    <m/>
    <n v="0"/>
    <m/>
    <m/>
    <n v="0"/>
    <m/>
    <m/>
    <n v="0"/>
    <m/>
    <m/>
    <n v="0"/>
    <m/>
    <m/>
    <n v="0"/>
    <m/>
    <m/>
    <n v="0"/>
    <m/>
    <m/>
    <n v="0"/>
    <m/>
    <m/>
    <n v="0"/>
    <m/>
    <m/>
    <n v="0"/>
    <n v="38"/>
    <n v="61002"/>
    <n v="1896649.7832000002"/>
    <n v="46"/>
    <n v="64676.84782608696"/>
    <n v="2434255.4569999999"/>
    <m/>
    <m/>
    <n v="0"/>
    <m/>
    <m/>
    <n v="0"/>
    <m/>
    <m/>
    <n v="0"/>
    <m/>
    <m/>
    <n v="0"/>
  </r>
  <r>
    <x v="13"/>
    <s v="St. Philip's College  (ACCD)"/>
    <n v="227854"/>
    <x v="6"/>
    <n v="24"/>
    <n v="70661"/>
    <n v="1695864"/>
    <n v="30"/>
    <n v="72056.5"/>
    <n v="2161695"/>
    <n v="21"/>
    <n v="59310"/>
    <n v="1245510"/>
    <n v="17"/>
    <n v="69785.647058823524"/>
    <n v="1186356"/>
    <n v="33"/>
    <n v="54988"/>
    <n v="1814604"/>
    <n v="43"/>
    <n v="60911.837209302328"/>
    <n v="2619209"/>
    <n v="103"/>
    <n v="45781"/>
    <n v="4715443"/>
    <n v="109"/>
    <n v="54874.853211009176"/>
    <n v="5981359"/>
    <n v="1"/>
    <n v="18999"/>
    <n v="18999"/>
    <n v="3"/>
    <n v="15497.333333333334"/>
    <n v="46492"/>
    <m/>
    <m/>
    <n v="0"/>
    <m/>
    <m/>
    <n v="0"/>
    <m/>
    <m/>
    <n v="0"/>
    <m/>
    <m/>
    <n v="0"/>
    <m/>
    <m/>
    <n v="0"/>
    <n v="1"/>
    <n v="77040"/>
    <n v="63034.128000000004"/>
    <n v="4"/>
    <n v="63996"/>
    <n v="209446.10880000002"/>
    <n v="4"/>
    <n v="70645"/>
    <n v="231206.95600000001"/>
    <n v="2"/>
    <n v="60133"/>
    <n v="98401.641199999998"/>
    <n v="1"/>
    <n v="67363"/>
    <n v="55116.406600000002"/>
    <n v="4"/>
    <n v="38041"/>
    <n v="124500.58480000001"/>
    <n v="35"/>
    <n v="28895.82857142857"/>
    <n v="827489.84279999998"/>
    <m/>
    <m/>
    <n v="0"/>
    <n v="1"/>
    <n v="61802"/>
    <n v="50566.396400000005"/>
  </r>
  <r>
    <x v="13"/>
    <s v="Tarrant County College (TCJCD)"/>
    <n v="228547"/>
    <x v="6"/>
    <n v="72"/>
    <n v="64264"/>
    <n v="4627008"/>
    <n v="66"/>
    <n v="68991.15151515152"/>
    <n v="4553416"/>
    <n v="125"/>
    <n v="59683"/>
    <n v="7460375"/>
    <n v="125"/>
    <n v="63303.519999999997"/>
    <n v="7912940"/>
    <n v="135"/>
    <n v="57816"/>
    <n v="7805160"/>
    <n v="140"/>
    <n v="58631.935714285712"/>
    <n v="8208471"/>
    <n v="223"/>
    <n v="49926"/>
    <n v="11133498"/>
    <n v="240"/>
    <n v="51717.037499999999"/>
    <n v="12412089"/>
    <m/>
    <m/>
    <n v="0"/>
    <m/>
    <m/>
    <n v="0"/>
    <m/>
    <m/>
    <n v="0"/>
    <m/>
    <m/>
    <n v="0"/>
    <m/>
    <m/>
    <n v="0"/>
    <m/>
    <m/>
    <n v="0"/>
    <n v="8"/>
    <n v="80617"/>
    <n v="527686.63520000002"/>
    <n v="9"/>
    <n v="75242.555555555562"/>
    <n v="554071.13060000003"/>
    <n v="6"/>
    <n v="65130"/>
    <n v="319736.196"/>
    <n v="5"/>
    <n v="82064.2"/>
    <n v="335724.6422"/>
    <n v="3"/>
    <n v="64489"/>
    <n v="158294.69940000001"/>
    <n v="3"/>
    <n v="48206"/>
    <n v="118326.4476"/>
    <m/>
    <m/>
    <n v="0"/>
    <m/>
    <m/>
    <n v="0"/>
    <m/>
    <m/>
    <n v="0"/>
    <m/>
    <m/>
    <n v="0"/>
  </r>
  <r>
    <x v="13"/>
    <s v="Texas Southmost College "/>
    <n v="229072"/>
    <x v="6"/>
    <m/>
    <m/>
    <n v="0"/>
    <m/>
    <m/>
    <n v="0"/>
    <m/>
    <m/>
    <n v="0"/>
    <m/>
    <m/>
    <n v="0"/>
    <m/>
    <m/>
    <n v="0"/>
    <m/>
    <m/>
    <n v="0"/>
    <m/>
    <m/>
    <n v="0"/>
    <m/>
    <m/>
    <n v="0"/>
    <m/>
    <m/>
    <n v="0"/>
    <m/>
    <m/>
    <n v="0"/>
    <m/>
    <m/>
    <n v="0"/>
    <m/>
    <m/>
    <n v="0"/>
    <m/>
    <m/>
    <n v="0"/>
    <m/>
    <m/>
    <n v="0"/>
    <m/>
    <m/>
    <n v="0"/>
    <m/>
    <m/>
    <n v="0"/>
    <m/>
    <m/>
    <n v="0"/>
    <m/>
    <m/>
    <n v="0"/>
    <m/>
    <m/>
    <n v="0"/>
    <m/>
    <m/>
    <n v="0"/>
    <m/>
    <m/>
    <n v="0"/>
    <m/>
    <m/>
    <n v="0"/>
    <m/>
    <m/>
    <n v="0"/>
    <m/>
    <m/>
    <n v="0"/>
  </r>
  <r>
    <x v="13"/>
    <s v="Tyler Junior College "/>
    <n v="229355"/>
    <x v="6"/>
    <m/>
    <m/>
    <n v="0"/>
    <m/>
    <m/>
    <n v="0"/>
    <m/>
    <m/>
    <n v="0"/>
    <m/>
    <m/>
    <n v="0"/>
    <m/>
    <m/>
    <n v="0"/>
    <m/>
    <m/>
    <n v="0"/>
    <n v="204"/>
    <n v="46520"/>
    <n v="9490080"/>
    <n v="209"/>
    <n v="47048.454545454544"/>
    <n v="9833127"/>
    <m/>
    <m/>
    <n v="0"/>
    <m/>
    <m/>
    <n v="0"/>
    <m/>
    <m/>
    <n v="0"/>
    <m/>
    <m/>
    <n v="0"/>
    <m/>
    <m/>
    <n v="0"/>
    <m/>
    <m/>
    <n v="0"/>
    <m/>
    <m/>
    <n v="0"/>
    <m/>
    <m/>
    <n v="0"/>
    <m/>
    <m/>
    <n v="0"/>
    <m/>
    <m/>
    <n v="0"/>
    <n v="51"/>
    <n v="54208"/>
    <n v="2262002.2656"/>
    <n v="52"/>
    <n v="54477.365384615383"/>
    <n v="2317815.7786000003"/>
    <m/>
    <m/>
    <n v="0"/>
    <m/>
    <m/>
    <n v="0"/>
    <m/>
    <m/>
    <n v="0"/>
    <m/>
    <m/>
    <n v="0"/>
  </r>
  <r>
    <x v="13"/>
    <s v="Alvin Community College "/>
    <n v="222567"/>
    <x v="7"/>
    <m/>
    <m/>
    <n v="0"/>
    <m/>
    <m/>
    <n v="0"/>
    <m/>
    <m/>
    <n v="0"/>
    <m/>
    <m/>
    <n v="0"/>
    <m/>
    <m/>
    <n v="0"/>
    <m/>
    <m/>
    <n v="0"/>
    <m/>
    <m/>
    <n v="0"/>
    <m/>
    <m/>
    <n v="0"/>
    <m/>
    <m/>
    <n v="0"/>
    <m/>
    <m/>
    <n v="0"/>
    <n v="48"/>
    <n v="52858"/>
    <n v="2537184"/>
    <n v="50"/>
    <n v="54202.74"/>
    <n v="2710137"/>
    <m/>
    <m/>
    <n v="0"/>
    <m/>
    <m/>
    <n v="0"/>
    <m/>
    <m/>
    <n v="0"/>
    <m/>
    <m/>
    <n v="0"/>
    <m/>
    <m/>
    <n v="0"/>
    <m/>
    <m/>
    <n v="0"/>
    <m/>
    <m/>
    <n v="0"/>
    <m/>
    <m/>
    <n v="0"/>
    <m/>
    <m/>
    <n v="0"/>
    <m/>
    <m/>
    <n v="0"/>
    <n v="53"/>
    <n v="69728"/>
    <n v="3023726.8288000003"/>
    <n v="56"/>
    <n v="67624.375"/>
    <n v="3098494.7630000003"/>
  </r>
  <r>
    <x v="13"/>
    <s v="Angelina College "/>
    <n v="222822"/>
    <x v="7"/>
    <m/>
    <m/>
    <n v="0"/>
    <m/>
    <m/>
    <n v="0"/>
    <m/>
    <m/>
    <n v="0"/>
    <m/>
    <m/>
    <n v="0"/>
    <m/>
    <m/>
    <n v="0"/>
    <m/>
    <m/>
    <n v="0"/>
    <n v="93"/>
    <n v="45931"/>
    <n v="4271583"/>
    <n v="91"/>
    <n v="46652.527472527472"/>
    <n v="4245380"/>
    <m/>
    <m/>
    <n v="0"/>
    <m/>
    <m/>
    <n v="0"/>
    <m/>
    <m/>
    <n v="0"/>
    <m/>
    <m/>
    <n v="0"/>
    <m/>
    <m/>
    <n v="0"/>
    <m/>
    <m/>
    <n v="0"/>
    <m/>
    <m/>
    <n v="0"/>
    <m/>
    <m/>
    <n v="0"/>
    <m/>
    <m/>
    <n v="0"/>
    <m/>
    <m/>
    <n v="0"/>
    <n v="20"/>
    <n v="51682"/>
    <n v="845724.24800000002"/>
    <n v="26"/>
    <n v="50886.923076923078"/>
    <n v="1082527.692"/>
    <m/>
    <m/>
    <n v="0"/>
    <m/>
    <m/>
    <n v="0"/>
    <m/>
    <m/>
    <n v="0"/>
    <m/>
    <m/>
    <n v="0"/>
  </r>
  <r>
    <x v="13"/>
    <s v="Brazosport College "/>
    <n v="223506"/>
    <x v="7"/>
    <n v="1"/>
    <n v="64233"/>
    <n v="64233"/>
    <n v="1"/>
    <n v="66158"/>
    <n v="66158"/>
    <n v="11"/>
    <n v="50551"/>
    <n v="556061"/>
    <n v="16"/>
    <n v="49471"/>
    <n v="791536"/>
    <n v="26"/>
    <n v="46317"/>
    <n v="1204242"/>
    <n v="29"/>
    <n v="46404.310344827587"/>
    <n v="1345725"/>
    <n v="16"/>
    <n v="40929"/>
    <n v="654864"/>
    <n v="15"/>
    <n v="33770.333333333336"/>
    <n v="506555.00000000006"/>
    <m/>
    <m/>
    <n v="0"/>
    <m/>
    <m/>
    <n v="0"/>
    <m/>
    <m/>
    <n v="0"/>
    <m/>
    <m/>
    <n v="0"/>
    <n v="17"/>
    <n v="88283"/>
    <n v="1227963.5601999999"/>
    <n v="18"/>
    <n v="89165.388888888891"/>
    <n v="1313192.1814000001"/>
    <n v="3"/>
    <n v="76943"/>
    <n v="188864.28780000002"/>
    <n v="3"/>
    <n v="75300.666666666672"/>
    <n v="184833.01640000002"/>
    <n v="3"/>
    <n v="70248"/>
    <n v="172430.7408"/>
    <n v="4"/>
    <n v="65364.5"/>
    <n v="213924.9356"/>
    <m/>
    <m/>
    <n v="0"/>
    <m/>
    <m/>
    <n v="0"/>
    <n v="1"/>
    <n v="50736"/>
    <n v="41512.195200000002"/>
    <m/>
    <m/>
    <n v="0"/>
    <m/>
    <m/>
    <n v="0"/>
    <n v="1"/>
    <n v="52260"/>
    <n v="42759.132000000005"/>
  </r>
  <r>
    <x v="13"/>
    <s v="Cedar Valley College  (DCCCD)"/>
    <n v="223773"/>
    <x v="7"/>
    <m/>
    <m/>
    <n v="0"/>
    <m/>
    <m/>
    <n v="0"/>
    <m/>
    <m/>
    <n v="0"/>
    <m/>
    <m/>
    <n v="0"/>
    <m/>
    <m/>
    <n v="0"/>
    <m/>
    <m/>
    <n v="0"/>
    <m/>
    <m/>
    <n v="0"/>
    <m/>
    <m/>
    <n v="0"/>
    <m/>
    <m/>
    <n v="0"/>
    <m/>
    <m/>
    <n v="0"/>
    <n v="65"/>
    <n v="55464"/>
    <n v="3605160"/>
    <n v="60"/>
    <n v="57138.666666666664"/>
    <n v="3428320"/>
    <m/>
    <m/>
    <n v="0"/>
    <m/>
    <m/>
    <n v="0"/>
    <m/>
    <m/>
    <n v="0"/>
    <m/>
    <m/>
    <n v="0"/>
    <m/>
    <m/>
    <n v="0"/>
    <m/>
    <m/>
    <n v="0"/>
    <m/>
    <m/>
    <n v="0"/>
    <m/>
    <m/>
    <n v="0"/>
    <m/>
    <m/>
    <n v="0"/>
    <m/>
    <m/>
    <n v="0"/>
    <m/>
    <m/>
    <n v="0"/>
    <m/>
    <m/>
    <n v="0"/>
  </r>
  <r>
    <x v="13"/>
    <s v="Cisco Junior College "/>
    <n v="223898"/>
    <x v="7"/>
    <m/>
    <m/>
    <n v="0"/>
    <m/>
    <m/>
    <n v="0"/>
    <m/>
    <m/>
    <n v="0"/>
    <m/>
    <m/>
    <n v="0"/>
    <m/>
    <m/>
    <n v="0"/>
    <m/>
    <m/>
    <n v="0"/>
    <n v="54"/>
    <n v="40700"/>
    <n v="2197800"/>
    <n v="50"/>
    <n v="41811.620000000003"/>
    <n v="2090581.0000000002"/>
    <m/>
    <m/>
    <n v="0"/>
    <m/>
    <m/>
    <n v="0"/>
    <m/>
    <m/>
    <n v="0"/>
    <m/>
    <m/>
    <n v="0"/>
    <m/>
    <m/>
    <n v="0"/>
    <m/>
    <m/>
    <n v="0"/>
    <m/>
    <m/>
    <n v="0"/>
    <m/>
    <m/>
    <n v="0"/>
    <m/>
    <m/>
    <n v="0"/>
    <m/>
    <m/>
    <n v="0"/>
    <n v="19"/>
    <n v="48150"/>
    <n v="748530.27"/>
    <n v="21"/>
    <n v="48849.190476190473"/>
    <n v="839336.56060000008"/>
    <m/>
    <m/>
    <n v="0"/>
    <m/>
    <m/>
    <n v="0"/>
    <m/>
    <m/>
    <n v="0"/>
    <m/>
    <m/>
    <n v="0"/>
  </r>
  <r>
    <x v="13"/>
    <s v="Coastal Bend College"/>
    <n v="223320"/>
    <x v="7"/>
    <n v="57"/>
    <n v="44163"/>
    <n v="2517291"/>
    <n v="58"/>
    <n v="42931.603448275862"/>
    <n v="2490033"/>
    <m/>
    <m/>
    <n v="0"/>
    <m/>
    <m/>
    <n v="0"/>
    <m/>
    <m/>
    <n v="0"/>
    <m/>
    <m/>
    <n v="0"/>
    <m/>
    <m/>
    <n v="0"/>
    <m/>
    <m/>
    <n v="0"/>
    <m/>
    <m/>
    <n v="0"/>
    <m/>
    <m/>
    <n v="0"/>
    <m/>
    <m/>
    <n v="0"/>
    <m/>
    <m/>
    <n v="0"/>
    <n v="28"/>
    <n v="50037"/>
    <n v="1146327.6552000002"/>
    <n v="36"/>
    <n v="49917.333333333336"/>
    <n v="1470325.0368000001"/>
    <m/>
    <m/>
    <n v="0"/>
    <m/>
    <m/>
    <n v="0"/>
    <m/>
    <m/>
    <n v="0"/>
    <m/>
    <m/>
    <n v="0"/>
    <m/>
    <m/>
    <n v="0"/>
    <m/>
    <m/>
    <n v="0"/>
    <m/>
    <m/>
    <n v="0"/>
    <m/>
    <m/>
    <n v="0"/>
    <m/>
    <m/>
    <n v="0"/>
    <m/>
    <m/>
    <n v="0"/>
  </r>
  <r>
    <x v="13"/>
    <s v="College of the Mainland"/>
    <n v="226408"/>
    <x v="7"/>
    <n v="10"/>
    <n v="57049"/>
    <n v="570490"/>
    <n v="5"/>
    <n v="61878.400000000001"/>
    <n v="309392"/>
    <n v="9"/>
    <n v="46634"/>
    <n v="419706"/>
    <n v="11"/>
    <n v="49874.818181818184"/>
    <n v="548623"/>
    <n v="12"/>
    <n v="44092"/>
    <n v="529104"/>
    <n v="13"/>
    <n v="48767"/>
    <n v="633971"/>
    <m/>
    <m/>
    <n v="0"/>
    <m/>
    <m/>
    <n v="0"/>
    <m/>
    <m/>
    <n v="0"/>
    <m/>
    <m/>
    <n v="0"/>
    <m/>
    <m/>
    <n v="0"/>
    <m/>
    <m/>
    <n v="0"/>
    <n v="23"/>
    <n v="68874"/>
    <n v="1296112.2564000001"/>
    <n v="22"/>
    <n v="73489.681818181823"/>
    <n v="1322843.6686"/>
    <n v="14"/>
    <n v="58500"/>
    <n v="670105.80000000005"/>
    <n v="22"/>
    <n v="62686.181818181816"/>
    <n v="1128376.3472"/>
    <n v="38"/>
    <n v="54297"/>
    <n v="1688180.6052000001"/>
    <n v="27"/>
    <n v="59036.444444444445"/>
    <n v="1304197.7088000001"/>
    <m/>
    <m/>
    <n v="0"/>
    <m/>
    <m/>
    <n v="0"/>
    <m/>
    <m/>
    <n v="0"/>
    <m/>
    <m/>
    <n v="0"/>
    <m/>
    <m/>
    <n v="0"/>
    <m/>
    <m/>
    <n v="0"/>
  </r>
  <r>
    <x v="13"/>
    <s v="El Centro College  (DCCCD)"/>
    <n v="224615"/>
    <x v="7"/>
    <m/>
    <m/>
    <n v="0"/>
    <m/>
    <m/>
    <n v="0"/>
    <m/>
    <m/>
    <n v="0"/>
    <m/>
    <m/>
    <n v="0"/>
    <m/>
    <m/>
    <n v="0"/>
    <m/>
    <m/>
    <n v="0"/>
    <m/>
    <m/>
    <n v="0"/>
    <m/>
    <m/>
    <n v="0"/>
    <m/>
    <m/>
    <n v="0"/>
    <m/>
    <m/>
    <n v="0"/>
    <n v="125"/>
    <n v="54923"/>
    <n v="6865375"/>
    <n v="126"/>
    <n v="55158.5873015873"/>
    <n v="6949982"/>
    <m/>
    <m/>
    <n v="0"/>
    <m/>
    <m/>
    <n v="0"/>
    <m/>
    <m/>
    <n v="0"/>
    <m/>
    <m/>
    <n v="0"/>
    <m/>
    <m/>
    <n v="0"/>
    <m/>
    <m/>
    <n v="0"/>
    <m/>
    <m/>
    <n v="0"/>
    <m/>
    <m/>
    <n v="0"/>
    <m/>
    <m/>
    <n v="0"/>
    <m/>
    <m/>
    <n v="0"/>
    <m/>
    <m/>
    <n v="0"/>
    <m/>
    <m/>
    <n v="0"/>
  </r>
  <r>
    <x v="13"/>
    <s v="Grayson County College "/>
    <n v="225070"/>
    <x v="7"/>
    <n v="74"/>
    <n v="47656"/>
    <n v="3526544"/>
    <n v="76"/>
    <n v="51234.75"/>
    <n v="3893841"/>
    <m/>
    <m/>
    <n v="0"/>
    <m/>
    <m/>
    <n v="0"/>
    <m/>
    <m/>
    <n v="0"/>
    <m/>
    <m/>
    <n v="0"/>
    <m/>
    <m/>
    <n v="0"/>
    <m/>
    <m/>
    <n v="0"/>
    <m/>
    <m/>
    <n v="0"/>
    <m/>
    <m/>
    <n v="0"/>
    <m/>
    <m/>
    <n v="0"/>
    <m/>
    <m/>
    <n v="0"/>
    <n v="8"/>
    <n v="54461"/>
    <n v="356479.9216"/>
    <n v="14"/>
    <n v="55775.357142857145"/>
    <n v="638895.56099999999"/>
    <m/>
    <m/>
    <n v="0"/>
    <m/>
    <m/>
    <n v="0"/>
    <m/>
    <m/>
    <n v="0"/>
    <m/>
    <m/>
    <n v="0"/>
    <m/>
    <m/>
    <n v="0"/>
    <m/>
    <m/>
    <n v="0"/>
    <m/>
    <m/>
    <n v="0"/>
    <m/>
    <m/>
    <n v="0"/>
    <m/>
    <m/>
    <n v="0"/>
    <m/>
    <m/>
    <n v="0"/>
  </r>
  <r>
    <x v="13"/>
    <s v="Hill College"/>
    <n v="225371"/>
    <x v="7"/>
    <m/>
    <m/>
    <n v="0"/>
    <m/>
    <m/>
    <n v="0"/>
    <m/>
    <m/>
    <n v="0"/>
    <m/>
    <m/>
    <n v="0"/>
    <m/>
    <m/>
    <n v="0"/>
    <m/>
    <m/>
    <n v="0"/>
    <m/>
    <m/>
    <n v="0"/>
    <m/>
    <m/>
    <n v="0"/>
    <m/>
    <m/>
    <n v="0"/>
    <m/>
    <m/>
    <n v="0"/>
    <n v="63"/>
    <n v="42164"/>
    <n v="2656332"/>
    <n v="63"/>
    <n v="41870.380952380954"/>
    <n v="2637834"/>
    <m/>
    <m/>
    <n v="0"/>
    <m/>
    <m/>
    <n v="0"/>
    <m/>
    <m/>
    <n v="0"/>
    <m/>
    <m/>
    <n v="0"/>
    <m/>
    <m/>
    <n v="0"/>
    <m/>
    <m/>
    <n v="0"/>
    <m/>
    <m/>
    <n v="0"/>
    <m/>
    <m/>
    <n v="0"/>
    <m/>
    <m/>
    <n v="0"/>
    <m/>
    <m/>
    <n v="0"/>
    <n v="15"/>
    <n v="47865"/>
    <n v="587447.14500000002"/>
    <n v="15"/>
    <n v="48394.400000000001"/>
    <n v="593944.47120000003"/>
  </r>
  <r>
    <x v="13"/>
    <s v="Howard College"/>
    <n v="225520"/>
    <x v="7"/>
    <n v="8"/>
    <n v="50975"/>
    <n v="407800"/>
    <n v="6"/>
    <n v="54000.333333333336"/>
    <n v="324002"/>
    <n v="14"/>
    <n v="45550"/>
    <n v="637700"/>
    <n v="13"/>
    <n v="45927.769230769234"/>
    <n v="597061"/>
    <n v="28"/>
    <n v="40476"/>
    <n v="1133328"/>
    <n v="22"/>
    <n v="39369.5"/>
    <n v="866129"/>
    <n v="34"/>
    <n v="37026"/>
    <n v="1258884"/>
    <n v="35"/>
    <n v="38147.028571428571"/>
    <n v="1335146"/>
    <m/>
    <m/>
    <n v="0"/>
    <m/>
    <m/>
    <n v="0"/>
    <m/>
    <m/>
    <n v="0"/>
    <m/>
    <m/>
    <n v="0"/>
    <m/>
    <m/>
    <n v="0"/>
    <n v="2"/>
    <n v="63482.5"/>
    <n v="103882.76300000001"/>
    <n v="2"/>
    <n v="55703"/>
    <n v="91152.389200000005"/>
    <n v="2"/>
    <n v="57365"/>
    <n v="93872.08600000001"/>
    <n v="7"/>
    <n v="50378"/>
    <n v="288534.9572"/>
    <n v="16"/>
    <n v="51073.0625"/>
    <n v="668607.67580000008"/>
    <n v="38"/>
    <n v="42197"/>
    <n v="1311972.2452"/>
    <n v="41"/>
    <n v="43607.585365853658"/>
    <n v="1462868.7802000002"/>
    <m/>
    <m/>
    <n v="0"/>
    <m/>
    <m/>
    <n v="0"/>
    <m/>
    <m/>
    <n v="0"/>
    <m/>
    <m/>
    <n v="0"/>
  </r>
  <r>
    <x v="13"/>
    <s v="Kilgore College "/>
    <n v="226019"/>
    <x v="7"/>
    <m/>
    <m/>
    <n v="0"/>
    <m/>
    <m/>
    <n v="0"/>
    <m/>
    <m/>
    <n v="0"/>
    <m/>
    <m/>
    <n v="0"/>
    <m/>
    <m/>
    <n v="0"/>
    <m/>
    <m/>
    <n v="0"/>
    <m/>
    <m/>
    <n v="0"/>
    <m/>
    <m/>
    <n v="0"/>
    <m/>
    <m/>
    <n v="0"/>
    <m/>
    <m/>
    <n v="0"/>
    <n v="109"/>
    <n v="48031"/>
    <n v="5235379"/>
    <n v="87"/>
    <n v="48384.839080459773"/>
    <n v="4209481"/>
    <m/>
    <m/>
    <n v="0"/>
    <m/>
    <m/>
    <n v="0"/>
    <m/>
    <m/>
    <n v="0"/>
    <m/>
    <m/>
    <n v="0"/>
    <m/>
    <m/>
    <n v="0"/>
    <m/>
    <m/>
    <n v="0"/>
    <m/>
    <m/>
    <n v="0"/>
    <m/>
    <m/>
    <n v="0"/>
    <m/>
    <m/>
    <n v="0"/>
    <m/>
    <m/>
    <n v="0"/>
    <n v="33"/>
    <n v="55254"/>
    <n v="1491891.1524"/>
    <n v="61"/>
    <n v="54461.2131147541"/>
    <n v="2718170.0388000002"/>
  </r>
  <r>
    <x v="13"/>
    <s v="Lamar Institute of Technology"/>
    <n v="441760"/>
    <x v="7"/>
    <m/>
    <m/>
    <n v="0"/>
    <m/>
    <m/>
    <n v="0"/>
    <m/>
    <m/>
    <n v="0"/>
    <m/>
    <m/>
    <n v="0"/>
    <m/>
    <m/>
    <n v="0"/>
    <m/>
    <m/>
    <n v="0"/>
    <n v="74"/>
    <n v="44368"/>
    <n v="3283232"/>
    <n v="68"/>
    <n v="47733.573529411762"/>
    <n v="3245883"/>
    <m/>
    <m/>
    <n v="0"/>
    <m/>
    <m/>
    <n v="0"/>
    <m/>
    <m/>
    <n v="0"/>
    <m/>
    <m/>
    <n v="0"/>
    <m/>
    <m/>
    <n v="0"/>
    <m/>
    <m/>
    <n v="0"/>
    <m/>
    <m/>
    <n v="0"/>
    <m/>
    <m/>
    <n v="0"/>
    <m/>
    <m/>
    <n v="0"/>
    <m/>
    <m/>
    <n v="0"/>
    <m/>
    <m/>
    <n v="0"/>
    <m/>
    <m/>
    <n v="0"/>
    <m/>
    <m/>
    <n v="0"/>
    <m/>
    <m/>
    <n v="0"/>
    <m/>
    <m/>
    <n v="0"/>
    <m/>
    <m/>
    <n v="0"/>
  </r>
  <r>
    <x v="13"/>
    <s v="Lee College "/>
    <n v="226204"/>
    <x v="7"/>
    <m/>
    <m/>
    <n v="0"/>
    <m/>
    <m/>
    <n v="0"/>
    <m/>
    <m/>
    <n v="0"/>
    <m/>
    <m/>
    <n v="0"/>
    <m/>
    <m/>
    <n v="0"/>
    <m/>
    <m/>
    <n v="0"/>
    <m/>
    <m/>
    <n v="0"/>
    <m/>
    <m/>
    <n v="0"/>
    <m/>
    <m/>
    <n v="0"/>
    <m/>
    <m/>
    <n v="0"/>
    <n v="142"/>
    <n v="50704"/>
    <n v="7199968"/>
    <n v="143"/>
    <n v="50235.63636363636"/>
    <n v="7183695.9999999991"/>
    <m/>
    <m/>
    <n v="0"/>
    <m/>
    <m/>
    <n v="0"/>
    <m/>
    <m/>
    <n v="0"/>
    <m/>
    <m/>
    <n v="0"/>
    <m/>
    <m/>
    <n v="0"/>
    <m/>
    <m/>
    <n v="0"/>
    <m/>
    <m/>
    <n v="0"/>
    <m/>
    <m/>
    <n v="0"/>
    <m/>
    <m/>
    <n v="0"/>
    <m/>
    <m/>
    <n v="0"/>
    <n v="26"/>
    <n v="62797"/>
    <n v="1335893.1404000001"/>
    <n v="28"/>
    <n v="59849.642857142855"/>
    <n v="1371131.378"/>
  </r>
  <r>
    <x v="13"/>
    <s v="Midland College "/>
    <n v="226806"/>
    <x v="7"/>
    <n v="38"/>
    <n v="62276"/>
    <n v="2366488"/>
    <n v="37"/>
    <n v="63749.135135135133"/>
    <n v="2358718"/>
    <n v="10"/>
    <n v="48569"/>
    <n v="485690"/>
    <n v="11"/>
    <n v="51046.545454545456"/>
    <n v="561512"/>
    <n v="15"/>
    <n v="48374"/>
    <n v="725610"/>
    <n v="23"/>
    <n v="48806.478260869568"/>
    <n v="1122549"/>
    <n v="29"/>
    <n v="43694"/>
    <n v="1267126"/>
    <n v="25"/>
    <n v="47870.48"/>
    <n v="1196762"/>
    <n v="3"/>
    <n v="45301"/>
    <n v="135903"/>
    <m/>
    <m/>
    <n v="0"/>
    <m/>
    <m/>
    <n v="0"/>
    <n v="1"/>
    <n v="51106"/>
    <n v="51106"/>
    <n v="6"/>
    <n v="68482"/>
    <n v="336191.83439999999"/>
    <n v="6"/>
    <n v="68497.666666666672"/>
    <n v="336268.7452"/>
    <n v="7"/>
    <n v="54994"/>
    <n v="314972.63560000004"/>
    <n v="7"/>
    <n v="56576.142857142855"/>
    <n v="324034.20060000004"/>
    <n v="5"/>
    <n v="57034"/>
    <n v="233326.09400000001"/>
    <n v="6"/>
    <n v="59547.166666666664"/>
    <n v="292328.95060000004"/>
    <n v="4"/>
    <n v="49077"/>
    <n v="160619.20560000002"/>
    <n v="9"/>
    <n v="56930.888888888891"/>
    <n v="419227.67960000003"/>
    <n v="12"/>
    <n v="53360"/>
    <n v="523909.82400000002"/>
    <m/>
    <m/>
    <n v="0"/>
    <m/>
    <m/>
    <n v="0"/>
    <n v="6"/>
    <n v="50852"/>
    <n v="249642.63840000003"/>
  </r>
  <r>
    <x v="13"/>
    <s v="Mountain View College  (DCCCD)"/>
    <n v="226930"/>
    <x v="7"/>
    <m/>
    <m/>
    <n v="0"/>
    <m/>
    <m/>
    <n v="0"/>
    <m/>
    <m/>
    <n v="0"/>
    <m/>
    <m/>
    <n v="0"/>
    <m/>
    <m/>
    <n v="0"/>
    <m/>
    <m/>
    <n v="0"/>
    <m/>
    <m/>
    <n v="0"/>
    <m/>
    <m/>
    <n v="0"/>
    <m/>
    <m/>
    <n v="0"/>
    <m/>
    <m/>
    <n v="0"/>
    <n v="80"/>
    <n v="59141"/>
    <n v="4731280"/>
    <n v="75"/>
    <n v="60678.746666666666"/>
    <n v="4550906"/>
    <m/>
    <m/>
    <n v="0"/>
    <m/>
    <m/>
    <n v="0"/>
    <m/>
    <m/>
    <n v="0"/>
    <m/>
    <m/>
    <n v="0"/>
    <m/>
    <m/>
    <n v="0"/>
    <m/>
    <m/>
    <n v="0"/>
    <m/>
    <m/>
    <n v="0"/>
    <m/>
    <m/>
    <n v="0"/>
    <m/>
    <m/>
    <n v="0"/>
    <m/>
    <m/>
    <n v="0"/>
    <m/>
    <m/>
    <n v="0"/>
    <m/>
    <m/>
    <n v="0"/>
  </r>
  <r>
    <x v="13"/>
    <s v="North Central Texas Community College"/>
    <n v="224110"/>
    <x v="7"/>
    <m/>
    <m/>
    <n v="0"/>
    <m/>
    <m/>
    <n v="0"/>
    <m/>
    <m/>
    <n v="0"/>
    <m/>
    <m/>
    <n v="0"/>
    <m/>
    <m/>
    <n v="0"/>
    <m/>
    <m/>
    <n v="0"/>
    <m/>
    <m/>
    <n v="0"/>
    <m/>
    <m/>
    <n v="0"/>
    <m/>
    <m/>
    <n v="0"/>
    <m/>
    <m/>
    <n v="0"/>
    <n v="86"/>
    <n v="43588"/>
    <n v="3748568"/>
    <n v="96"/>
    <n v="44743.604166666664"/>
    <n v="4295386"/>
    <m/>
    <m/>
    <n v="0"/>
    <m/>
    <m/>
    <n v="0"/>
    <m/>
    <m/>
    <n v="0"/>
    <m/>
    <m/>
    <n v="0"/>
    <m/>
    <m/>
    <n v="0"/>
    <m/>
    <m/>
    <n v="0"/>
    <m/>
    <m/>
    <n v="0"/>
    <m/>
    <m/>
    <n v="0"/>
    <m/>
    <m/>
    <n v="0"/>
    <m/>
    <m/>
    <n v="0"/>
    <n v="25"/>
    <n v="51572"/>
    <n v="1054905.26"/>
    <n v="26"/>
    <n v="54377.730769230766"/>
    <n v="1156788.3422000001"/>
  </r>
  <r>
    <x v="13"/>
    <s v="Odessa College "/>
    <n v="227304"/>
    <x v="7"/>
    <n v="16"/>
    <n v="56768"/>
    <n v="908288"/>
    <n v="15"/>
    <n v="59191.333333333336"/>
    <n v="887870"/>
    <n v="21"/>
    <n v="47737"/>
    <n v="1002477"/>
    <n v="23"/>
    <n v="49894.086956521736"/>
    <n v="1147564"/>
    <n v="24"/>
    <n v="45417"/>
    <n v="1090008"/>
    <n v="25"/>
    <n v="48710"/>
    <n v="1217750"/>
    <n v="38"/>
    <n v="42706"/>
    <n v="1622828"/>
    <n v="31"/>
    <n v="44786.774193548386"/>
    <n v="1388390"/>
    <m/>
    <m/>
    <n v="0"/>
    <m/>
    <m/>
    <n v="0"/>
    <m/>
    <m/>
    <n v="0"/>
    <m/>
    <m/>
    <n v="0"/>
    <n v="1"/>
    <n v="61292"/>
    <n v="50149.114400000006"/>
    <n v="1"/>
    <n v="65195"/>
    <n v="53342.548999999999"/>
    <n v="10"/>
    <n v="60830"/>
    <n v="497711.06"/>
    <n v="9"/>
    <n v="66306.777777777781"/>
    <n v="488269.85020000004"/>
    <n v="4"/>
    <n v="57405"/>
    <n v="187875.084"/>
    <n v="5"/>
    <n v="59377"/>
    <n v="242911.307"/>
    <n v="4"/>
    <n v="50637"/>
    <n v="165724.77360000001"/>
    <n v="5"/>
    <n v="52401.4"/>
    <n v="214374.1274"/>
    <m/>
    <m/>
    <n v="0"/>
    <m/>
    <m/>
    <n v="0"/>
    <m/>
    <m/>
    <n v="0"/>
    <m/>
    <m/>
    <n v="0"/>
  </r>
  <r>
    <x v="13"/>
    <s v="Paris Junior College"/>
    <n v="227401"/>
    <x v="7"/>
    <m/>
    <m/>
    <n v="0"/>
    <m/>
    <m/>
    <n v="0"/>
    <m/>
    <m/>
    <n v="0"/>
    <m/>
    <m/>
    <n v="0"/>
    <m/>
    <m/>
    <n v="0"/>
    <m/>
    <m/>
    <n v="0"/>
    <n v="73"/>
    <n v="48208"/>
    <n v="3519184"/>
    <n v="70"/>
    <n v="49699.742857142854"/>
    <n v="3478981.9999999995"/>
    <m/>
    <m/>
    <n v="0"/>
    <m/>
    <m/>
    <n v="0"/>
    <m/>
    <m/>
    <n v="0"/>
    <m/>
    <m/>
    <n v="0"/>
    <m/>
    <m/>
    <n v="0"/>
    <m/>
    <m/>
    <n v="0"/>
    <m/>
    <m/>
    <n v="0"/>
    <m/>
    <m/>
    <n v="0"/>
    <m/>
    <m/>
    <n v="0"/>
    <m/>
    <m/>
    <n v="0"/>
    <n v="11"/>
    <n v="57171"/>
    <n v="514550.43420000002"/>
    <n v="23"/>
    <n v="60860.695652173912"/>
    <n v="1145313.0872"/>
    <m/>
    <m/>
    <n v="0"/>
    <m/>
    <m/>
    <n v="0"/>
    <m/>
    <m/>
    <n v="0"/>
    <m/>
    <m/>
    <n v="0"/>
  </r>
  <r>
    <x v="13"/>
    <s v="Southwest Texas Junior College "/>
    <n v="228316"/>
    <x v="7"/>
    <m/>
    <m/>
    <n v="0"/>
    <m/>
    <m/>
    <n v="0"/>
    <m/>
    <m/>
    <n v="0"/>
    <m/>
    <m/>
    <n v="0"/>
    <m/>
    <m/>
    <n v="0"/>
    <m/>
    <m/>
    <n v="0"/>
    <n v="108"/>
    <n v="45692"/>
    <n v="4934736"/>
    <n v="108"/>
    <n v="45714.222222222219"/>
    <n v="4937136"/>
    <m/>
    <m/>
    <n v="0"/>
    <m/>
    <m/>
    <n v="0"/>
    <m/>
    <m/>
    <n v="0"/>
    <m/>
    <m/>
    <n v="0"/>
    <m/>
    <m/>
    <n v="0"/>
    <m/>
    <m/>
    <n v="0"/>
    <m/>
    <m/>
    <n v="0"/>
    <m/>
    <m/>
    <n v="0"/>
    <m/>
    <m/>
    <n v="0"/>
    <m/>
    <m/>
    <n v="0"/>
    <n v="6"/>
    <n v="59728"/>
    <n v="293216.69760000001"/>
    <n v="6"/>
    <n v="66625.333333333328"/>
    <n v="327077.08640000003"/>
    <m/>
    <m/>
    <n v="0"/>
    <m/>
    <m/>
    <n v="0"/>
    <m/>
    <m/>
    <n v="0"/>
    <m/>
    <m/>
    <n v="0"/>
  </r>
  <r>
    <x v="13"/>
    <s v="Temple College "/>
    <n v="228608"/>
    <x v="7"/>
    <m/>
    <m/>
    <n v="0"/>
    <m/>
    <m/>
    <n v="0"/>
    <m/>
    <m/>
    <n v="0"/>
    <m/>
    <m/>
    <n v="0"/>
    <m/>
    <m/>
    <n v="0"/>
    <m/>
    <m/>
    <n v="0"/>
    <n v="69"/>
    <n v="48606"/>
    <n v="3353814"/>
    <n v="76"/>
    <n v="55753.723684210527"/>
    <n v="4237283"/>
    <m/>
    <m/>
    <n v="0"/>
    <m/>
    <m/>
    <n v="0"/>
    <m/>
    <m/>
    <n v="0"/>
    <m/>
    <m/>
    <n v="0"/>
    <m/>
    <m/>
    <n v="0"/>
    <m/>
    <m/>
    <n v="0"/>
    <m/>
    <m/>
    <n v="0"/>
    <m/>
    <m/>
    <n v="0"/>
    <m/>
    <m/>
    <n v="0"/>
    <m/>
    <m/>
    <n v="0"/>
    <n v="28"/>
    <n v="56432"/>
    <n v="1292834.5472000001"/>
    <n v="31"/>
    <n v="60807.483870967742"/>
    <n v="1542333.1824"/>
    <m/>
    <m/>
    <n v="0"/>
    <m/>
    <m/>
    <n v="0"/>
    <m/>
    <m/>
    <n v="0"/>
    <m/>
    <m/>
    <n v="0"/>
  </r>
  <r>
    <x v="13"/>
    <s v="Texarkana College "/>
    <n v="228699"/>
    <x v="7"/>
    <n v="32"/>
    <n v="59300"/>
    <n v="1897600"/>
    <n v="32"/>
    <n v="62550.28125"/>
    <n v="2001609"/>
    <n v="28"/>
    <n v="50596"/>
    <n v="1416688"/>
    <n v="23"/>
    <n v="51733"/>
    <n v="1189859"/>
    <n v="8"/>
    <n v="48455"/>
    <n v="387640"/>
    <n v="10"/>
    <n v="47940.9"/>
    <n v="479409"/>
    <n v="3"/>
    <n v="44041"/>
    <n v="132123"/>
    <n v="5"/>
    <n v="45485.4"/>
    <n v="227427"/>
    <m/>
    <m/>
    <n v="0"/>
    <m/>
    <m/>
    <n v="0"/>
    <m/>
    <m/>
    <n v="0"/>
    <m/>
    <m/>
    <n v="0"/>
    <n v="5"/>
    <n v="79108"/>
    <n v="323630.82800000004"/>
    <n v="5"/>
    <n v="81266"/>
    <n v="332459.20600000001"/>
    <n v="5"/>
    <n v="67811"/>
    <n v="277414.80100000004"/>
    <n v="4"/>
    <n v="68954.25"/>
    <n v="225673.4694"/>
    <n v="2"/>
    <n v="65160"/>
    <n v="106627.82400000001"/>
    <n v="5"/>
    <n v="61097"/>
    <n v="249947.82700000002"/>
    <n v="24"/>
    <n v="62004"/>
    <n v="1217560.1472"/>
    <n v="24"/>
    <n v="61820.416666666664"/>
    <n v="1213955.1580000001"/>
    <m/>
    <m/>
    <n v="0"/>
    <m/>
    <m/>
    <n v="0"/>
    <m/>
    <m/>
    <n v="0"/>
    <m/>
    <m/>
    <n v="0"/>
  </r>
  <r>
    <x v="13"/>
    <s v="Texas State Technical College-Harlingen "/>
    <n v="229319"/>
    <x v="7"/>
    <m/>
    <m/>
    <n v="0"/>
    <m/>
    <m/>
    <n v="0"/>
    <n v="1"/>
    <n v="64764"/>
    <n v="64764"/>
    <n v="1"/>
    <n v="62760"/>
    <n v="62760"/>
    <m/>
    <m/>
    <n v="0"/>
    <m/>
    <m/>
    <n v="0"/>
    <n v="25"/>
    <n v="40213"/>
    <n v="1005325"/>
    <n v="25"/>
    <n v="39968.160000000003"/>
    <n v="999204.00000000012"/>
    <m/>
    <m/>
    <n v="0"/>
    <m/>
    <m/>
    <n v="0"/>
    <m/>
    <m/>
    <n v="0"/>
    <m/>
    <m/>
    <n v="0"/>
    <n v="5"/>
    <n v="59995"/>
    <n v="245439.54500000001"/>
    <n v="6"/>
    <n v="58080"/>
    <n v="285126.33600000001"/>
    <n v="17"/>
    <n v="53173"/>
    <n v="739604.52620000008"/>
    <n v="14"/>
    <n v="53632.285714285717"/>
    <n v="614347.10640000005"/>
    <m/>
    <m/>
    <n v="0"/>
    <m/>
    <m/>
    <n v="0"/>
    <n v="104"/>
    <n v="46115"/>
    <n v="3924054.4720000001"/>
    <n v="106"/>
    <n v="46545.811320754714"/>
    <n v="4036880.9792000004"/>
    <m/>
    <m/>
    <n v="0"/>
    <m/>
    <m/>
    <n v="0"/>
    <m/>
    <m/>
    <n v="0"/>
    <m/>
    <m/>
    <n v="0"/>
  </r>
  <r>
    <x v="13"/>
    <s v="Texas State Technical College-Waco"/>
    <n v="228680"/>
    <x v="7"/>
    <m/>
    <m/>
    <n v="0"/>
    <m/>
    <m/>
    <n v="0"/>
    <n v="5"/>
    <n v="48928"/>
    <n v="244640"/>
    <n v="4"/>
    <n v="49137"/>
    <n v="196548"/>
    <m/>
    <m/>
    <n v="0"/>
    <m/>
    <m/>
    <n v="0"/>
    <n v="31"/>
    <n v="41968"/>
    <n v="1301008"/>
    <n v="30"/>
    <n v="41544.6"/>
    <n v="1246338"/>
    <m/>
    <m/>
    <n v="0"/>
    <m/>
    <m/>
    <n v="0"/>
    <m/>
    <m/>
    <n v="0"/>
    <m/>
    <m/>
    <n v="0"/>
    <n v="6"/>
    <n v="66392"/>
    <n v="325931.60639999999"/>
    <n v="5"/>
    <n v="65577.600000000006"/>
    <n v="268277.96160000004"/>
    <n v="19"/>
    <n v="55950"/>
    <n v="869787.51"/>
    <n v="16"/>
    <n v="53734.5"/>
    <n v="703449.08640000003"/>
    <m/>
    <m/>
    <n v="0"/>
    <m/>
    <m/>
    <n v="0"/>
    <n v="177"/>
    <n v="46517"/>
    <n v="6736657.0638000006"/>
    <n v="179"/>
    <n v="46050.692737430167"/>
    <n v="6744483.1468000002"/>
    <m/>
    <m/>
    <n v="0"/>
    <m/>
    <m/>
    <n v="0"/>
    <m/>
    <m/>
    <n v="0"/>
    <m/>
    <m/>
    <n v="0"/>
  </r>
  <r>
    <x v="13"/>
    <s v="Trinity Valley Community College"/>
    <n v="225308"/>
    <x v="7"/>
    <n v="104"/>
    <n v="47721"/>
    <n v="4962984"/>
    <n v="107"/>
    <n v="67601.383177570096"/>
    <n v="7233348"/>
    <m/>
    <m/>
    <n v="0"/>
    <m/>
    <m/>
    <n v="0"/>
    <m/>
    <m/>
    <n v="0"/>
    <m/>
    <m/>
    <n v="0"/>
    <m/>
    <m/>
    <n v="0"/>
    <m/>
    <m/>
    <n v="0"/>
    <m/>
    <m/>
    <n v="0"/>
    <m/>
    <m/>
    <n v="0"/>
    <m/>
    <m/>
    <n v="0"/>
    <m/>
    <m/>
    <n v="0"/>
    <n v="30"/>
    <n v="60618"/>
    <n v="1487929.4280000001"/>
    <n v="33"/>
    <n v="67337.636363636368"/>
    <n v="1818156.5844000001"/>
    <m/>
    <m/>
    <n v="0"/>
    <m/>
    <m/>
    <n v="0"/>
    <m/>
    <m/>
    <n v="0"/>
    <m/>
    <m/>
    <n v="0"/>
    <m/>
    <m/>
    <n v="0"/>
    <m/>
    <m/>
    <n v="0"/>
    <m/>
    <m/>
    <n v="0"/>
    <m/>
    <m/>
    <n v="0"/>
    <m/>
    <m/>
    <n v="0"/>
    <m/>
    <m/>
    <n v="0"/>
  </r>
  <r>
    <x v="13"/>
    <s v="Vernon College "/>
    <n v="229504"/>
    <x v="7"/>
    <m/>
    <m/>
    <n v="0"/>
    <m/>
    <m/>
    <n v="0"/>
    <m/>
    <m/>
    <n v="0"/>
    <m/>
    <m/>
    <n v="0"/>
    <m/>
    <m/>
    <n v="0"/>
    <m/>
    <m/>
    <n v="0"/>
    <n v="48"/>
    <n v="40600"/>
    <n v="1948800"/>
    <n v="46"/>
    <n v="41569.260869565216"/>
    <n v="1912186"/>
    <m/>
    <m/>
    <n v="0"/>
    <m/>
    <m/>
    <n v="0"/>
    <m/>
    <m/>
    <n v="0"/>
    <m/>
    <m/>
    <n v="0"/>
    <m/>
    <m/>
    <n v="0"/>
    <m/>
    <m/>
    <n v="0"/>
    <m/>
    <m/>
    <n v="0"/>
    <m/>
    <m/>
    <n v="0"/>
    <m/>
    <m/>
    <n v="0"/>
    <m/>
    <m/>
    <n v="0"/>
    <n v="26"/>
    <n v="49502"/>
    <n v="1053065.9464"/>
    <n v="28"/>
    <n v="52174.892857142855"/>
    <n v="1195305.9254000001"/>
    <m/>
    <m/>
    <n v="0"/>
    <m/>
    <m/>
    <n v="0"/>
    <m/>
    <m/>
    <n v="0"/>
    <m/>
    <m/>
    <n v="0"/>
  </r>
  <r>
    <x v="13"/>
    <s v="Victoria College "/>
    <n v="229540"/>
    <x v="7"/>
    <n v="71"/>
    <n v="51298"/>
    <n v="3642158"/>
    <n v="74"/>
    <n v="52759.54054054054"/>
    <n v="3904206"/>
    <m/>
    <m/>
    <n v="0"/>
    <m/>
    <m/>
    <n v="0"/>
    <m/>
    <m/>
    <n v="0"/>
    <m/>
    <m/>
    <n v="0"/>
    <m/>
    <m/>
    <n v="0"/>
    <m/>
    <m/>
    <n v="0"/>
    <m/>
    <m/>
    <n v="0"/>
    <m/>
    <m/>
    <n v="0"/>
    <m/>
    <m/>
    <n v="0"/>
    <m/>
    <m/>
    <n v="0"/>
    <n v="25"/>
    <n v="57771"/>
    <n v="1181705.8050000002"/>
    <n v="26"/>
    <n v="61598.269230769234"/>
    <n v="1310392.301"/>
    <m/>
    <m/>
    <n v="0"/>
    <m/>
    <m/>
    <n v="0"/>
    <m/>
    <m/>
    <n v="0"/>
    <m/>
    <m/>
    <n v="0"/>
    <m/>
    <m/>
    <n v="0"/>
    <m/>
    <m/>
    <n v="0"/>
    <m/>
    <m/>
    <n v="0"/>
    <m/>
    <m/>
    <n v="0"/>
    <m/>
    <m/>
    <n v="0"/>
    <m/>
    <m/>
    <n v="0"/>
  </r>
  <r>
    <x v="13"/>
    <s v="Weatherford College "/>
    <n v="229799"/>
    <x v="7"/>
    <m/>
    <m/>
    <n v="0"/>
    <m/>
    <m/>
    <n v="0"/>
    <m/>
    <m/>
    <n v="0"/>
    <m/>
    <m/>
    <n v="0"/>
    <m/>
    <m/>
    <n v="0"/>
    <m/>
    <m/>
    <n v="0"/>
    <n v="81"/>
    <n v="48168"/>
    <n v="3901608"/>
    <n v="82"/>
    <n v="49681.402439024387"/>
    <n v="4073874.9999999995"/>
    <m/>
    <m/>
    <n v="0"/>
    <m/>
    <m/>
    <n v="0"/>
    <m/>
    <m/>
    <n v="0"/>
    <m/>
    <m/>
    <n v="0"/>
    <m/>
    <m/>
    <n v="0"/>
    <m/>
    <m/>
    <n v="0"/>
    <m/>
    <m/>
    <n v="0"/>
    <m/>
    <m/>
    <n v="0"/>
    <m/>
    <m/>
    <n v="0"/>
    <m/>
    <m/>
    <n v="0"/>
    <n v="29"/>
    <n v="52974"/>
    <n v="1256956.4772000001"/>
    <n v="29"/>
    <n v="52961.551724137928"/>
    <n v="1256661.1070000001"/>
    <m/>
    <m/>
    <n v="0"/>
    <m/>
    <m/>
    <n v="0"/>
    <m/>
    <m/>
    <n v="0"/>
    <m/>
    <m/>
    <n v="0"/>
  </r>
  <r>
    <x v="13"/>
    <s v="Wharton County Junior College "/>
    <n v="229841"/>
    <x v="7"/>
    <m/>
    <m/>
    <n v="0"/>
    <m/>
    <m/>
    <n v="0"/>
    <m/>
    <m/>
    <n v="0"/>
    <m/>
    <m/>
    <n v="0"/>
    <m/>
    <m/>
    <n v="0"/>
    <m/>
    <m/>
    <n v="0"/>
    <m/>
    <m/>
    <n v="0"/>
    <m/>
    <m/>
    <n v="0"/>
    <m/>
    <m/>
    <n v="0"/>
    <m/>
    <m/>
    <n v="0"/>
    <n v="103"/>
    <n v="47323"/>
    <n v="4874269"/>
    <n v="102"/>
    <n v="49335.401960784315"/>
    <n v="5032211"/>
    <m/>
    <m/>
    <n v="0"/>
    <m/>
    <m/>
    <n v="0"/>
    <m/>
    <m/>
    <n v="0"/>
    <m/>
    <m/>
    <n v="0"/>
    <m/>
    <m/>
    <n v="0"/>
    <m/>
    <m/>
    <n v="0"/>
    <m/>
    <m/>
    <n v="0"/>
    <m/>
    <m/>
    <n v="0"/>
    <m/>
    <m/>
    <n v="0"/>
    <m/>
    <m/>
    <n v="0"/>
    <n v="41"/>
    <n v="58362"/>
    <n v="1957823.3244"/>
    <n v="48"/>
    <n v="59416.6875"/>
    <n v="2333507.2182"/>
  </r>
  <r>
    <x v="13"/>
    <s v="Clarendon College "/>
    <n v="223922"/>
    <x v="8"/>
    <n v="4"/>
    <n v="43506"/>
    <n v="174024"/>
    <n v="4"/>
    <n v="44203.75"/>
    <n v="176815"/>
    <n v="8"/>
    <n v="38145"/>
    <n v="305160"/>
    <n v="6"/>
    <n v="43419.833333333336"/>
    <n v="260519"/>
    <n v="8"/>
    <n v="44390"/>
    <n v="355120"/>
    <n v="8"/>
    <n v="39932.125"/>
    <n v="319457"/>
    <n v="8"/>
    <n v="34086"/>
    <n v="272688"/>
    <n v="8"/>
    <n v="34060"/>
    <n v="272480"/>
    <m/>
    <m/>
    <n v="0"/>
    <m/>
    <m/>
    <n v="0"/>
    <m/>
    <m/>
    <n v="0"/>
    <m/>
    <m/>
    <n v="0"/>
    <m/>
    <m/>
    <n v="0"/>
    <m/>
    <m/>
    <n v="0"/>
    <n v="2"/>
    <n v="47603"/>
    <n v="77897.549200000009"/>
    <n v="3"/>
    <n v="47707.666666666664"/>
    <n v="117103.23860000001"/>
    <n v="2"/>
    <n v="48800"/>
    <n v="79856.320000000007"/>
    <n v="2"/>
    <n v="46638"/>
    <n v="76318.423200000005"/>
    <m/>
    <m/>
    <n v="0"/>
    <m/>
    <m/>
    <n v="0"/>
    <m/>
    <m/>
    <n v="0"/>
    <m/>
    <m/>
    <n v="0"/>
    <m/>
    <m/>
    <n v="0"/>
    <m/>
    <m/>
    <n v="0"/>
  </r>
  <r>
    <x v="13"/>
    <s v="Frank Phillips College "/>
    <n v="224891"/>
    <x v="8"/>
    <m/>
    <m/>
    <n v="0"/>
    <m/>
    <m/>
    <n v="0"/>
    <m/>
    <m/>
    <n v="0"/>
    <m/>
    <m/>
    <n v="0"/>
    <m/>
    <m/>
    <n v="0"/>
    <m/>
    <m/>
    <n v="0"/>
    <n v="24"/>
    <n v="35940"/>
    <n v="862560"/>
    <n v="25"/>
    <n v="34502.839999999997"/>
    <n v="862570.99999999988"/>
    <m/>
    <m/>
    <n v="0"/>
    <m/>
    <m/>
    <n v="0"/>
    <m/>
    <m/>
    <n v="0"/>
    <m/>
    <m/>
    <n v="0"/>
    <m/>
    <m/>
    <n v="0"/>
    <m/>
    <m/>
    <n v="0"/>
    <m/>
    <m/>
    <n v="0"/>
    <m/>
    <m/>
    <n v="0"/>
    <m/>
    <m/>
    <n v="0"/>
    <m/>
    <m/>
    <n v="0"/>
    <n v="6"/>
    <n v="41685"/>
    <n v="204640.00200000001"/>
    <n v="4"/>
    <n v="40221.25"/>
    <n v="131636.10700000002"/>
    <m/>
    <m/>
    <n v="0"/>
    <m/>
    <m/>
    <n v="0"/>
    <m/>
    <m/>
    <n v="0"/>
    <m/>
    <m/>
    <n v="0"/>
  </r>
  <r>
    <x v="13"/>
    <s v="Galveston College "/>
    <n v="224961"/>
    <x v="8"/>
    <n v="6"/>
    <n v="68185"/>
    <n v="409110"/>
    <n v="5"/>
    <n v="72073.2"/>
    <n v="360366"/>
    <n v="6"/>
    <n v="62955"/>
    <n v="377730"/>
    <n v="5"/>
    <n v="68874.600000000006"/>
    <n v="344373"/>
    <n v="8"/>
    <n v="57008"/>
    <n v="456064"/>
    <n v="9"/>
    <n v="60111.222222222219"/>
    <n v="541001"/>
    <n v="31"/>
    <n v="58101"/>
    <n v="1801131"/>
    <n v="31"/>
    <n v="58208.580645161288"/>
    <n v="1804466"/>
    <m/>
    <m/>
    <n v="0"/>
    <m/>
    <m/>
    <n v="0"/>
    <m/>
    <m/>
    <n v="0"/>
    <m/>
    <m/>
    <n v="0"/>
    <m/>
    <m/>
    <n v="0"/>
    <m/>
    <m/>
    <n v="0"/>
    <m/>
    <m/>
    <n v="0"/>
    <m/>
    <m/>
    <n v="0"/>
    <m/>
    <m/>
    <n v="0"/>
    <m/>
    <m/>
    <n v="0"/>
    <n v="4"/>
    <n v="79580"/>
    <n v="260449.424"/>
    <n v="6"/>
    <n v="70406.5"/>
    <n v="345639.58980000002"/>
    <n v="1"/>
    <n v="67734"/>
    <n v="55419.9588"/>
    <m/>
    <m/>
    <n v="0"/>
    <m/>
    <m/>
    <n v="0"/>
    <n v="1"/>
    <n v="62220"/>
    <n v="50908.404000000002"/>
  </r>
  <r>
    <x v="13"/>
    <s v="Lamar State College-Orange"/>
    <n v="226107"/>
    <x v="8"/>
    <n v="1"/>
    <n v="47679"/>
    <n v="47679"/>
    <n v="2"/>
    <n v="49509"/>
    <n v="99018"/>
    <n v="3"/>
    <n v="46085"/>
    <n v="138255"/>
    <n v="2"/>
    <n v="46247"/>
    <n v="92494"/>
    <n v="9"/>
    <n v="46621"/>
    <n v="419589"/>
    <n v="9"/>
    <n v="48020.111111111109"/>
    <n v="432181"/>
    <n v="30"/>
    <n v="38077"/>
    <n v="1142310"/>
    <n v="33"/>
    <n v="38580.878787878784"/>
    <n v="1273169"/>
    <m/>
    <m/>
    <n v="0"/>
    <m/>
    <m/>
    <n v="0"/>
    <m/>
    <m/>
    <n v="0"/>
    <m/>
    <m/>
    <n v="0"/>
    <m/>
    <m/>
    <n v="0"/>
    <m/>
    <m/>
    <n v="0"/>
    <m/>
    <m/>
    <n v="0"/>
    <m/>
    <m/>
    <n v="0"/>
    <n v="1"/>
    <n v="51839"/>
    <n v="42414.669800000003"/>
    <n v="1"/>
    <n v="53394"/>
    <n v="43686.970800000003"/>
    <n v="4"/>
    <n v="41669"/>
    <n v="136374.30319999999"/>
    <n v="5"/>
    <n v="41973.8"/>
    <n v="171714.81580000001"/>
    <m/>
    <m/>
    <n v="0"/>
    <m/>
    <m/>
    <n v="0"/>
    <m/>
    <m/>
    <n v="0"/>
    <m/>
    <m/>
    <n v="0"/>
  </r>
  <r>
    <x v="13"/>
    <s v="Lamar State College-Port Arthur"/>
    <n v="226116"/>
    <x v="8"/>
    <n v="1"/>
    <n v="52445"/>
    <n v="52445"/>
    <n v="1"/>
    <n v="52445"/>
    <n v="52445"/>
    <n v="3"/>
    <n v="47143"/>
    <n v="141429"/>
    <n v="3"/>
    <n v="47143"/>
    <n v="141429"/>
    <n v="4"/>
    <n v="44021"/>
    <n v="176084"/>
    <n v="4"/>
    <n v="44020.5"/>
    <n v="176082"/>
    <n v="44"/>
    <n v="41777"/>
    <n v="1838188"/>
    <n v="36"/>
    <n v="41167.111111111109"/>
    <n v="1482016"/>
    <m/>
    <m/>
    <n v="0"/>
    <m/>
    <m/>
    <n v="0"/>
    <m/>
    <m/>
    <n v="0"/>
    <m/>
    <m/>
    <n v="0"/>
    <m/>
    <m/>
    <n v="0"/>
    <m/>
    <m/>
    <n v="0"/>
    <m/>
    <m/>
    <n v="0"/>
    <m/>
    <m/>
    <n v="0"/>
    <m/>
    <m/>
    <n v="0"/>
    <m/>
    <m/>
    <n v="0"/>
    <n v="18"/>
    <n v="49174"/>
    <n v="724215.0024"/>
    <n v="18"/>
    <n v="47144.444444444445"/>
    <n v="694324.52"/>
    <n v="5"/>
    <n v="48153"/>
    <n v="196993.92300000001"/>
    <m/>
    <m/>
    <n v="0"/>
    <m/>
    <m/>
    <n v="0"/>
    <n v="6"/>
    <n v="47233"/>
    <n v="231876.24360000002"/>
  </r>
  <r>
    <x v="13"/>
    <s v="Northeast Lakeview College (ACCD)"/>
    <s v="???????"/>
    <x v="8"/>
    <m/>
    <m/>
    <n v="0"/>
    <m/>
    <m/>
    <n v="0"/>
    <m/>
    <m/>
    <n v="0"/>
    <m/>
    <m/>
    <n v="0"/>
    <m/>
    <m/>
    <n v="0"/>
    <m/>
    <m/>
    <n v="0"/>
    <m/>
    <m/>
    <n v="0"/>
    <m/>
    <m/>
    <n v="0"/>
    <m/>
    <m/>
    <n v="0"/>
    <m/>
    <m/>
    <n v="0"/>
    <m/>
    <m/>
    <n v="0"/>
    <m/>
    <m/>
    <n v="0"/>
    <m/>
    <m/>
    <n v="0"/>
    <m/>
    <m/>
    <n v="0"/>
    <m/>
    <m/>
    <n v="0"/>
    <m/>
    <m/>
    <n v="0"/>
    <m/>
    <m/>
    <n v="0"/>
    <m/>
    <m/>
    <n v="0"/>
    <m/>
    <m/>
    <n v="0"/>
    <m/>
    <m/>
    <n v="0"/>
    <m/>
    <m/>
    <n v="0"/>
    <m/>
    <m/>
    <n v="0"/>
    <m/>
    <m/>
    <n v="0"/>
    <m/>
    <m/>
    <n v="0"/>
  </r>
  <r>
    <x v="13"/>
    <s v="Northeast Texas Community College "/>
    <n v="227225"/>
    <x v="8"/>
    <n v="28"/>
    <n v="52590"/>
    <n v="1472520"/>
    <n v="25"/>
    <n v="55880"/>
    <n v="1397000"/>
    <n v="4"/>
    <n v="53726"/>
    <n v="214904"/>
    <n v="8"/>
    <n v="58890.25"/>
    <n v="471122"/>
    <n v="4"/>
    <n v="41138"/>
    <n v="164552"/>
    <n v="8"/>
    <n v="35735.25"/>
    <n v="285882"/>
    <n v="6"/>
    <n v="46807"/>
    <n v="280842"/>
    <n v="8"/>
    <n v="42851.25"/>
    <n v="342810"/>
    <m/>
    <m/>
    <n v="0"/>
    <m/>
    <m/>
    <n v="0"/>
    <m/>
    <m/>
    <n v="0"/>
    <m/>
    <m/>
    <n v="0"/>
    <n v="2"/>
    <n v="52958"/>
    <n v="86660.4712"/>
    <n v="4"/>
    <n v="58678.5"/>
    <n v="192042.99480000001"/>
    <n v="5"/>
    <n v="52153"/>
    <n v="213357.92300000001"/>
    <n v="1"/>
    <n v="58790"/>
    <n v="48101.978000000003"/>
    <n v="2"/>
    <n v="48871"/>
    <n v="79972.504400000005"/>
    <n v="1"/>
    <n v="55829"/>
    <n v="45679.287800000006"/>
    <n v="5"/>
    <n v="43550"/>
    <n v="178163.05000000002"/>
    <n v="2"/>
    <n v="52069.5"/>
    <n v="85206.529800000004"/>
    <m/>
    <m/>
    <n v="0"/>
    <m/>
    <m/>
    <n v="0"/>
    <m/>
    <m/>
    <n v="0"/>
    <m/>
    <m/>
    <n v="0"/>
  </r>
  <r>
    <x v="13"/>
    <s v="Panola College"/>
    <n v="227386"/>
    <x v="8"/>
    <m/>
    <m/>
    <n v="0"/>
    <m/>
    <m/>
    <n v="0"/>
    <m/>
    <m/>
    <n v="0"/>
    <m/>
    <m/>
    <n v="0"/>
    <m/>
    <m/>
    <n v="0"/>
    <m/>
    <m/>
    <n v="0"/>
    <n v="47"/>
    <n v="47110"/>
    <n v="2214170"/>
    <n v="49"/>
    <n v="47902.367346938772"/>
    <n v="2347216"/>
    <m/>
    <m/>
    <n v="0"/>
    <m/>
    <m/>
    <n v="0"/>
    <m/>
    <m/>
    <n v="0"/>
    <m/>
    <m/>
    <n v="0"/>
    <m/>
    <m/>
    <n v="0"/>
    <m/>
    <m/>
    <n v="0"/>
    <m/>
    <m/>
    <n v="0"/>
    <m/>
    <m/>
    <n v="0"/>
    <m/>
    <m/>
    <n v="0"/>
    <m/>
    <m/>
    <n v="0"/>
    <n v="13"/>
    <n v="52088"/>
    <n v="554039.22080000001"/>
    <n v="16"/>
    <n v="51358.875"/>
    <n v="672349.30440000002"/>
    <m/>
    <m/>
    <n v="0"/>
    <m/>
    <m/>
    <n v="0"/>
    <m/>
    <m/>
    <n v="0"/>
    <m/>
    <m/>
    <n v="0"/>
  </r>
  <r>
    <x v="13"/>
    <s v="Ranger College "/>
    <n v="227687"/>
    <x v="8"/>
    <n v="1"/>
    <n v="44181"/>
    <n v="44181"/>
    <n v="1"/>
    <n v="44181"/>
    <n v="44181"/>
    <n v="6"/>
    <n v="34641"/>
    <n v="207846"/>
    <n v="5"/>
    <n v="34887.4"/>
    <n v="174437"/>
    <n v="6"/>
    <n v="29650"/>
    <n v="177900"/>
    <n v="8"/>
    <n v="30022.25"/>
    <n v="240178"/>
    <n v="1"/>
    <n v="23786"/>
    <n v="23786"/>
    <n v="1"/>
    <n v="25893"/>
    <n v="25893"/>
    <m/>
    <m/>
    <n v="0"/>
    <m/>
    <m/>
    <n v="0"/>
    <m/>
    <m/>
    <n v="0"/>
    <m/>
    <m/>
    <n v="0"/>
    <m/>
    <m/>
    <n v="0"/>
    <m/>
    <m/>
    <n v="0"/>
    <m/>
    <m/>
    <n v="0"/>
    <m/>
    <m/>
    <n v="0"/>
    <n v="1"/>
    <n v="35000"/>
    <n v="28637"/>
    <n v="2"/>
    <n v="15550"/>
    <n v="25446.02"/>
    <n v="3"/>
    <n v="32600"/>
    <n v="80019.960000000006"/>
    <n v="9"/>
    <n v="31527.777777777777"/>
    <n v="232164.25"/>
    <n v="2"/>
    <n v="28000"/>
    <n v="45819.200000000004"/>
    <m/>
    <m/>
    <n v="0"/>
    <m/>
    <m/>
    <n v="0"/>
    <m/>
    <m/>
    <n v="0"/>
  </r>
  <r>
    <x v="13"/>
    <s v="Southwest Collegiate Institute for the Deaf"/>
    <n v="382911"/>
    <x v="8"/>
    <m/>
    <m/>
    <n v="0"/>
    <m/>
    <m/>
    <n v="0"/>
    <m/>
    <m/>
    <n v="0"/>
    <m/>
    <m/>
    <n v="0"/>
    <m/>
    <m/>
    <n v="0"/>
    <m/>
    <m/>
    <n v="0"/>
    <m/>
    <m/>
    <n v="0"/>
    <m/>
    <m/>
    <n v="0"/>
    <m/>
    <m/>
    <n v="0"/>
    <m/>
    <m/>
    <n v="0"/>
    <m/>
    <m/>
    <n v="0"/>
    <m/>
    <m/>
    <n v="0"/>
    <m/>
    <m/>
    <n v="0"/>
    <m/>
    <m/>
    <n v="0"/>
    <m/>
    <m/>
    <n v="0"/>
    <m/>
    <m/>
    <n v="0"/>
    <m/>
    <m/>
    <n v="0"/>
    <m/>
    <m/>
    <n v="0"/>
    <m/>
    <m/>
    <n v="0"/>
    <m/>
    <m/>
    <n v="0"/>
    <m/>
    <m/>
    <n v="0"/>
    <m/>
    <m/>
    <n v="0"/>
    <m/>
    <m/>
    <n v="0"/>
    <m/>
    <m/>
    <n v="0"/>
  </r>
  <r>
    <x v="13"/>
    <s v="Texas State Technical College-Marshall"/>
    <n v="408394"/>
    <x v="8"/>
    <m/>
    <m/>
    <n v="0"/>
    <m/>
    <m/>
    <n v="0"/>
    <m/>
    <m/>
    <n v="0"/>
    <m/>
    <m/>
    <n v="0"/>
    <m/>
    <m/>
    <n v="0"/>
    <m/>
    <m/>
    <n v="0"/>
    <m/>
    <m/>
    <n v="0"/>
    <n v="1"/>
    <n v="34008"/>
    <n v="34008"/>
    <m/>
    <m/>
    <n v="0"/>
    <m/>
    <m/>
    <n v="0"/>
    <m/>
    <m/>
    <n v="0"/>
    <m/>
    <m/>
    <n v="0"/>
    <m/>
    <m/>
    <n v="0"/>
    <m/>
    <m/>
    <n v="0"/>
    <n v="2"/>
    <n v="50718"/>
    <n v="82994.935200000007"/>
    <n v="2"/>
    <n v="50718"/>
    <n v="82994.935200000007"/>
    <m/>
    <m/>
    <n v="0"/>
    <m/>
    <m/>
    <n v="0"/>
    <n v="30"/>
    <n v="46404"/>
    <n v="1139032.584"/>
    <n v="31"/>
    <n v="45343.774193548386"/>
    <n v="1150108.5574"/>
    <m/>
    <m/>
    <n v="0"/>
    <m/>
    <m/>
    <n v="0"/>
    <m/>
    <m/>
    <n v="0"/>
    <m/>
    <m/>
    <n v="0"/>
  </r>
  <r>
    <x v="13"/>
    <s v="Texas State Technical College-West Texas"/>
    <n v="229328"/>
    <x v="8"/>
    <m/>
    <m/>
    <n v="0"/>
    <m/>
    <m/>
    <n v="0"/>
    <m/>
    <m/>
    <n v="0"/>
    <m/>
    <m/>
    <n v="0"/>
    <m/>
    <m/>
    <n v="0"/>
    <m/>
    <m/>
    <n v="0"/>
    <n v="1"/>
    <n v="31692"/>
    <n v="31692"/>
    <n v="1"/>
    <n v="31692"/>
    <n v="31692"/>
    <m/>
    <m/>
    <n v="0"/>
    <m/>
    <m/>
    <n v="0"/>
    <m/>
    <m/>
    <n v="0"/>
    <m/>
    <m/>
    <n v="0"/>
    <m/>
    <m/>
    <n v="0"/>
    <m/>
    <m/>
    <n v="0"/>
    <n v="7"/>
    <n v="57279"/>
    <n v="328059.74460000003"/>
    <n v="5"/>
    <n v="51036"/>
    <n v="208788.27600000001"/>
    <m/>
    <m/>
    <n v="0"/>
    <m/>
    <m/>
    <n v="0"/>
    <n v="88"/>
    <n v="42900"/>
    <n v="3088868.64"/>
    <n v="88"/>
    <n v="42912.63636363636"/>
    <n v="3089778.4783999999"/>
    <m/>
    <m/>
    <n v="0"/>
    <m/>
    <m/>
    <n v="0"/>
    <m/>
    <m/>
    <n v="0"/>
    <m/>
    <m/>
    <n v="0"/>
  </r>
  <r>
    <x v="13"/>
    <s v="Western Texas College "/>
    <n v="229832"/>
    <x v="8"/>
    <n v="1"/>
    <n v="57436"/>
    <n v="57436"/>
    <m/>
    <m/>
    <n v="0"/>
    <n v="10"/>
    <n v="43707"/>
    <n v="437070"/>
    <n v="11"/>
    <n v="48583.36363636364"/>
    <n v="534417"/>
    <m/>
    <m/>
    <n v="0"/>
    <m/>
    <m/>
    <n v="0"/>
    <n v="24"/>
    <n v="36960"/>
    <n v="887040"/>
    <n v="25"/>
    <n v="39795.96"/>
    <n v="994899"/>
    <m/>
    <m/>
    <n v="0"/>
    <m/>
    <m/>
    <n v="0"/>
    <m/>
    <m/>
    <n v="0"/>
    <m/>
    <m/>
    <n v="0"/>
    <m/>
    <m/>
    <n v="0"/>
    <m/>
    <m/>
    <n v="0"/>
    <n v="2"/>
    <n v="52615"/>
    <n v="86099.186000000002"/>
    <n v="3"/>
    <n v="62826.666666666664"/>
    <n v="154214.33600000001"/>
    <m/>
    <m/>
    <n v="0"/>
    <m/>
    <m/>
    <n v="0"/>
    <n v="8"/>
    <n v="48251"/>
    <n v="315831.74560000002"/>
    <n v="9"/>
    <n v="59705.444444444445"/>
    <n v="439658.95180000004"/>
    <m/>
    <m/>
    <n v="0"/>
    <m/>
    <m/>
    <n v="0"/>
    <m/>
    <m/>
    <n v="0"/>
    <m/>
    <m/>
    <n v="0"/>
  </r>
  <r>
    <x v="14"/>
    <s v="George Mason University "/>
    <n v="232186"/>
    <x v="0"/>
    <n v="293"/>
    <n v="125484"/>
    <n v="36766812"/>
    <n v="295"/>
    <n v="123650"/>
    <n v="36476750"/>
    <n v="319"/>
    <n v="83276"/>
    <n v="26565044"/>
    <n v="330"/>
    <n v="84101"/>
    <n v="27753330"/>
    <n v="342"/>
    <n v="69119"/>
    <n v="23638698"/>
    <n v="372"/>
    <n v="69406"/>
    <n v="25819032"/>
    <n v="76"/>
    <n v="56241"/>
    <n v="4274316"/>
    <n v="72"/>
    <n v="56700"/>
    <n v="4082400"/>
    <m/>
    <m/>
    <n v="0"/>
    <m/>
    <m/>
    <n v="0"/>
    <m/>
    <m/>
    <n v="0"/>
    <m/>
    <m/>
    <n v="0"/>
    <n v="23"/>
    <n v="174249"/>
    <n v="3279122.2313999999"/>
    <n v="23"/>
    <n v="172147"/>
    <n v="3239565.5342000001"/>
    <n v="21"/>
    <n v="95313"/>
    <n v="1637687.0286000001"/>
    <n v="17"/>
    <n v="92809"/>
    <n v="1290917.5046000001"/>
    <n v="20"/>
    <n v="79295"/>
    <n v="1297583.3800000001"/>
    <n v="15"/>
    <n v="85360"/>
    <n v="1047623.28"/>
    <n v="10"/>
    <n v="63110"/>
    <n v="516366.02"/>
    <n v="10"/>
    <n v="69700"/>
    <n v="570285.4"/>
    <m/>
    <m/>
    <n v="0"/>
    <m/>
    <m/>
    <n v="0"/>
    <m/>
    <m/>
    <n v="0"/>
    <m/>
    <m/>
    <n v="0"/>
  </r>
  <r>
    <x v="14"/>
    <s v="University of Virginia"/>
    <n v="234076"/>
    <x v="0"/>
    <n v="363"/>
    <n v="129215"/>
    <n v="46905045"/>
    <n v="372"/>
    <n v="131495"/>
    <n v="48916140"/>
    <n v="257"/>
    <n v="91552"/>
    <n v="23528864"/>
    <n v="253"/>
    <n v="93046"/>
    <n v="23540638"/>
    <n v="191"/>
    <n v="75213"/>
    <n v="14365683"/>
    <n v="211"/>
    <n v="75613"/>
    <n v="15954343"/>
    <n v="14"/>
    <n v="52929"/>
    <n v="741006"/>
    <n v="11"/>
    <n v="54909"/>
    <n v="603999"/>
    <n v="57"/>
    <n v="51430"/>
    <n v="2931510"/>
    <n v="57"/>
    <n v="50563"/>
    <n v="2882091"/>
    <m/>
    <m/>
    <n v="0"/>
    <m/>
    <m/>
    <n v="0"/>
    <n v="147"/>
    <n v="175419"/>
    <n v="21098590.3926"/>
    <n v="134"/>
    <n v="173011"/>
    <n v="18968718.426800001"/>
    <n v="61"/>
    <n v="110256"/>
    <n v="5502899.0112000005"/>
    <n v="71"/>
    <n v="108623"/>
    <n v="6310149.0405999999"/>
    <n v="59"/>
    <n v="88475"/>
    <n v="4271024.4550000001"/>
    <n v="52"/>
    <n v="90219"/>
    <n v="3838493.6616000002"/>
    <m/>
    <m/>
    <n v="0"/>
    <n v="1"/>
    <n v="60000"/>
    <n v="49092"/>
    <n v="23"/>
    <n v="73317"/>
    <n v="1379723.2962"/>
    <n v="24"/>
    <n v="71751"/>
    <n v="1408960.0368000001"/>
    <m/>
    <m/>
    <n v="0"/>
    <m/>
    <m/>
    <n v="0"/>
  </r>
  <r>
    <x v="14"/>
    <s v="Virginia Tech "/>
    <n v="233921"/>
    <x v="0"/>
    <n v="333"/>
    <n v="112673"/>
    <n v="37520109"/>
    <n v="326"/>
    <n v="113100"/>
    <n v="36870600"/>
    <n v="327"/>
    <n v="82961"/>
    <n v="27128247"/>
    <n v="327"/>
    <n v="84935"/>
    <n v="27773745"/>
    <n v="265"/>
    <n v="68562"/>
    <n v="18168930"/>
    <n v="289"/>
    <n v="70767"/>
    <n v="20451663"/>
    <n v="135"/>
    <n v="43160"/>
    <n v="5826600"/>
    <n v="136"/>
    <n v="45062"/>
    <n v="6128432"/>
    <m/>
    <m/>
    <n v="0"/>
    <n v="10"/>
    <m/>
    <n v="0"/>
    <m/>
    <m/>
    <n v="0"/>
    <m/>
    <m/>
    <n v="0"/>
    <n v="162"/>
    <n v="150857"/>
    <n v="19995853.978800002"/>
    <n v="153"/>
    <n v="152237"/>
    <n v="19057727.950200003"/>
    <n v="95"/>
    <n v="101838"/>
    <n v="7915765.9020000007"/>
    <n v="86"/>
    <n v="101607"/>
    <n v="7149596.8764000004"/>
    <n v="31"/>
    <n v="78601"/>
    <n v="1993651.4842000001"/>
    <n v="26"/>
    <n v="81095"/>
    <n v="1725150.1540000001"/>
    <n v="18"/>
    <n v="58321"/>
    <n v="858928.35960000008"/>
    <n v="21"/>
    <n v="59297"/>
    <n v="1018852.9134000001"/>
    <n v="5"/>
    <n v="62491"/>
    <n v="255650.68100000001"/>
    <n v="5"/>
    <n v="62491"/>
    <n v="255650.68100000001"/>
    <m/>
    <m/>
    <n v="0"/>
    <m/>
    <m/>
    <n v="0"/>
  </r>
  <r>
    <x v="14"/>
    <s v="College of William &amp; Mary"/>
    <n v="231624"/>
    <x v="1"/>
    <n v="174"/>
    <n v="121716"/>
    <n v="21178584"/>
    <n v="184"/>
    <n v="118982"/>
    <n v="21892688"/>
    <n v="174"/>
    <n v="84991"/>
    <n v="14788434"/>
    <n v="173"/>
    <n v="84677"/>
    <n v="14649121"/>
    <n v="148"/>
    <n v="65671"/>
    <n v="9719308"/>
    <n v="147"/>
    <n v="67718"/>
    <n v="9954546"/>
    <n v="40"/>
    <n v="46328"/>
    <n v="1853120"/>
    <n v="35"/>
    <n v="45323"/>
    <n v="1586305"/>
    <n v="10"/>
    <n v="52910"/>
    <n v="529100"/>
    <m/>
    <n v="54970"/>
    <n v="0"/>
    <m/>
    <m/>
    <n v="0"/>
    <m/>
    <m/>
    <n v="0"/>
    <n v="33"/>
    <n v="128261"/>
    <n v="3463123.9566000002"/>
    <n v="35"/>
    <n v="125411"/>
    <n v="3591394.807"/>
    <n v="13"/>
    <n v="95238"/>
    <n v="1013008.5108"/>
    <n v="11"/>
    <n v="91455"/>
    <n v="823113.29100000008"/>
    <n v="8"/>
    <n v="64988"/>
    <n v="425385.45280000003"/>
    <n v="6"/>
    <n v="65583"/>
    <n v="321960.06359999999"/>
    <n v="1"/>
    <n v="40000"/>
    <n v="32728"/>
    <m/>
    <m/>
    <n v="0"/>
    <n v="1"/>
    <n v="40000"/>
    <n v="32728"/>
    <m/>
    <m/>
    <n v="0"/>
    <m/>
    <m/>
    <n v="0"/>
    <m/>
    <m/>
    <n v="0"/>
  </r>
  <r>
    <x v="14"/>
    <s v="Old Dominion University "/>
    <n v="232982"/>
    <x v="1"/>
    <n v="137"/>
    <n v="97813"/>
    <n v="13400381"/>
    <n v="130"/>
    <n v="101691"/>
    <n v="13219830"/>
    <n v="177"/>
    <n v="70453"/>
    <n v="12470181"/>
    <n v="170"/>
    <n v="73771"/>
    <n v="12541070"/>
    <n v="134"/>
    <n v="61346"/>
    <n v="8220364"/>
    <n v="151"/>
    <n v="63472"/>
    <n v="9584272"/>
    <n v="46"/>
    <n v="42799"/>
    <n v="1968754"/>
    <n v="28"/>
    <n v="43845"/>
    <n v="1227660"/>
    <n v="86"/>
    <n v="48571"/>
    <n v="4177106"/>
    <n v="111"/>
    <n v="49814"/>
    <n v="5529354"/>
    <m/>
    <m/>
    <n v="0"/>
    <m/>
    <m/>
    <n v="0"/>
    <n v="56"/>
    <n v="124380"/>
    <n v="5698992.0959999999"/>
    <n v="53"/>
    <n v="128239"/>
    <n v="5561032.9394000005"/>
    <n v="26"/>
    <n v="91674"/>
    <n v="1950199.3368000002"/>
    <n v="26"/>
    <n v="95323"/>
    <n v="2027825.2436000002"/>
    <n v="4"/>
    <n v="68869"/>
    <n v="225394.4632"/>
    <n v="7"/>
    <n v="82708"/>
    <n v="473701.79920000001"/>
    <n v="2"/>
    <n v="55773"/>
    <n v="91266.9372"/>
    <n v="1"/>
    <n v="63654"/>
    <n v="52081.702799999999"/>
    <n v="18"/>
    <n v="51891"/>
    <n v="764229.89160000009"/>
    <n v="20"/>
    <n v="55693"/>
    <n v="911360.25200000009"/>
    <m/>
    <m/>
    <n v="0"/>
    <m/>
    <m/>
    <n v="0"/>
  </r>
  <r>
    <x v="14"/>
    <s v="Virginia Commonwealth University  "/>
    <n v="234030"/>
    <x v="1"/>
    <n v="126"/>
    <n v="103331"/>
    <n v="13019706"/>
    <n v="131"/>
    <n v="104475"/>
    <n v="13686225"/>
    <n v="218"/>
    <n v="79467"/>
    <n v="17323806"/>
    <n v="215"/>
    <n v="80009"/>
    <n v="17201935"/>
    <n v="217"/>
    <n v="60522"/>
    <n v="13133274"/>
    <n v="223"/>
    <n v="60845"/>
    <n v="13568435"/>
    <n v="90"/>
    <n v="45243"/>
    <n v="4071870"/>
    <n v="95"/>
    <n v="45022"/>
    <n v="4277090"/>
    <m/>
    <m/>
    <n v="0"/>
    <m/>
    <m/>
    <n v="0"/>
    <m/>
    <m/>
    <n v="0"/>
    <m/>
    <m/>
    <n v="0"/>
    <n v="84"/>
    <n v="137476"/>
    <n v="9448560.5088"/>
    <n v="92"/>
    <n v="140220"/>
    <n v="10554976.368000001"/>
    <n v="93"/>
    <n v="96348"/>
    <n v="7331369.8248000005"/>
    <n v="104"/>
    <n v="99280"/>
    <n v="8448013.1840000004"/>
    <n v="131"/>
    <n v="79854"/>
    <n v="8559087.1068000011"/>
    <n v="145"/>
    <n v="82915"/>
    <n v="9836952.6850000005"/>
    <n v="126"/>
    <n v="59344"/>
    <n v="6117962.8607999999"/>
    <n v="114"/>
    <n v="63018"/>
    <n v="5877991.3464000002"/>
    <m/>
    <m/>
    <n v="0"/>
    <m/>
    <m/>
    <n v="0"/>
    <m/>
    <m/>
    <n v="0"/>
    <m/>
    <m/>
    <n v="0"/>
  </r>
  <r>
    <x v="14"/>
    <s v="James Madison University  "/>
    <n v="232423"/>
    <x v="2"/>
    <n v="215"/>
    <n v="86211"/>
    <n v="18535365"/>
    <n v="213"/>
    <n v="85956"/>
    <n v="18308628"/>
    <n v="190"/>
    <n v="68163"/>
    <n v="12950970"/>
    <n v="202"/>
    <n v="68642"/>
    <n v="13865684"/>
    <n v="253"/>
    <n v="56707"/>
    <n v="14346871"/>
    <n v="266"/>
    <n v="56107"/>
    <n v="14924462"/>
    <n v="107"/>
    <n v="48740"/>
    <n v="5215180"/>
    <n v="116"/>
    <n v="49064"/>
    <n v="5691424"/>
    <m/>
    <m/>
    <n v="0"/>
    <m/>
    <m/>
    <n v="0"/>
    <m/>
    <m/>
    <n v="0"/>
    <m/>
    <m/>
    <n v="0"/>
    <n v="48"/>
    <n v="114584"/>
    <n v="4500126.1824000003"/>
    <n v="52"/>
    <n v="114159"/>
    <n v="4857054.4775999999"/>
    <n v="16"/>
    <n v="95673"/>
    <n v="1252474.3776"/>
    <n v="19"/>
    <n v="92053"/>
    <n v="1431037.5274"/>
    <n v="14"/>
    <n v="75999"/>
    <n v="870553.3452000001"/>
    <n v="11"/>
    <n v="73828"/>
    <n v="664466.76560000004"/>
    <n v="11"/>
    <n v="62755"/>
    <n v="564807.55099999998"/>
    <n v="18"/>
    <n v="61095"/>
    <n v="899782.72200000007"/>
    <m/>
    <m/>
    <n v="0"/>
    <m/>
    <m/>
    <n v="0"/>
    <m/>
    <m/>
    <n v="0"/>
    <m/>
    <m/>
    <n v="0"/>
  </r>
  <r>
    <x v="14"/>
    <s v="Radford University"/>
    <n v="233277"/>
    <x v="2"/>
    <n v="125"/>
    <n v="75738"/>
    <n v="9467250"/>
    <n v="129"/>
    <n v="77968"/>
    <n v="10057872"/>
    <n v="72"/>
    <n v="61943"/>
    <n v="4459896"/>
    <n v="79"/>
    <n v="65129"/>
    <n v="5145191"/>
    <n v="145"/>
    <n v="55309"/>
    <n v="8019805"/>
    <n v="136"/>
    <n v="56979"/>
    <n v="7749144"/>
    <n v="52"/>
    <n v="43895"/>
    <n v="2282540"/>
    <n v="52"/>
    <n v="47114"/>
    <n v="2449928"/>
    <m/>
    <m/>
    <n v="0"/>
    <m/>
    <m/>
    <n v="0"/>
    <m/>
    <m/>
    <n v="0"/>
    <m/>
    <m/>
    <n v="0"/>
    <n v="1"/>
    <n v="115000"/>
    <n v="94093"/>
    <n v="2"/>
    <n v="115000"/>
    <n v="188186"/>
    <m/>
    <m/>
    <n v="0"/>
    <m/>
    <m/>
    <n v="0"/>
    <m/>
    <m/>
    <n v="0"/>
    <m/>
    <m/>
    <n v="0"/>
    <n v="2"/>
    <n v="49741"/>
    <n v="81396.17240000001"/>
    <n v="2"/>
    <n v="51698"/>
    <n v="84598.607199999999"/>
    <m/>
    <m/>
    <n v="0"/>
    <m/>
    <m/>
    <n v="0"/>
    <m/>
    <m/>
    <n v="0"/>
    <m/>
    <m/>
    <n v="0"/>
  </r>
  <r>
    <x v="14"/>
    <s v="Christopher Newport University"/>
    <n v="231712"/>
    <x v="3"/>
    <n v="38"/>
    <n v="99801"/>
    <n v="3792438"/>
    <n v="41"/>
    <n v="98641"/>
    <n v="4044281"/>
    <n v="66"/>
    <n v="75346"/>
    <n v="4972836"/>
    <n v="70"/>
    <n v="74875"/>
    <n v="5241250"/>
    <n v="94"/>
    <n v="59113"/>
    <n v="5556622"/>
    <n v="97"/>
    <n v="57323"/>
    <n v="5560331"/>
    <n v="28"/>
    <n v="47339"/>
    <n v="1325492"/>
    <n v="31"/>
    <n v="46359"/>
    <n v="1437129"/>
    <m/>
    <m/>
    <n v="0"/>
    <m/>
    <m/>
    <n v="0"/>
    <m/>
    <m/>
    <n v="0"/>
    <m/>
    <m/>
    <n v="0"/>
    <m/>
    <m/>
    <n v="0"/>
    <m/>
    <m/>
    <n v="0"/>
    <m/>
    <m/>
    <n v="0"/>
    <m/>
    <m/>
    <n v="0"/>
    <m/>
    <m/>
    <n v="0"/>
    <m/>
    <m/>
    <n v="0"/>
    <m/>
    <m/>
    <n v="0"/>
    <m/>
    <m/>
    <n v="0"/>
    <m/>
    <m/>
    <n v="0"/>
    <m/>
    <m/>
    <n v="0"/>
    <m/>
    <m/>
    <n v="0"/>
    <m/>
    <m/>
    <n v="0"/>
  </r>
  <r>
    <x v="14"/>
    <s v="Norfolk State University "/>
    <n v="232937"/>
    <x v="3"/>
    <n v="63"/>
    <n v="74335"/>
    <n v="4683105"/>
    <n v="65"/>
    <n v="79863"/>
    <n v="5191095"/>
    <n v="43"/>
    <n v="65978"/>
    <n v="2837054"/>
    <n v="41"/>
    <n v="69084"/>
    <n v="2832444"/>
    <n v="78"/>
    <n v="54493"/>
    <n v="4250454"/>
    <n v="81"/>
    <n v="56410"/>
    <n v="4569210"/>
    <n v="47"/>
    <n v="47632"/>
    <n v="2238704"/>
    <n v="48"/>
    <n v="49924"/>
    <n v="2396352"/>
    <m/>
    <m/>
    <n v="0"/>
    <m/>
    <m/>
    <n v="0"/>
    <m/>
    <m/>
    <n v="0"/>
    <m/>
    <m/>
    <n v="0"/>
    <n v="18"/>
    <n v="92561"/>
    <n v="1363201.3836000001"/>
    <n v="18"/>
    <n v="96474"/>
    <n v="1420830.4824000001"/>
    <n v="13"/>
    <n v="85634"/>
    <n v="910854.60440000007"/>
    <n v="11"/>
    <n v="87958"/>
    <n v="791639.59160000004"/>
    <n v="6"/>
    <n v="72344"/>
    <n v="355151.16480000003"/>
    <n v="4"/>
    <n v="72495"/>
    <n v="237261.636"/>
    <n v="4"/>
    <n v="52843"/>
    <n v="172944.5704"/>
    <n v="4"/>
    <n v="56076"/>
    <n v="183525.53280000002"/>
    <m/>
    <m/>
    <n v="0"/>
    <m/>
    <m/>
    <n v="0"/>
    <m/>
    <m/>
    <n v="0"/>
    <m/>
    <m/>
    <n v="0"/>
  </r>
  <r>
    <x v="14"/>
    <s v="Virginia State University "/>
    <n v="234155"/>
    <x v="3"/>
    <n v="25"/>
    <n v="75232"/>
    <n v="1880800"/>
    <n v="25"/>
    <n v="76334"/>
    <n v="1908350"/>
    <n v="75"/>
    <n v="63761"/>
    <n v="4782075"/>
    <n v="80"/>
    <n v="61987"/>
    <n v="4958960"/>
    <n v="104"/>
    <n v="60276"/>
    <n v="6268704"/>
    <n v="82"/>
    <n v="62257"/>
    <n v="5105074"/>
    <n v="17"/>
    <n v="50918"/>
    <n v="865606"/>
    <n v="19"/>
    <n v="52300"/>
    <n v="993700"/>
    <m/>
    <m/>
    <n v="0"/>
    <m/>
    <m/>
    <n v="0"/>
    <m/>
    <m/>
    <n v="0"/>
    <m/>
    <m/>
    <n v="0"/>
    <n v="12"/>
    <n v="99328"/>
    <n v="975242.03520000004"/>
    <n v="19"/>
    <n v="102325"/>
    <n v="1590723.9850000001"/>
    <n v="15"/>
    <n v="82289"/>
    <n v="1009932.897"/>
    <n v="16"/>
    <n v="96268"/>
    <n v="1260263.6416"/>
    <n v="12"/>
    <n v="61724"/>
    <n v="606030.9216"/>
    <n v="7"/>
    <n v="78398"/>
    <n v="449016.70520000003"/>
    <n v="3"/>
    <n v="47735"/>
    <n v="117170.33100000001"/>
    <n v="6"/>
    <n v="51254"/>
    <n v="251616.13680000001"/>
    <m/>
    <m/>
    <n v="0"/>
    <m/>
    <m/>
    <n v="0"/>
    <m/>
    <m/>
    <n v="0"/>
    <m/>
    <m/>
    <n v="0"/>
  </r>
  <r>
    <x v="14"/>
    <s v="Longwood University "/>
    <n v="232566"/>
    <x v="4"/>
    <n v="42"/>
    <n v="74237"/>
    <n v="3117954"/>
    <n v="43"/>
    <n v="75833"/>
    <n v="3260819"/>
    <n v="53"/>
    <n v="63061"/>
    <n v="3342233"/>
    <n v="63"/>
    <n v="63098"/>
    <n v="3975174"/>
    <n v="74"/>
    <n v="52196"/>
    <n v="3862504"/>
    <n v="72"/>
    <n v="54147"/>
    <n v="3898584"/>
    <n v="5"/>
    <n v="47363"/>
    <n v="236815"/>
    <n v="3"/>
    <n v="54866"/>
    <n v="164598"/>
    <n v="34"/>
    <n v="40781"/>
    <n v="1386554"/>
    <n v="30"/>
    <n v="41291"/>
    <n v="1238730"/>
    <m/>
    <m/>
    <n v="0"/>
    <m/>
    <m/>
    <n v="0"/>
    <m/>
    <m/>
    <n v="0"/>
    <m/>
    <m/>
    <n v="0"/>
    <m/>
    <m/>
    <n v="0"/>
    <m/>
    <m/>
    <n v="0"/>
    <m/>
    <m/>
    <n v="0"/>
    <m/>
    <m/>
    <n v="0"/>
    <m/>
    <m/>
    <n v="0"/>
    <m/>
    <m/>
    <n v="0"/>
    <m/>
    <m/>
    <n v="0"/>
    <m/>
    <m/>
    <n v="0"/>
    <m/>
    <m/>
    <n v="0"/>
    <m/>
    <m/>
    <n v="0"/>
  </r>
  <r>
    <x v="14"/>
    <s v="University of Mary Washington "/>
    <n v="232681"/>
    <x v="4"/>
    <n v="66"/>
    <n v="84826"/>
    <n v="5598516"/>
    <n v="64"/>
    <n v="82795"/>
    <n v="5298880"/>
    <n v="67"/>
    <n v="65379"/>
    <n v="4380393"/>
    <n v="64"/>
    <n v="66940"/>
    <n v="4284160"/>
    <n v="69"/>
    <n v="49261"/>
    <n v="3399009"/>
    <n v="71"/>
    <n v="52964"/>
    <n v="3760444"/>
    <n v="2"/>
    <n v="43500"/>
    <n v="87000"/>
    <n v="5"/>
    <n v="46008"/>
    <n v="230040"/>
    <n v="14"/>
    <n v="53383"/>
    <n v="747362"/>
    <n v="14"/>
    <n v="56900"/>
    <n v="796600"/>
    <m/>
    <m/>
    <n v="0"/>
    <m/>
    <m/>
    <n v="0"/>
    <n v="2"/>
    <n v="102556"/>
    <n v="167822.6384"/>
    <n v="3"/>
    <n v="104456"/>
    <n v="256397.69760000001"/>
    <n v="13"/>
    <n v="70070"/>
    <n v="745306.56200000003"/>
    <n v="14"/>
    <n v="73350"/>
    <n v="840209.58000000007"/>
    <n v="11"/>
    <n v="67730"/>
    <n v="609583.54599999997"/>
    <n v="8"/>
    <n v="70586"/>
    <n v="462027.72160000005"/>
    <n v="2"/>
    <n v="54000"/>
    <n v="88365.6"/>
    <n v="3"/>
    <n v="62061"/>
    <n v="152334.93060000002"/>
    <m/>
    <m/>
    <n v="0"/>
    <m/>
    <m/>
    <n v="0"/>
    <m/>
    <m/>
    <n v="0"/>
    <m/>
    <m/>
    <n v="0"/>
  </r>
  <r>
    <x v="14"/>
    <s v="University of Virginia's College at Wise "/>
    <n v="233897"/>
    <x v="5"/>
    <n v="14"/>
    <n v="76434"/>
    <n v="1070076"/>
    <n v="18"/>
    <n v="76972"/>
    <n v="1385496"/>
    <n v="26"/>
    <n v="62865"/>
    <n v="1634490"/>
    <n v="25"/>
    <n v="61236"/>
    <n v="1530900"/>
    <n v="27"/>
    <n v="55989"/>
    <n v="1511703"/>
    <n v="27"/>
    <n v="54744"/>
    <n v="1478088"/>
    <n v="24"/>
    <n v="41821"/>
    <n v="1003704"/>
    <n v="23"/>
    <n v="42830"/>
    <n v="985090"/>
    <n v="4"/>
    <n v="40175"/>
    <n v="160700"/>
    <n v="1"/>
    <n v="38600"/>
    <n v="38600"/>
    <m/>
    <m/>
    <n v="0"/>
    <m/>
    <m/>
    <n v="0"/>
    <m/>
    <m/>
    <n v="0"/>
    <m/>
    <m/>
    <n v="0"/>
    <m/>
    <m/>
    <n v="0"/>
    <m/>
    <m/>
    <n v="0"/>
    <m/>
    <m/>
    <n v="0"/>
    <m/>
    <m/>
    <n v="0"/>
    <m/>
    <m/>
    <n v="0"/>
    <m/>
    <m/>
    <n v="0"/>
    <m/>
    <m/>
    <n v="0"/>
    <m/>
    <m/>
    <n v="0"/>
    <m/>
    <m/>
    <n v="0"/>
    <m/>
    <m/>
    <n v="0"/>
  </r>
  <r>
    <x v="14"/>
    <s v="J.S. Reynolds Community College"/>
    <n v="232414"/>
    <x v="6"/>
    <m/>
    <m/>
    <n v="0"/>
    <m/>
    <m/>
    <n v="0"/>
    <m/>
    <m/>
    <n v="0"/>
    <m/>
    <m/>
    <n v="0"/>
    <m/>
    <m/>
    <n v="0"/>
    <m/>
    <m/>
    <n v="0"/>
    <m/>
    <m/>
    <n v="0"/>
    <m/>
    <m/>
    <n v="0"/>
    <m/>
    <m/>
    <n v="0"/>
    <m/>
    <m/>
    <n v="0"/>
    <m/>
    <m/>
    <n v="0"/>
    <m/>
    <m/>
    <n v="0"/>
    <m/>
    <m/>
    <n v="0"/>
    <m/>
    <m/>
    <n v="0"/>
    <m/>
    <m/>
    <n v="0"/>
    <m/>
    <m/>
    <n v="0"/>
    <m/>
    <m/>
    <n v="0"/>
    <m/>
    <m/>
    <n v="0"/>
    <m/>
    <m/>
    <n v="0"/>
    <m/>
    <m/>
    <n v="0"/>
    <m/>
    <m/>
    <n v="0"/>
    <m/>
    <m/>
    <n v="0"/>
    <m/>
    <m/>
    <n v="0"/>
    <m/>
    <m/>
    <n v="0"/>
  </r>
  <r>
    <x v="14"/>
    <s v="Northern Virginia Community College "/>
    <n v="232946"/>
    <x v="6"/>
    <m/>
    <m/>
    <n v="0"/>
    <m/>
    <m/>
    <n v="0"/>
    <m/>
    <m/>
    <n v="0"/>
    <m/>
    <m/>
    <n v="0"/>
    <m/>
    <m/>
    <n v="0"/>
    <m/>
    <m/>
    <n v="0"/>
    <m/>
    <m/>
    <n v="0"/>
    <m/>
    <m/>
    <n v="0"/>
    <m/>
    <m/>
    <n v="0"/>
    <m/>
    <m/>
    <n v="0"/>
    <m/>
    <m/>
    <n v="0"/>
    <m/>
    <m/>
    <n v="0"/>
    <m/>
    <m/>
    <n v="0"/>
    <m/>
    <m/>
    <n v="0"/>
    <m/>
    <m/>
    <n v="0"/>
    <m/>
    <m/>
    <n v="0"/>
    <m/>
    <m/>
    <n v="0"/>
    <m/>
    <m/>
    <n v="0"/>
    <m/>
    <m/>
    <n v="0"/>
    <m/>
    <m/>
    <n v="0"/>
    <m/>
    <m/>
    <n v="0"/>
    <m/>
    <m/>
    <n v="0"/>
    <m/>
    <m/>
    <n v="0"/>
    <m/>
    <m/>
    <n v="0"/>
  </r>
  <r>
    <x v="14"/>
    <s v="Thomas Nelson Community College "/>
    <n v="233754"/>
    <x v="6"/>
    <m/>
    <m/>
    <n v="0"/>
    <m/>
    <m/>
    <n v="0"/>
    <m/>
    <m/>
    <n v="0"/>
    <m/>
    <m/>
    <n v="0"/>
    <m/>
    <m/>
    <n v="0"/>
    <m/>
    <m/>
    <n v="0"/>
    <m/>
    <m/>
    <n v="0"/>
    <m/>
    <m/>
    <n v="0"/>
    <m/>
    <m/>
    <n v="0"/>
    <m/>
    <m/>
    <n v="0"/>
    <m/>
    <m/>
    <n v="0"/>
    <m/>
    <m/>
    <n v="0"/>
    <m/>
    <m/>
    <n v="0"/>
    <m/>
    <m/>
    <n v="0"/>
    <m/>
    <m/>
    <n v="0"/>
    <m/>
    <m/>
    <n v="0"/>
    <m/>
    <m/>
    <n v="0"/>
    <m/>
    <m/>
    <n v="0"/>
    <m/>
    <m/>
    <n v="0"/>
    <m/>
    <m/>
    <n v="0"/>
    <m/>
    <m/>
    <n v="0"/>
    <m/>
    <m/>
    <n v="0"/>
    <m/>
    <m/>
    <n v="0"/>
    <m/>
    <m/>
    <n v="0"/>
  </r>
  <r>
    <x v="14"/>
    <s v="Tidewater Community College "/>
    <n v="233772"/>
    <x v="6"/>
    <m/>
    <m/>
    <n v="0"/>
    <m/>
    <m/>
    <n v="0"/>
    <m/>
    <m/>
    <n v="0"/>
    <m/>
    <m/>
    <n v="0"/>
    <m/>
    <m/>
    <n v="0"/>
    <m/>
    <m/>
    <n v="0"/>
    <m/>
    <m/>
    <n v="0"/>
    <m/>
    <m/>
    <n v="0"/>
    <m/>
    <m/>
    <n v="0"/>
    <m/>
    <m/>
    <n v="0"/>
    <m/>
    <m/>
    <n v="0"/>
    <m/>
    <m/>
    <n v="0"/>
    <m/>
    <m/>
    <n v="0"/>
    <m/>
    <m/>
    <n v="0"/>
    <m/>
    <m/>
    <n v="0"/>
    <m/>
    <m/>
    <n v="0"/>
    <m/>
    <m/>
    <n v="0"/>
    <m/>
    <m/>
    <n v="0"/>
    <m/>
    <m/>
    <n v="0"/>
    <m/>
    <m/>
    <n v="0"/>
    <m/>
    <m/>
    <n v="0"/>
    <m/>
    <m/>
    <n v="0"/>
    <m/>
    <m/>
    <n v="0"/>
    <m/>
    <m/>
    <n v="0"/>
  </r>
  <r>
    <x v="14"/>
    <s v="Blue Ridge Community College "/>
    <n v="231536"/>
    <x v="7"/>
    <m/>
    <m/>
    <n v="0"/>
    <m/>
    <m/>
    <n v="0"/>
    <m/>
    <m/>
    <n v="0"/>
    <m/>
    <m/>
    <n v="0"/>
    <m/>
    <m/>
    <n v="0"/>
    <m/>
    <m/>
    <n v="0"/>
    <m/>
    <m/>
    <n v="0"/>
    <m/>
    <m/>
    <n v="0"/>
    <m/>
    <m/>
    <n v="0"/>
    <m/>
    <m/>
    <n v="0"/>
    <m/>
    <m/>
    <n v="0"/>
    <m/>
    <m/>
    <n v="0"/>
    <m/>
    <m/>
    <n v="0"/>
    <m/>
    <m/>
    <n v="0"/>
    <m/>
    <m/>
    <n v="0"/>
    <m/>
    <m/>
    <n v="0"/>
    <m/>
    <m/>
    <n v="0"/>
    <m/>
    <m/>
    <n v="0"/>
    <m/>
    <m/>
    <n v="0"/>
    <m/>
    <m/>
    <n v="0"/>
    <m/>
    <m/>
    <n v="0"/>
    <m/>
    <m/>
    <n v="0"/>
    <m/>
    <m/>
    <n v="0"/>
    <m/>
    <m/>
    <n v="0"/>
  </r>
  <r>
    <x v="14"/>
    <s v="Central Virginia Community College "/>
    <n v="231697"/>
    <x v="7"/>
    <m/>
    <m/>
    <n v="0"/>
    <m/>
    <m/>
    <n v="0"/>
    <m/>
    <m/>
    <n v="0"/>
    <m/>
    <m/>
    <n v="0"/>
    <m/>
    <m/>
    <n v="0"/>
    <m/>
    <m/>
    <n v="0"/>
    <m/>
    <m/>
    <n v="0"/>
    <m/>
    <m/>
    <n v="0"/>
    <m/>
    <m/>
    <n v="0"/>
    <m/>
    <m/>
    <n v="0"/>
    <m/>
    <m/>
    <n v="0"/>
    <m/>
    <m/>
    <n v="0"/>
    <m/>
    <m/>
    <n v="0"/>
    <m/>
    <m/>
    <n v="0"/>
    <m/>
    <m/>
    <n v="0"/>
    <m/>
    <m/>
    <n v="0"/>
    <m/>
    <m/>
    <n v="0"/>
    <m/>
    <m/>
    <n v="0"/>
    <m/>
    <m/>
    <n v="0"/>
    <m/>
    <m/>
    <n v="0"/>
    <m/>
    <m/>
    <n v="0"/>
    <m/>
    <m/>
    <n v="0"/>
    <m/>
    <m/>
    <n v="0"/>
    <m/>
    <m/>
    <n v="0"/>
  </r>
  <r>
    <x v="14"/>
    <s v="Danville Community College "/>
    <n v="231882"/>
    <x v="7"/>
    <m/>
    <m/>
    <n v="0"/>
    <m/>
    <m/>
    <n v="0"/>
    <m/>
    <m/>
    <n v="0"/>
    <m/>
    <m/>
    <n v="0"/>
    <m/>
    <m/>
    <n v="0"/>
    <m/>
    <m/>
    <n v="0"/>
    <m/>
    <m/>
    <n v="0"/>
    <m/>
    <m/>
    <n v="0"/>
    <m/>
    <m/>
    <n v="0"/>
    <m/>
    <m/>
    <n v="0"/>
    <m/>
    <m/>
    <n v="0"/>
    <m/>
    <m/>
    <n v="0"/>
    <m/>
    <m/>
    <n v="0"/>
    <m/>
    <m/>
    <n v="0"/>
    <m/>
    <m/>
    <n v="0"/>
    <m/>
    <m/>
    <n v="0"/>
    <m/>
    <m/>
    <n v="0"/>
    <m/>
    <m/>
    <n v="0"/>
    <m/>
    <m/>
    <n v="0"/>
    <m/>
    <m/>
    <n v="0"/>
    <m/>
    <m/>
    <n v="0"/>
    <m/>
    <m/>
    <n v="0"/>
    <m/>
    <m/>
    <n v="0"/>
    <m/>
    <m/>
    <n v="0"/>
  </r>
  <r>
    <x v="14"/>
    <s v="Germanna Community College"/>
    <n v="232195"/>
    <x v="7"/>
    <m/>
    <m/>
    <n v="0"/>
    <m/>
    <m/>
    <n v="0"/>
    <m/>
    <m/>
    <n v="0"/>
    <m/>
    <m/>
    <n v="0"/>
    <m/>
    <m/>
    <n v="0"/>
    <m/>
    <m/>
    <n v="0"/>
    <m/>
    <m/>
    <n v="0"/>
    <m/>
    <m/>
    <n v="0"/>
    <m/>
    <m/>
    <n v="0"/>
    <m/>
    <m/>
    <n v="0"/>
    <m/>
    <m/>
    <n v="0"/>
    <m/>
    <m/>
    <n v="0"/>
    <m/>
    <m/>
    <n v="0"/>
    <m/>
    <m/>
    <n v="0"/>
    <m/>
    <m/>
    <n v="0"/>
    <m/>
    <m/>
    <n v="0"/>
    <m/>
    <m/>
    <n v="0"/>
    <m/>
    <m/>
    <n v="0"/>
    <m/>
    <m/>
    <n v="0"/>
    <m/>
    <m/>
    <n v="0"/>
    <m/>
    <m/>
    <n v="0"/>
    <m/>
    <m/>
    <n v="0"/>
    <m/>
    <m/>
    <n v="0"/>
    <m/>
    <m/>
    <n v="0"/>
  </r>
  <r>
    <x v="14"/>
    <s v="John Tyler Community College"/>
    <n v="232450"/>
    <x v="7"/>
    <m/>
    <m/>
    <n v="0"/>
    <m/>
    <m/>
    <n v="0"/>
    <m/>
    <m/>
    <n v="0"/>
    <m/>
    <m/>
    <n v="0"/>
    <m/>
    <m/>
    <n v="0"/>
    <m/>
    <m/>
    <n v="0"/>
    <m/>
    <m/>
    <n v="0"/>
    <m/>
    <m/>
    <n v="0"/>
    <m/>
    <m/>
    <n v="0"/>
    <m/>
    <m/>
    <n v="0"/>
    <m/>
    <m/>
    <n v="0"/>
    <m/>
    <m/>
    <n v="0"/>
    <m/>
    <m/>
    <n v="0"/>
    <m/>
    <m/>
    <n v="0"/>
    <m/>
    <m/>
    <n v="0"/>
    <m/>
    <m/>
    <n v="0"/>
    <m/>
    <m/>
    <n v="0"/>
    <m/>
    <m/>
    <n v="0"/>
    <m/>
    <m/>
    <n v="0"/>
    <m/>
    <m/>
    <n v="0"/>
    <m/>
    <m/>
    <n v="0"/>
    <m/>
    <m/>
    <n v="0"/>
    <m/>
    <m/>
    <n v="0"/>
    <m/>
    <m/>
    <n v="0"/>
  </r>
  <r>
    <x v="14"/>
    <s v="Lord Fairfax Community College  "/>
    <n v="232575"/>
    <x v="7"/>
    <m/>
    <m/>
    <n v="0"/>
    <m/>
    <m/>
    <n v="0"/>
    <m/>
    <m/>
    <n v="0"/>
    <m/>
    <m/>
    <n v="0"/>
    <m/>
    <m/>
    <n v="0"/>
    <m/>
    <m/>
    <n v="0"/>
    <m/>
    <m/>
    <n v="0"/>
    <m/>
    <m/>
    <n v="0"/>
    <m/>
    <m/>
    <n v="0"/>
    <m/>
    <m/>
    <n v="0"/>
    <m/>
    <m/>
    <n v="0"/>
    <m/>
    <m/>
    <n v="0"/>
    <m/>
    <m/>
    <n v="0"/>
    <m/>
    <m/>
    <n v="0"/>
    <m/>
    <m/>
    <n v="0"/>
    <m/>
    <m/>
    <n v="0"/>
    <m/>
    <m/>
    <n v="0"/>
    <m/>
    <m/>
    <n v="0"/>
    <m/>
    <m/>
    <n v="0"/>
    <m/>
    <m/>
    <n v="0"/>
    <m/>
    <m/>
    <n v="0"/>
    <m/>
    <m/>
    <n v="0"/>
    <m/>
    <m/>
    <n v="0"/>
    <m/>
    <m/>
    <n v="0"/>
  </r>
  <r>
    <x v="14"/>
    <s v="New River Community College "/>
    <n v="232867"/>
    <x v="7"/>
    <m/>
    <m/>
    <n v="0"/>
    <m/>
    <m/>
    <n v="0"/>
    <m/>
    <m/>
    <n v="0"/>
    <m/>
    <m/>
    <n v="0"/>
    <m/>
    <m/>
    <n v="0"/>
    <m/>
    <m/>
    <n v="0"/>
    <m/>
    <m/>
    <n v="0"/>
    <m/>
    <m/>
    <n v="0"/>
    <m/>
    <m/>
    <n v="0"/>
    <m/>
    <m/>
    <n v="0"/>
    <m/>
    <m/>
    <n v="0"/>
    <m/>
    <m/>
    <n v="0"/>
    <m/>
    <m/>
    <n v="0"/>
    <m/>
    <m/>
    <n v="0"/>
    <m/>
    <m/>
    <n v="0"/>
    <m/>
    <m/>
    <n v="0"/>
    <m/>
    <m/>
    <n v="0"/>
    <m/>
    <m/>
    <n v="0"/>
    <m/>
    <m/>
    <n v="0"/>
    <m/>
    <m/>
    <n v="0"/>
    <m/>
    <m/>
    <n v="0"/>
    <m/>
    <m/>
    <n v="0"/>
    <m/>
    <m/>
    <n v="0"/>
    <m/>
    <m/>
    <n v="0"/>
  </r>
  <r>
    <x v="14"/>
    <s v="Piedmont Virginia Community College "/>
    <n v="233116"/>
    <x v="7"/>
    <m/>
    <m/>
    <n v="0"/>
    <m/>
    <m/>
    <n v="0"/>
    <m/>
    <m/>
    <n v="0"/>
    <m/>
    <m/>
    <n v="0"/>
    <m/>
    <m/>
    <n v="0"/>
    <m/>
    <m/>
    <n v="0"/>
    <m/>
    <m/>
    <n v="0"/>
    <m/>
    <m/>
    <n v="0"/>
    <m/>
    <m/>
    <n v="0"/>
    <m/>
    <m/>
    <n v="0"/>
    <m/>
    <m/>
    <n v="0"/>
    <m/>
    <m/>
    <n v="0"/>
    <m/>
    <m/>
    <n v="0"/>
    <m/>
    <m/>
    <n v="0"/>
    <m/>
    <m/>
    <n v="0"/>
    <m/>
    <m/>
    <n v="0"/>
    <m/>
    <m/>
    <n v="0"/>
    <m/>
    <m/>
    <n v="0"/>
    <m/>
    <m/>
    <n v="0"/>
    <m/>
    <m/>
    <n v="0"/>
    <m/>
    <m/>
    <n v="0"/>
    <m/>
    <m/>
    <n v="0"/>
    <m/>
    <m/>
    <n v="0"/>
    <m/>
    <m/>
    <n v="0"/>
  </r>
  <r>
    <x v="14"/>
    <s v="Southside Virginia Community College  "/>
    <n v="233639"/>
    <x v="7"/>
    <m/>
    <m/>
    <n v="0"/>
    <m/>
    <m/>
    <n v="0"/>
    <m/>
    <m/>
    <n v="0"/>
    <m/>
    <m/>
    <n v="0"/>
    <m/>
    <m/>
    <n v="0"/>
    <m/>
    <m/>
    <n v="0"/>
    <m/>
    <m/>
    <n v="0"/>
    <m/>
    <m/>
    <n v="0"/>
    <m/>
    <m/>
    <n v="0"/>
    <m/>
    <m/>
    <n v="0"/>
    <m/>
    <m/>
    <n v="0"/>
    <m/>
    <m/>
    <n v="0"/>
    <m/>
    <m/>
    <n v="0"/>
    <m/>
    <m/>
    <n v="0"/>
    <m/>
    <m/>
    <n v="0"/>
    <m/>
    <m/>
    <n v="0"/>
    <m/>
    <m/>
    <n v="0"/>
    <m/>
    <m/>
    <n v="0"/>
    <m/>
    <m/>
    <n v="0"/>
    <m/>
    <m/>
    <n v="0"/>
    <m/>
    <m/>
    <n v="0"/>
    <m/>
    <m/>
    <n v="0"/>
    <m/>
    <m/>
    <n v="0"/>
    <m/>
    <m/>
    <n v="0"/>
  </r>
  <r>
    <x v="14"/>
    <s v="Southwest Virginia Community College "/>
    <n v="233648"/>
    <x v="7"/>
    <m/>
    <m/>
    <n v="0"/>
    <m/>
    <m/>
    <n v="0"/>
    <m/>
    <m/>
    <n v="0"/>
    <m/>
    <m/>
    <n v="0"/>
    <m/>
    <m/>
    <n v="0"/>
    <m/>
    <m/>
    <n v="0"/>
    <m/>
    <m/>
    <n v="0"/>
    <m/>
    <m/>
    <n v="0"/>
    <m/>
    <m/>
    <n v="0"/>
    <m/>
    <m/>
    <n v="0"/>
    <m/>
    <m/>
    <n v="0"/>
    <m/>
    <m/>
    <n v="0"/>
    <m/>
    <m/>
    <n v="0"/>
    <m/>
    <m/>
    <n v="0"/>
    <m/>
    <m/>
    <n v="0"/>
    <m/>
    <m/>
    <n v="0"/>
    <m/>
    <m/>
    <n v="0"/>
    <m/>
    <m/>
    <n v="0"/>
    <m/>
    <m/>
    <n v="0"/>
    <m/>
    <m/>
    <n v="0"/>
    <m/>
    <m/>
    <n v="0"/>
    <m/>
    <m/>
    <n v="0"/>
    <m/>
    <m/>
    <n v="0"/>
    <m/>
    <m/>
    <n v="0"/>
  </r>
  <r>
    <x v="14"/>
    <s v="Virginia Western Community College "/>
    <n v="233949"/>
    <x v="7"/>
    <m/>
    <m/>
    <n v="0"/>
    <m/>
    <m/>
    <n v="0"/>
    <m/>
    <m/>
    <n v="0"/>
    <m/>
    <m/>
    <n v="0"/>
    <m/>
    <m/>
    <n v="0"/>
    <m/>
    <m/>
    <n v="0"/>
    <m/>
    <m/>
    <n v="0"/>
    <m/>
    <m/>
    <n v="0"/>
    <m/>
    <m/>
    <n v="0"/>
    <m/>
    <m/>
    <n v="0"/>
    <m/>
    <m/>
    <n v="0"/>
    <m/>
    <m/>
    <n v="0"/>
    <m/>
    <m/>
    <n v="0"/>
    <m/>
    <m/>
    <n v="0"/>
    <m/>
    <m/>
    <n v="0"/>
    <m/>
    <m/>
    <n v="0"/>
    <m/>
    <m/>
    <n v="0"/>
    <m/>
    <m/>
    <n v="0"/>
    <m/>
    <m/>
    <n v="0"/>
    <m/>
    <m/>
    <n v="0"/>
    <m/>
    <m/>
    <n v="0"/>
    <m/>
    <m/>
    <n v="0"/>
    <m/>
    <m/>
    <n v="0"/>
    <m/>
    <m/>
    <n v="0"/>
  </r>
  <r>
    <x v="14"/>
    <s v="D.S. Lancaster Community College "/>
    <n v="231873"/>
    <x v="8"/>
    <m/>
    <m/>
    <n v="0"/>
    <m/>
    <m/>
    <n v="0"/>
    <m/>
    <m/>
    <n v="0"/>
    <m/>
    <m/>
    <n v="0"/>
    <m/>
    <m/>
    <n v="0"/>
    <m/>
    <m/>
    <n v="0"/>
    <m/>
    <m/>
    <n v="0"/>
    <m/>
    <m/>
    <n v="0"/>
    <m/>
    <m/>
    <n v="0"/>
    <m/>
    <m/>
    <n v="0"/>
    <m/>
    <m/>
    <n v="0"/>
    <m/>
    <m/>
    <n v="0"/>
    <m/>
    <m/>
    <n v="0"/>
    <m/>
    <m/>
    <n v="0"/>
    <m/>
    <m/>
    <n v="0"/>
    <m/>
    <m/>
    <n v="0"/>
    <m/>
    <m/>
    <n v="0"/>
    <m/>
    <m/>
    <n v="0"/>
    <m/>
    <m/>
    <n v="0"/>
    <m/>
    <m/>
    <n v="0"/>
    <m/>
    <m/>
    <n v="0"/>
    <m/>
    <m/>
    <n v="0"/>
    <m/>
    <m/>
    <n v="0"/>
    <m/>
    <m/>
    <n v="0"/>
  </r>
  <r>
    <x v="14"/>
    <s v="Eastern Shore Community College  "/>
    <n v="232052"/>
    <x v="8"/>
    <m/>
    <m/>
    <n v="0"/>
    <m/>
    <m/>
    <n v="0"/>
    <m/>
    <m/>
    <n v="0"/>
    <m/>
    <m/>
    <n v="0"/>
    <m/>
    <m/>
    <n v="0"/>
    <m/>
    <m/>
    <n v="0"/>
    <m/>
    <m/>
    <n v="0"/>
    <m/>
    <m/>
    <n v="0"/>
    <m/>
    <m/>
    <n v="0"/>
    <m/>
    <m/>
    <n v="0"/>
    <m/>
    <m/>
    <n v="0"/>
    <m/>
    <m/>
    <n v="0"/>
    <m/>
    <m/>
    <n v="0"/>
    <m/>
    <m/>
    <n v="0"/>
    <m/>
    <m/>
    <n v="0"/>
    <m/>
    <m/>
    <n v="0"/>
    <m/>
    <m/>
    <n v="0"/>
    <m/>
    <m/>
    <n v="0"/>
    <m/>
    <m/>
    <n v="0"/>
    <m/>
    <m/>
    <n v="0"/>
    <m/>
    <m/>
    <n v="0"/>
    <m/>
    <m/>
    <n v="0"/>
    <m/>
    <m/>
    <n v="0"/>
    <m/>
    <m/>
    <n v="0"/>
  </r>
  <r>
    <x v="14"/>
    <s v="Mountain Empire Community College"/>
    <n v="232788"/>
    <x v="8"/>
    <m/>
    <m/>
    <n v="0"/>
    <m/>
    <m/>
    <n v="0"/>
    <m/>
    <m/>
    <n v="0"/>
    <m/>
    <m/>
    <n v="0"/>
    <m/>
    <m/>
    <n v="0"/>
    <m/>
    <m/>
    <n v="0"/>
    <m/>
    <m/>
    <n v="0"/>
    <m/>
    <m/>
    <n v="0"/>
    <m/>
    <m/>
    <n v="0"/>
    <m/>
    <m/>
    <n v="0"/>
    <m/>
    <m/>
    <n v="0"/>
    <m/>
    <m/>
    <n v="0"/>
    <m/>
    <m/>
    <n v="0"/>
    <m/>
    <m/>
    <n v="0"/>
    <m/>
    <m/>
    <n v="0"/>
    <m/>
    <m/>
    <n v="0"/>
    <m/>
    <m/>
    <n v="0"/>
    <m/>
    <m/>
    <n v="0"/>
    <m/>
    <m/>
    <n v="0"/>
    <m/>
    <m/>
    <n v="0"/>
    <m/>
    <m/>
    <n v="0"/>
    <m/>
    <m/>
    <n v="0"/>
    <m/>
    <m/>
    <n v="0"/>
    <m/>
    <m/>
    <n v="0"/>
  </r>
  <r>
    <x v="14"/>
    <s v="Patrick Henry Community College "/>
    <n v="233019"/>
    <x v="8"/>
    <m/>
    <m/>
    <n v="0"/>
    <m/>
    <m/>
    <n v="0"/>
    <m/>
    <m/>
    <n v="0"/>
    <m/>
    <m/>
    <n v="0"/>
    <m/>
    <m/>
    <n v="0"/>
    <m/>
    <m/>
    <n v="0"/>
    <m/>
    <m/>
    <n v="0"/>
    <m/>
    <m/>
    <n v="0"/>
    <m/>
    <m/>
    <n v="0"/>
    <m/>
    <m/>
    <n v="0"/>
    <m/>
    <m/>
    <n v="0"/>
    <m/>
    <m/>
    <n v="0"/>
    <m/>
    <m/>
    <n v="0"/>
    <m/>
    <m/>
    <n v="0"/>
    <m/>
    <m/>
    <n v="0"/>
    <m/>
    <m/>
    <n v="0"/>
    <m/>
    <m/>
    <n v="0"/>
    <m/>
    <m/>
    <n v="0"/>
    <m/>
    <m/>
    <n v="0"/>
    <m/>
    <m/>
    <n v="0"/>
    <m/>
    <m/>
    <n v="0"/>
    <m/>
    <m/>
    <n v="0"/>
    <m/>
    <m/>
    <n v="0"/>
    <m/>
    <m/>
    <n v="0"/>
  </r>
  <r>
    <x v="14"/>
    <s v="Paul D. Camp Community College  "/>
    <n v="233037"/>
    <x v="8"/>
    <m/>
    <m/>
    <n v="0"/>
    <m/>
    <m/>
    <n v="0"/>
    <m/>
    <m/>
    <n v="0"/>
    <m/>
    <m/>
    <n v="0"/>
    <m/>
    <m/>
    <n v="0"/>
    <m/>
    <m/>
    <n v="0"/>
    <m/>
    <m/>
    <n v="0"/>
    <m/>
    <m/>
    <n v="0"/>
    <m/>
    <m/>
    <n v="0"/>
    <m/>
    <m/>
    <n v="0"/>
    <m/>
    <m/>
    <n v="0"/>
    <m/>
    <m/>
    <n v="0"/>
    <m/>
    <m/>
    <n v="0"/>
    <m/>
    <m/>
    <n v="0"/>
    <m/>
    <m/>
    <n v="0"/>
    <m/>
    <m/>
    <n v="0"/>
    <m/>
    <m/>
    <n v="0"/>
    <m/>
    <m/>
    <n v="0"/>
    <m/>
    <m/>
    <n v="0"/>
    <m/>
    <m/>
    <n v="0"/>
    <m/>
    <m/>
    <n v="0"/>
    <m/>
    <m/>
    <n v="0"/>
    <m/>
    <m/>
    <n v="0"/>
    <m/>
    <m/>
    <n v="0"/>
  </r>
  <r>
    <x v="14"/>
    <s v="Rappahannock Community College  "/>
    <n v="233310"/>
    <x v="8"/>
    <m/>
    <m/>
    <n v="0"/>
    <m/>
    <m/>
    <n v="0"/>
    <m/>
    <m/>
    <n v="0"/>
    <m/>
    <m/>
    <n v="0"/>
    <m/>
    <m/>
    <n v="0"/>
    <m/>
    <m/>
    <n v="0"/>
    <m/>
    <m/>
    <n v="0"/>
    <m/>
    <m/>
    <n v="0"/>
    <m/>
    <m/>
    <n v="0"/>
    <m/>
    <m/>
    <n v="0"/>
    <m/>
    <m/>
    <n v="0"/>
    <m/>
    <m/>
    <n v="0"/>
    <m/>
    <m/>
    <n v="0"/>
    <m/>
    <m/>
    <n v="0"/>
    <m/>
    <m/>
    <n v="0"/>
    <m/>
    <m/>
    <n v="0"/>
    <m/>
    <m/>
    <n v="0"/>
    <m/>
    <m/>
    <n v="0"/>
    <m/>
    <m/>
    <n v="0"/>
    <m/>
    <m/>
    <n v="0"/>
    <m/>
    <m/>
    <n v="0"/>
    <m/>
    <m/>
    <n v="0"/>
    <m/>
    <m/>
    <n v="0"/>
    <m/>
    <m/>
    <n v="0"/>
  </r>
  <r>
    <x v="14"/>
    <s v="Richard Bland College "/>
    <n v="233338"/>
    <x v="8"/>
    <n v="8"/>
    <n v="65432"/>
    <n v="523456"/>
    <n v="8"/>
    <n v="68049"/>
    <n v="544392"/>
    <n v="18"/>
    <n v="52734"/>
    <n v="949212"/>
    <n v="19"/>
    <n v="53982"/>
    <n v="1025658"/>
    <n v="8"/>
    <n v="43680"/>
    <n v="349440"/>
    <n v="6"/>
    <n v="48862"/>
    <n v="293172"/>
    <m/>
    <m/>
    <n v="0"/>
    <m/>
    <m/>
    <n v="0"/>
    <m/>
    <m/>
    <n v="0"/>
    <m/>
    <m/>
    <n v="0"/>
    <m/>
    <m/>
    <n v="0"/>
    <m/>
    <m/>
    <n v="0"/>
    <m/>
    <m/>
    <n v="0"/>
    <m/>
    <m/>
    <n v="0"/>
    <m/>
    <m/>
    <n v="0"/>
    <m/>
    <m/>
    <n v="0"/>
    <m/>
    <m/>
    <n v="0"/>
    <m/>
    <m/>
    <n v="0"/>
    <m/>
    <m/>
    <n v="0"/>
    <m/>
    <m/>
    <n v="0"/>
    <m/>
    <m/>
    <n v="0"/>
    <m/>
    <m/>
    <n v="0"/>
    <m/>
    <m/>
    <n v="0"/>
    <m/>
    <m/>
    <n v="0"/>
  </r>
  <r>
    <x v="14"/>
    <s v="Virginia Highlands Community College "/>
    <n v="233903"/>
    <x v="8"/>
    <m/>
    <m/>
    <n v="0"/>
    <m/>
    <m/>
    <n v="0"/>
    <m/>
    <m/>
    <n v="0"/>
    <m/>
    <m/>
    <n v="0"/>
    <m/>
    <m/>
    <n v="0"/>
    <m/>
    <m/>
    <n v="0"/>
    <m/>
    <m/>
    <n v="0"/>
    <m/>
    <m/>
    <n v="0"/>
    <m/>
    <m/>
    <n v="0"/>
    <m/>
    <m/>
    <n v="0"/>
    <m/>
    <m/>
    <n v="0"/>
    <m/>
    <m/>
    <n v="0"/>
    <m/>
    <m/>
    <n v="0"/>
    <m/>
    <m/>
    <n v="0"/>
    <m/>
    <m/>
    <n v="0"/>
    <m/>
    <m/>
    <n v="0"/>
    <m/>
    <m/>
    <n v="0"/>
    <m/>
    <m/>
    <n v="0"/>
    <m/>
    <m/>
    <n v="0"/>
    <m/>
    <m/>
    <n v="0"/>
    <m/>
    <m/>
    <n v="0"/>
    <m/>
    <m/>
    <n v="0"/>
    <m/>
    <m/>
    <n v="0"/>
    <m/>
    <m/>
    <n v="0"/>
  </r>
  <r>
    <x v="14"/>
    <s v="Wytheville Community College "/>
    <n v="234377"/>
    <x v="8"/>
    <m/>
    <m/>
    <n v="0"/>
    <m/>
    <m/>
    <n v="0"/>
    <m/>
    <m/>
    <n v="0"/>
    <m/>
    <m/>
    <n v="0"/>
    <m/>
    <m/>
    <n v="0"/>
    <m/>
    <m/>
    <n v="0"/>
    <m/>
    <m/>
    <n v="0"/>
    <m/>
    <m/>
    <n v="0"/>
    <m/>
    <m/>
    <n v="0"/>
    <m/>
    <m/>
    <n v="0"/>
    <m/>
    <m/>
    <n v="0"/>
    <m/>
    <m/>
    <n v="0"/>
    <m/>
    <m/>
    <n v="0"/>
    <m/>
    <m/>
    <n v="0"/>
    <m/>
    <m/>
    <n v="0"/>
    <m/>
    <m/>
    <n v="0"/>
    <m/>
    <m/>
    <n v="0"/>
    <m/>
    <m/>
    <n v="0"/>
    <m/>
    <m/>
    <n v="0"/>
    <m/>
    <m/>
    <n v="0"/>
    <m/>
    <m/>
    <n v="0"/>
    <m/>
    <m/>
    <n v="0"/>
    <m/>
    <m/>
    <n v="0"/>
    <m/>
    <m/>
    <n v="0"/>
  </r>
  <r>
    <x v="14"/>
    <s v="All Community Colleges except R.Bland"/>
    <m/>
    <x v="13"/>
    <n v="400"/>
    <n v="65532.6175"/>
    <n v="26213047"/>
    <n v="395"/>
    <n v="68399.356962025311"/>
    <n v="27017745.999999996"/>
    <n v="615"/>
    <n v="57394.92682926829"/>
    <n v="35297880"/>
    <n v="575"/>
    <n v="60623.519999999997"/>
    <n v="34858524"/>
    <n v="643"/>
    <n v="51331.842923794713"/>
    <n v="33006375"/>
    <n v="631"/>
    <n v="54375.232963549919"/>
    <n v="34310772"/>
    <n v="386"/>
    <n v="45272.427461139894"/>
    <n v="17475157"/>
    <n v="375"/>
    <n v="47872.832000000002"/>
    <n v="17952312"/>
    <n v="1"/>
    <n v="28185"/>
    <n v="28185"/>
    <m/>
    <m/>
    <n v="0"/>
    <m/>
    <m/>
    <n v="0"/>
    <m/>
    <m/>
    <n v="0"/>
    <n v="16"/>
    <n v="83415.25"/>
    <n v="1092005.7208"/>
    <n v="37"/>
    <n v="76810.432432432426"/>
    <n v="2325312.9452"/>
    <n v="22"/>
    <n v="74058.681818181823"/>
    <n v="1333085.8962000001"/>
    <n v="61"/>
    <n v="64889.967213114753"/>
    <n v="3238671.2416000003"/>
    <n v="28"/>
    <n v="65026.142857142855"/>
    <n v="1489722.9224"/>
    <n v="59"/>
    <n v="63150.966101694918"/>
    <n v="3048537.1074000001"/>
    <n v="62"/>
    <n v="51422.387096774197"/>
    <n v="2608575.4216"/>
    <n v="39"/>
    <n v="56616.820512820515"/>
    <n v="1806631.4192000001"/>
    <m/>
    <m/>
    <n v="0"/>
    <m/>
    <m/>
    <n v="0"/>
    <m/>
    <m/>
    <n v="0"/>
    <m/>
    <m/>
    <n v="0"/>
  </r>
  <r>
    <x v="15"/>
    <s v="West Virginia University"/>
    <n v="238032"/>
    <x v="0"/>
    <n v="217"/>
    <n v="91889"/>
    <n v="19939913"/>
    <n v="218"/>
    <n v="101544"/>
    <n v="22136592"/>
    <n v="184"/>
    <n v="67257"/>
    <n v="12375288"/>
    <n v="197"/>
    <n v="71902"/>
    <n v="14164694"/>
    <n v="231"/>
    <n v="57275"/>
    <n v="13230525"/>
    <n v="278"/>
    <n v="59227"/>
    <n v="16465106"/>
    <n v="4"/>
    <n v="38091"/>
    <n v="152364"/>
    <n v="35"/>
    <n v="40040"/>
    <n v="1401400"/>
    <n v="24"/>
    <n v="47803"/>
    <n v="1147272"/>
    <n v="20"/>
    <n v="49213"/>
    <n v="984260"/>
    <m/>
    <m/>
    <n v="0"/>
    <m/>
    <m/>
    <n v="0"/>
    <n v="77"/>
    <n v="114103"/>
    <n v="7188648.7442000005"/>
    <n v="69"/>
    <n v="126944"/>
    <n v="7166725.0752000008"/>
    <n v="35"/>
    <n v="89496"/>
    <n v="2562896.952"/>
    <n v="37"/>
    <n v="100369"/>
    <n v="3038510.8846"/>
    <n v="39"/>
    <n v="81422"/>
    <n v="2598159.7356000002"/>
    <n v="30"/>
    <n v="88986"/>
    <n v="2184250.3560000001"/>
    <n v="15"/>
    <n v="54101"/>
    <n v="663981.57299999997"/>
    <n v="7"/>
    <n v="61189"/>
    <n v="350453.8786"/>
    <n v="3"/>
    <n v="55096"/>
    <n v="135238.6416"/>
    <n v="3"/>
    <n v="65492"/>
    <n v="160756.66320000001"/>
    <m/>
    <m/>
    <n v="0"/>
    <m/>
    <m/>
    <n v="0"/>
  </r>
  <r>
    <x v="15"/>
    <s v="Marshall University "/>
    <n v="237525"/>
    <x v="2"/>
    <n v="190"/>
    <n v="71085"/>
    <n v="13506150"/>
    <n v="183"/>
    <n v="73190"/>
    <n v="13393770"/>
    <n v="104"/>
    <n v="56410"/>
    <n v="5866640"/>
    <n v="110"/>
    <n v="58519"/>
    <n v="6437090"/>
    <n v="115"/>
    <n v="47971"/>
    <n v="5516665"/>
    <n v="116"/>
    <n v="48541"/>
    <n v="5630756"/>
    <n v="24"/>
    <n v="28235"/>
    <n v="677640"/>
    <n v="28"/>
    <n v="31227"/>
    <n v="874356"/>
    <m/>
    <m/>
    <n v="0"/>
    <m/>
    <m/>
    <n v="0"/>
    <m/>
    <m/>
    <n v="0"/>
    <m/>
    <m/>
    <n v="0"/>
    <n v="15"/>
    <n v="96126"/>
    <n v="1179754.398"/>
    <n v="16"/>
    <n v="96496"/>
    <n v="1263248.4351999999"/>
    <n v="6"/>
    <n v="77418"/>
    <n v="380060.44560000004"/>
    <n v="5"/>
    <n v="71376"/>
    <n v="291999.21600000001"/>
    <n v="4"/>
    <n v="59993"/>
    <n v="196345.09040000002"/>
    <n v="4"/>
    <n v="60982"/>
    <n v="199581.88959999999"/>
    <m/>
    <m/>
    <n v="0"/>
    <m/>
    <m/>
    <n v="0"/>
    <m/>
    <m/>
    <n v="0"/>
    <m/>
    <m/>
    <n v="0"/>
    <m/>
    <m/>
    <n v="0"/>
    <m/>
    <m/>
    <n v="0"/>
  </r>
  <r>
    <x v="15"/>
    <s v="Bluefield State College "/>
    <n v="237215"/>
    <x v="5"/>
    <n v="25"/>
    <n v="64081"/>
    <n v="1602025"/>
    <n v="26"/>
    <n v="66572"/>
    <n v="1730872"/>
    <n v="19"/>
    <n v="50682"/>
    <n v="962958"/>
    <n v="15"/>
    <n v="56522"/>
    <n v="847830"/>
    <n v="22"/>
    <n v="47256"/>
    <n v="1039632"/>
    <n v="21"/>
    <n v="51334"/>
    <n v="1078014"/>
    <n v="3"/>
    <n v="36836"/>
    <n v="110508"/>
    <n v="3"/>
    <n v="39052"/>
    <n v="117156"/>
    <n v="2"/>
    <n v="35262"/>
    <n v="70524"/>
    <n v="2"/>
    <n v="37086"/>
    <n v="74172"/>
    <m/>
    <m/>
    <n v="0"/>
    <m/>
    <m/>
    <n v="0"/>
    <n v="3"/>
    <n v="104719"/>
    <n v="257043.2574"/>
    <n v="3"/>
    <n v="85683"/>
    <n v="210317.49180000002"/>
    <n v="1"/>
    <n v="46560"/>
    <n v="38095.392"/>
    <n v="1"/>
    <n v="50064"/>
    <n v="40962.364800000003"/>
    <n v="1"/>
    <n v="48256"/>
    <n v="39483.059200000003"/>
    <n v="1"/>
    <n v="71812"/>
    <n v="58756.578400000006"/>
    <m/>
    <m/>
    <n v="0"/>
    <m/>
    <m/>
    <n v="0"/>
    <m/>
    <m/>
    <n v="0"/>
    <m/>
    <m/>
    <n v="0"/>
    <m/>
    <m/>
    <n v="0"/>
    <m/>
    <m/>
    <n v="0"/>
  </r>
  <r>
    <x v="15"/>
    <s v="Concord University "/>
    <n v="237330"/>
    <x v="5"/>
    <n v="17"/>
    <n v="65448"/>
    <n v="1112616"/>
    <n v="17"/>
    <n v="68277"/>
    <n v="1160709"/>
    <n v="29"/>
    <n v="56292"/>
    <n v="1632468"/>
    <n v="28"/>
    <n v="58767"/>
    <n v="1645476"/>
    <n v="37"/>
    <n v="45943"/>
    <n v="1699891"/>
    <n v="44"/>
    <n v="48453"/>
    <n v="2131932"/>
    <n v="13"/>
    <n v="39923"/>
    <n v="518999"/>
    <n v="13"/>
    <n v="41270"/>
    <n v="536510"/>
    <m/>
    <m/>
    <n v="0"/>
    <m/>
    <m/>
    <n v="0"/>
    <m/>
    <m/>
    <n v="0"/>
    <m/>
    <m/>
    <n v="0"/>
    <n v="2"/>
    <n v="82261"/>
    <n v="134611.90040000001"/>
    <n v="2"/>
    <n v="85735"/>
    <n v="140296.75400000002"/>
    <n v="2"/>
    <n v="65193"/>
    <n v="106681.82520000001"/>
    <n v="2"/>
    <n v="68084"/>
    <n v="111412.65760000001"/>
    <m/>
    <m/>
    <n v="0"/>
    <m/>
    <m/>
    <n v="0"/>
    <m/>
    <m/>
    <n v="0"/>
    <m/>
    <m/>
    <n v="0"/>
    <m/>
    <m/>
    <n v="0"/>
    <m/>
    <m/>
    <n v="0"/>
    <m/>
    <m/>
    <n v="0"/>
    <m/>
    <m/>
    <n v="0"/>
  </r>
  <r>
    <x v="15"/>
    <s v="Fairmont State University"/>
    <n v="237367"/>
    <x v="5"/>
    <n v="45"/>
    <n v="69573"/>
    <n v="3130785"/>
    <n v="45"/>
    <n v="73139"/>
    <n v="3291255"/>
    <n v="32"/>
    <n v="57202"/>
    <n v="1830464"/>
    <n v="30"/>
    <n v="61852"/>
    <n v="1855560"/>
    <n v="66"/>
    <n v="49542"/>
    <n v="3269772"/>
    <n v="62"/>
    <n v="51313"/>
    <n v="3181406"/>
    <n v="9"/>
    <n v="42835"/>
    <n v="385515"/>
    <n v="8"/>
    <n v="44706"/>
    <n v="357648"/>
    <m/>
    <m/>
    <n v="0"/>
    <n v="1"/>
    <n v="42962"/>
    <n v="42962"/>
    <m/>
    <m/>
    <n v="0"/>
    <m/>
    <m/>
    <n v="0"/>
    <n v="6"/>
    <n v="97031"/>
    <n v="476344.58520000003"/>
    <n v="6"/>
    <n v="113122"/>
    <n v="555338.52240000002"/>
    <n v="2"/>
    <n v="90612"/>
    <n v="148277.4768"/>
    <n v="3"/>
    <n v="92023"/>
    <n v="225879.65580000001"/>
    <n v="9"/>
    <n v="45742"/>
    <n v="336834.93960000004"/>
    <n v="5"/>
    <n v="47687"/>
    <n v="195087.51700000002"/>
    <n v="9"/>
    <n v="37080"/>
    <n v="273049.70400000003"/>
    <n v="11"/>
    <n v="47699"/>
    <n v="429300.53980000003"/>
    <m/>
    <m/>
    <n v="0"/>
    <n v="1"/>
    <n v="32004"/>
    <n v="26185.6728"/>
    <m/>
    <m/>
    <n v="0"/>
    <m/>
    <m/>
    <n v="0"/>
  </r>
  <r>
    <x v="15"/>
    <s v="Glenville State College "/>
    <n v="237385"/>
    <x v="5"/>
    <n v="9"/>
    <n v="64054"/>
    <n v="576486"/>
    <n v="8"/>
    <n v="65885"/>
    <n v="527080"/>
    <n v="15"/>
    <n v="55922"/>
    <n v="838830"/>
    <n v="15"/>
    <n v="58612"/>
    <n v="879180"/>
    <n v="20"/>
    <n v="44495"/>
    <n v="889900"/>
    <n v="20"/>
    <n v="46100"/>
    <n v="922000"/>
    <n v="10"/>
    <n v="36754"/>
    <n v="367540"/>
    <n v="14"/>
    <n v="35203"/>
    <n v="492842"/>
    <n v="1"/>
    <n v="31176"/>
    <n v="31176"/>
    <n v="1"/>
    <n v="32424"/>
    <n v="32424"/>
    <m/>
    <m/>
    <n v="0"/>
    <m/>
    <m/>
    <n v="0"/>
    <m/>
    <m/>
    <n v="0"/>
    <m/>
    <m/>
    <n v="0"/>
    <n v="1"/>
    <n v="62196"/>
    <n v="50888.767200000002"/>
    <n v="1"/>
    <n v="63900"/>
    <n v="52282.98"/>
    <m/>
    <m/>
    <n v="0"/>
    <m/>
    <m/>
    <n v="0"/>
    <m/>
    <m/>
    <n v="0"/>
    <m/>
    <m/>
    <n v="0"/>
    <n v="1"/>
    <n v="39898"/>
    <n v="32644.543600000001"/>
    <n v="1"/>
    <n v="41640"/>
    <n v="34069.847999999998"/>
    <m/>
    <m/>
    <n v="0"/>
    <m/>
    <m/>
    <n v="0"/>
  </r>
  <r>
    <x v="15"/>
    <s v="Shepherd University "/>
    <n v="237792"/>
    <x v="5"/>
    <n v="27"/>
    <n v="70162"/>
    <n v="1894374"/>
    <n v="27"/>
    <n v="73382"/>
    <n v="1981314"/>
    <n v="33"/>
    <n v="58891"/>
    <n v="1943403"/>
    <n v="30"/>
    <n v="61806"/>
    <n v="1854180"/>
    <n v="38"/>
    <n v="50780"/>
    <n v="1929640"/>
    <n v="44"/>
    <n v="52812"/>
    <n v="2323728"/>
    <m/>
    <m/>
    <n v="0"/>
    <n v="1"/>
    <n v="39000"/>
    <n v="39000"/>
    <n v="15"/>
    <n v="44426"/>
    <n v="666390"/>
    <n v="13"/>
    <n v="46944"/>
    <n v="610272"/>
    <m/>
    <m/>
    <n v="0"/>
    <m/>
    <m/>
    <n v="0"/>
    <n v="2"/>
    <n v="83884"/>
    <n v="137267.7776"/>
    <n v="2"/>
    <n v="91782"/>
    <n v="150192.06479999999"/>
    <n v="1"/>
    <n v="66165"/>
    <n v="54136.203000000001"/>
    <n v="1"/>
    <n v="70552"/>
    <n v="57725.646400000005"/>
    <m/>
    <m/>
    <n v="0"/>
    <m/>
    <m/>
    <n v="0"/>
    <m/>
    <m/>
    <n v="0"/>
    <m/>
    <m/>
    <n v="0"/>
    <m/>
    <m/>
    <n v="0"/>
    <m/>
    <m/>
    <n v="0"/>
    <m/>
    <m/>
    <n v="0"/>
    <m/>
    <m/>
    <n v="0"/>
  </r>
  <r>
    <x v="15"/>
    <s v="West Liberty University"/>
    <n v="237932"/>
    <x v="5"/>
    <n v="23"/>
    <n v="61068"/>
    <n v="1404564"/>
    <n v="16"/>
    <n v="63469"/>
    <n v="1015504"/>
    <n v="31"/>
    <n v="53544"/>
    <n v="1659864"/>
    <n v="30"/>
    <n v="54266"/>
    <n v="1627980"/>
    <n v="26"/>
    <n v="44613"/>
    <n v="1159938"/>
    <n v="28"/>
    <n v="45748"/>
    <n v="1280944"/>
    <n v="12"/>
    <n v="38964"/>
    <n v="467568"/>
    <n v="16"/>
    <n v="41891"/>
    <n v="670256"/>
    <n v="4"/>
    <n v="33118"/>
    <n v="132472"/>
    <n v="4"/>
    <n v="35225"/>
    <n v="140900"/>
    <m/>
    <m/>
    <n v="0"/>
    <m/>
    <m/>
    <n v="0"/>
    <n v="1"/>
    <n v="87750"/>
    <n v="71797.05"/>
    <n v="2"/>
    <n v="74164"/>
    <n v="121361.96960000001"/>
    <n v="3"/>
    <n v="60371"/>
    <n v="148186.65660000002"/>
    <n v="2"/>
    <n v="77968"/>
    <n v="127586.8352"/>
    <m/>
    <m/>
    <n v="0"/>
    <m/>
    <m/>
    <n v="0"/>
    <n v="1"/>
    <n v="66973"/>
    <n v="54797.308600000004"/>
    <n v="2"/>
    <n v="51532"/>
    <n v="84326.964800000002"/>
    <m/>
    <m/>
    <n v="0"/>
    <m/>
    <m/>
    <n v="0"/>
    <m/>
    <m/>
    <n v="0"/>
    <m/>
    <m/>
    <n v="0"/>
  </r>
  <r>
    <x v="15"/>
    <s v="West Virginia State University "/>
    <n v="237899"/>
    <x v="5"/>
    <n v="26"/>
    <n v="58341"/>
    <n v="1516866"/>
    <n v="26"/>
    <n v="62171"/>
    <n v="1616446"/>
    <n v="39"/>
    <n v="52729"/>
    <n v="2056431"/>
    <n v="36"/>
    <n v="56989"/>
    <n v="2051604"/>
    <n v="43"/>
    <n v="44783"/>
    <n v="1925669"/>
    <n v="43"/>
    <n v="47741"/>
    <n v="2052863"/>
    <n v="10"/>
    <n v="36403"/>
    <n v="364030"/>
    <n v="13"/>
    <n v="38692"/>
    <n v="502996"/>
    <m/>
    <m/>
    <n v="0"/>
    <m/>
    <m/>
    <n v="0"/>
    <m/>
    <m/>
    <n v="0"/>
    <m/>
    <m/>
    <n v="0"/>
    <n v="3"/>
    <n v="74847"/>
    <n v="183719.44620000001"/>
    <n v="1"/>
    <n v="80170"/>
    <n v="65595.093999999997"/>
    <n v="3"/>
    <n v="74088"/>
    <n v="181856.40480000002"/>
    <m/>
    <m/>
    <n v="0"/>
    <n v="1"/>
    <n v="48050"/>
    <n v="39314.51"/>
    <n v="1"/>
    <n v="51834"/>
    <n v="42410.578800000003"/>
    <m/>
    <m/>
    <n v="0"/>
    <m/>
    <m/>
    <n v="0"/>
    <m/>
    <m/>
    <n v="0"/>
    <m/>
    <m/>
    <n v="0"/>
    <m/>
    <m/>
    <n v="0"/>
    <m/>
    <m/>
    <n v="0"/>
  </r>
  <r>
    <x v="15"/>
    <s v="West Virginia University Institute of Technology"/>
    <n v="237950"/>
    <x v="5"/>
    <n v="25"/>
    <n v="64544"/>
    <n v="1613600"/>
    <n v="27"/>
    <n v="68210"/>
    <n v="1841670"/>
    <n v="15"/>
    <n v="54101"/>
    <n v="811515"/>
    <n v="18"/>
    <n v="54789"/>
    <n v="986202"/>
    <n v="22"/>
    <n v="43885"/>
    <n v="965470"/>
    <n v="22"/>
    <n v="48541"/>
    <n v="1067902"/>
    <n v="7"/>
    <n v="42100"/>
    <n v="294700"/>
    <n v="7"/>
    <n v="44049"/>
    <n v="308343"/>
    <n v="4"/>
    <n v="40375"/>
    <n v="161500"/>
    <n v="6"/>
    <n v="42293"/>
    <n v="253758"/>
    <m/>
    <m/>
    <n v="0"/>
    <m/>
    <m/>
    <n v="0"/>
    <m/>
    <m/>
    <n v="0"/>
    <m/>
    <m/>
    <n v="0"/>
    <n v="2"/>
    <n v="63994"/>
    <n v="104719.7816"/>
    <n v="3"/>
    <n v="61880"/>
    <n v="151890.64800000002"/>
    <n v="3"/>
    <n v="49103"/>
    <n v="120528.22380000001"/>
    <n v="3"/>
    <n v="57017"/>
    <n v="139953.92819999999"/>
    <m/>
    <m/>
    <n v="0"/>
    <m/>
    <m/>
    <n v="0"/>
    <n v="1"/>
    <n v="43812"/>
    <n v="35846.9784"/>
    <n v="1"/>
    <n v="43812"/>
    <n v="35846.9784"/>
    <m/>
    <m/>
    <n v="0"/>
    <m/>
    <m/>
    <n v="0"/>
  </r>
  <r>
    <x v="15"/>
    <s v="West Virginia University at Parkersburg"/>
    <n v="237686"/>
    <x v="11"/>
    <n v="31"/>
    <n v="54607"/>
    <n v="1692817"/>
    <n v="29"/>
    <n v="54843"/>
    <n v="1590447"/>
    <n v="11"/>
    <n v="51094"/>
    <n v="562034"/>
    <n v="14"/>
    <n v="51721"/>
    <n v="724094"/>
    <n v="16"/>
    <n v="42599"/>
    <n v="681584"/>
    <n v="12"/>
    <n v="43497"/>
    <n v="521964"/>
    <n v="21"/>
    <n v="36428"/>
    <n v="764988"/>
    <n v="27"/>
    <n v="36902"/>
    <n v="996354"/>
    <n v="1"/>
    <n v="35000"/>
    <n v="35000"/>
    <m/>
    <m/>
    <n v="0"/>
    <m/>
    <m/>
    <n v="0"/>
    <m/>
    <m/>
    <n v="0"/>
    <n v="1"/>
    <n v="60716"/>
    <n v="49677.831200000001"/>
    <n v="2"/>
    <n v="65704"/>
    <n v="107518.02560000001"/>
    <m/>
    <m/>
    <n v="0"/>
    <n v="1"/>
    <n v="70961"/>
    <n v="58060.290200000003"/>
    <n v="2"/>
    <n v="62189"/>
    <n v="101766.07960000001"/>
    <n v="1"/>
    <n v="63463"/>
    <n v="51925.426599999999"/>
    <n v="1"/>
    <n v="48189"/>
    <n v="39428.239800000003"/>
    <n v="1"/>
    <n v="49843"/>
    <n v="40781.542600000001"/>
    <m/>
    <m/>
    <n v="0"/>
    <m/>
    <m/>
    <n v="0"/>
    <m/>
    <m/>
    <n v="0"/>
    <m/>
    <m/>
    <n v="0"/>
  </r>
  <r>
    <x v="15"/>
    <s v="Pierpont Community &amp; Technical College"/>
    <n v="443492"/>
    <x v="7"/>
    <n v="3"/>
    <n v="61404"/>
    <n v="184212"/>
    <n v="4"/>
    <n v="67795"/>
    <n v="271180"/>
    <n v="4"/>
    <n v="63560"/>
    <n v="254240"/>
    <n v="5"/>
    <n v="65317"/>
    <n v="326585"/>
    <n v="31"/>
    <n v="45018"/>
    <n v="1395558"/>
    <n v="26"/>
    <n v="48614"/>
    <n v="1263964"/>
    <n v="6"/>
    <n v="44222"/>
    <n v="265332"/>
    <n v="8"/>
    <n v="47286"/>
    <n v="378288"/>
    <m/>
    <m/>
    <n v="0"/>
    <n v="4"/>
    <n v="61007"/>
    <n v="244028"/>
    <m/>
    <m/>
    <n v="0"/>
    <m/>
    <m/>
    <n v="0"/>
    <n v="5"/>
    <n v="90020"/>
    <n v="368271.82"/>
    <n v="5"/>
    <n v="94594"/>
    <n v="386984.054"/>
    <n v="1"/>
    <n v="88922"/>
    <n v="72755.9804"/>
    <m/>
    <m/>
    <n v="0"/>
    <n v="3"/>
    <n v="68927"/>
    <n v="169188.21420000002"/>
    <n v="4"/>
    <n v="69250"/>
    <n v="226641.40000000002"/>
    <n v="5"/>
    <n v="48876"/>
    <n v="199951.71600000001"/>
    <n v="2"/>
    <n v="63186"/>
    <n v="103397.57040000001"/>
    <m/>
    <m/>
    <n v="0"/>
    <n v="2"/>
    <n v="57438"/>
    <n v="93991.5432"/>
    <m/>
    <m/>
    <n v="0"/>
    <m/>
    <m/>
    <n v="0"/>
  </r>
  <r>
    <x v="15"/>
    <s v="Blue Ridge Community &amp; Technical College"/>
    <n v="446774"/>
    <x v="8"/>
    <m/>
    <m/>
    <n v="0"/>
    <m/>
    <m/>
    <n v="0"/>
    <n v="2"/>
    <n v="58913"/>
    <n v="117826"/>
    <n v="2"/>
    <n v="57646"/>
    <n v="115292"/>
    <n v="3"/>
    <n v="56926"/>
    <n v="170778"/>
    <n v="3"/>
    <n v="53744"/>
    <n v="161232"/>
    <n v="2"/>
    <n v="37288"/>
    <n v="74576"/>
    <n v="4"/>
    <n v="41061"/>
    <n v="164244"/>
    <n v="9"/>
    <n v="36156"/>
    <n v="325404"/>
    <n v="9"/>
    <n v="39088"/>
    <n v="351792"/>
    <m/>
    <m/>
    <n v="0"/>
    <m/>
    <m/>
    <n v="0"/>
    <m/>
    <m/>
    <n v="0"/>
    <m/>
    <m/>
    <n v="0"/>
    <m/>
    <m/>
    <n v="0"/>
    <m/>
    <m/>
    <n v="0"/>
    <n v="1"/>
    <n v="45136"/>
    <n v="36930.275200000004"/>
    <n v="1"/>
    <n v="46818"/>
    <n v="38306.4876"/>
    <n v="1"/>
    <n v="56243"/>
    <n v="46018.022600000004"/>
    <n v="6"/>
    <n v="59101"/>
    <n v="290138.62920000002"/>
    <n v="6"/>
    <n v="51328"/>
    <n v="251979.41760000002"/>
    <n v="8"/>
    <n v="44534"/>
    <n v="291501.75040000002"/>
    <m/>
    <m/>
    <n v="0"/>
    <m/>
    <m/>
    <n v="0"/>
  </r>
  <r>
    <x v="15"/>
    <s v="Community &amp; Technical College at WVU Tech"/>
    <n v="445674"/>
    <x v="8"/>
    <n v="8"/>
    <n v="59249"/>
    <n v="473992"/>
    <n v="8"/>
    <n v="63417"/>
    <n v="507336"/>
    <n v="6"/>
    <n v="46724"/>
    <n v="280344"/>
    <n v="6"/>
    <n v="51718"/>
    <n v="310308"/>
    <n v="6"/>
    <n v="36715"/>
    <n v="220290"/>
    <n v="5"/>
    <n v="39539"/>
    <n v="197695"/>
    <n v="6"/>
    <n v="33513"/>
    <n v="201078"/>
    <n v="8"/>
    <n v="33097"/>
    <n v="264776"/>
    <m/>
    <m/>
    <n v="0"/>
    <m/>
    <m/>
    <n v="0"/>
    <m/>
    <m/>
    <n v="0"/>
    <m/>
    <m/>
    <n v="0"/>
    <m/>
    <m/>
    <n v="0"/>
    <m/>
    <m/>
    <n v="0"/>
    <m/>
    <m/>
    <n v="0"/>
    <m/>
    <m/>
    <n v="0"/>
    <m/>
    <m/>
    <n v="0"/>
    <m/>
    <m/>
    <n v="0"/>
    <m/>
    <m/>
    <n v="0"/>
    <m/>
    <m/>
    <n v="0"/>
    <m/>
    <m/>
    <n v="0"/>
    <m/>
    <m/>
    <n v="0"/>
    <m/>
    <m/>
    <n v="0"/>
    <m/>
    <m/>
    <n v="0"/>
  </r>
  <r>
    <x v="15"/>
    <s v="Eastern West Virginia Community &amp; Technical College"/>
    <n v="438708"/>
    <x v="8"/>
    <m/>
    <m/>
    <n v="0"/>
    <m/>
    <m/>
    <n v="0"/>
    <m/>
    <m/>
    <n v="0"/>
    <m/>
    <m/>
    <n v="0"/>
    <m/>
    <m/>
    <n v="0"/>
    <m/>
    <m/>
    <n v="0"/>
    <m/>
    <m/>
    <n v="0"/>
    <m/>
    <m/>
    <n v="0"/>
    <m/>
    <m/>
    <n v="0"/>
    <m/>
    <m/>
    <n v="0"/>
    <m/>
    <m/>
    <n v="0"/>
    <m/>
    <m/>
    <n v="0"/>
    <m/>
    <m/>
    <n v="0"/>
    <m/>
    <m/>
    <n v="0"/>
    <m/>
    <m/>
    <n v="0"/>
    <m/>
    <m/>
    <n v="0"/>
    <m/>
    <m/>
    <n v="0"/>
    <m/>
    <m/>
    <n v="0"/>
    <m/>
    <m/>
    <n v="0"/>
    <m/>
    <m/>
    <n v="0"/>
    <n v="2"/>
    <n v="36450"/>
    <n v="59646.780000000006"/>
    <n v="4"/>
    <n v="37945"/>
    <n v="124186.39600000001"/>
    <m/>
    <m/>
    <n v="0"/>
    <m/>
    <m/>
    <n v="0"/>
  </r>
  <r>
    <x v="15"/>
    <s v="Marshall Community &amp; Technical College"/>
    <n v="444954"/>
    <x v="8"/>
    <n v="10"/>
    <n v="56179"/>
    <n v="561790"/>
    <n v="10"/>
    <n v="58829"/>
    <n v="588290"/>
    <n v="6"/>
    <n v="48758"/>
    <n v="292548"/>
    <n v="6"/>
    <n v="50806"/>
    <n v="304836"/>
    <n v="8"/>
    <n v="41596"/>
    <n v="332768"/>
    <n v="12"/>
    <n v="39576"/>
    <n v="474912"/>
    <n v="12"/>
    <n v="41597"/>
    <n v="499164"/>
    <n v="16"/>
    <n v="40181"/>
    <n v="642896"/>
    <m/>
    <m/>
    <n v="0"/>
    <n v="1"/>
    <n v="35500"/>
    <n v="35500"/>
    <m/>
    <m/>
    <n v="0"/>
    <m/>
    <m/>
    <n v="0"/>
    <m/>
    <m/>
    <n v="0"/>
    <m/>
    <m/>
    <n v="0"/>
    <m/>
    <m/>
    <n v="0"/>
    <m/>
    <m/>
    <n v="0"/>
    <m/>
    <m/>
    <n v="0"/>
    <m/>
    <m/>
    <n v="0"/>
    <m/>
    <m/>
    <n v="0"/>
    <m/>
    <m/>
    <n v="0"/>
    <m/>
    <m/>
    <n v="0"/>
    <m/>
    <m/>
    <n v="0"/>
    <m/>
    <m/>
    <n v="0"/>
    <m/>
    <m/>
    <n v="0"/>
  </r>
  <r>
    <x v="15"/>
    <s v="New River Community &amp; Technical College"/>
    <n v="447582"/>
    <x v="8"/>
    <n v="3"/>
    <n v="62439"/>
    <n v="187317"/>
    <n v="3"/>
    <n v="64850"/>
    <n v="194550"/>
    <n v="6"/>
    <n v="52991"/>
    <n v="317946"/>
    <n v="6"/>
    <n v="56552"/>
    <n v="339312"/>
    <n v="7"/>
    <n v="41493"/>
    <n v="290451"/>
    <n v="6"/>
    <n v="43686"/>
    <n v="262116"/>
    <n v="14"/>
    <n v="36507"/>
    <n v="511098"/>
    <n v="15"/>
    <n v="38537"/>
    <n v="578055"/>
    <n v="1"/>
    <n v="33072"/>
    <n v="33072"/>
    <m/>
    <m/>
    <n v="0"/>
    <m/>
    <m/>
    <n v="0"/>
    <m/>
    <m/>
    <n v="0"/>
    <m/>
    <m/>
    <n v="0"/>
    <m/>
    <m/>
    <n v="0"/>
    <n v="1"/>
    <n v="62536"/>
    <n v="51166.955200000004"/>
    <n v="1"/>
    <n v="66060"/>
    <n v="54050.292000000001"/>
    <n v="1"/>
    <n v="62486"/>
    <n v="51126.0452"/>
    <n v="1"/>
    <n v="43584"/>
    <n v="35660.428800000002"/>
    <n v="3"/>
    <n v="46458"/>
    <n v="114035.80680000001"/>
    <n v="2"/>
    <n v="49566"/>
    <n v="81109.8024"/>
    <m/>
    <m/>
    <n v="0"/>
    <m/>
    <m/>
    <n v="0"/>
    <m/>
    <m/>
    <n v="0"/>
    <m/>
    <m/>
    <n v="0"/>
  </r>
  <r>
    <x v="15"/>
    <s v="Potomac State College of West Virginia University"/>
    <n v="237701"/>
    <x v="8"/>
    <n v="12"/>
    <n v="61062"/>
    <n v="732744"/>
    <n v="13"/>
    <n v="66097"/>
    <n v="859261"/>
    <n v="3"/>
    <n v="46631"/>
    <n v="139893"/>
    <n v="2"/>
    <n v="48606"/>
    <n v="97212"/>
    <n v="6"/>
    <n v="38614"/>
    <n v="231684"/>
    <n v="6"/>
    <n v="40889"/>
    <n v="245334"/>
    <n v="16"/>
    <n v="36343"/>
    <n v="581488"/>
    <n v="18"/>
    <n v="37585"/>
    <n v="676530"/>
    <m/>
    <m/>
    <n v="0"/>
    <m/>
    <m/>
    <n v="0"/>
    <m/>
    <m/>
    <n v="0"/>
    <m/>
    <m/>
    <n v="0"/>
    <n v="1"/>
    <n v="64418"/>
    <n v="52706.8076"/>
    <n v="1"/>
    <n v="69383"/>
    <n v="56769.170600000005"/>
    <m/>
    <m/>
    <n v="0"/>
    <m/>
    <m/>
    <n v="0"/>
    <m/>
    <m/>
    <n v="0"/>
    <m/>
    <m/>
    <n v="0"/>
    <m/>
    <m/>
    <n v="0"/>
    <m/>
    <m/>
    <n v="0"/>
    <m/>
    <m/>
    <n v="0"/>
    <m/>
    <m/>
    <n v="0"/>
    <m/>
    <m/>
    <n v="0"/>
    <m/>
    <m/>
    <n v="0"/>
  </r>
  <r>
    <x v="15"/>
    <s v="Southern West Virginia Community &amp; Technical College "/>
    <n v="237817"/>
    <x v="8"/>
    <n v="21"/>
    <n v="56608"/>
    <n v="1188768"/>
    <n v="22"/>
    <n v="58840"/>
    <n v="1294480"/>
    <n v="9"/>
    <n v="47741"/>
    <n v="429669"/>
    <n v="9"/>
    <n v="47590"/>
    <n v="428310"/>
    <n v="17"/>
    <n v="40147"/>
    <n v="682499"/>
    <n v="21"/>
    <n v="40767"/>
    <n v="856107"/>
    <n v="30"/>
    <n v="33197"/>
    <n v="995910"/>
    <n v="32"/>
    <n v="34735"/>
    <n v="1111520"/>
    <m/>
    <m/>
    <n v="0"/>
    <m/>
    <m/>
    <n v="0"/>
    <m/>
    <m/>
    <n v="0"/>
    <m/>
    <m/>
    <n v="0"/>
    <m/>
    <m/>
    <n v="0"/>
    <m/>
    <m/>
    <n v="0"/>
    <m/>
    <m/>
    <n v="0"/>
    <m/>
    <m/>
    <n v="0"/>
    <m/>
    <m/>
    <n v="0"/>
    <m/>
    <m/>
    <n v="0"/>
    <n v="1"/>
    <n v="41719"/>
    <n v="34134.485800000002"/>
    <m/>
    <m/>
    <n v="0"/>
    <m/>
    <m/>
    <n v="0"/>
    <m/>
    <m/>
    <n v="0"/>
    <m/>
    <m/>
    <n v="0"/>
    <m/>
    <m/>
    <n v="0"/>
  </r>
  <r>
    <x v="15"/>
    <s v="West Virginia Northern Community College"/>
    <n v="238014"/>
    <x v="8"/>
    <n v="22"/>
    <n v="53913"/>
    <n v="1186086"/>
    <n v="22"/>
    <n v="56016"/>
    <n v="1232352"/>
    <n v="8"/>
    <n v="44808"/>
    <n v="358464"/>
    <n v="10"/>
    <n v="44703"/>
    <n v="447030"/>
    <n v="11"/>
    <n v="38024"/>
    <n v="418264"/>
    <n v="7"/>
    <n v="38903"/>
    <n v="272321"/>
    <n v="16"/>
    <n v="31223"/>
    <n v="499568"/>
    <n v="21"/>
    <n v="32587"/>
    <n v="684327"/>
    <n v="1"/>
    <n v="28840"/>
    <n v="28840"/>
    <m/>
    <m/>
    <n v="0"/>
    <m/>
    <m/>
    <n v="0"/>
    <m/>
    <m/>
    <n v="0"/>
    <m/>
    <m/>
    <n v="0"/>
    <m/>
    <m/>
    <n v="0"/>
    <m/>
    <m/>
    <n v="0"/>
    <m/>
    <m/>
    <n v="0"/>
    <m/>
    <m/>
    <n v="0"/>
    <m/>
    <m/>
    <n v="0"/>
    <m/>
    <m/>
    <n v="0"/>
    <m/>
    <m/>
    <n v="0"/>
    <n v="1"/>
    <n v="30950"/>
    <n v="25323.29"/>
    <m/>
    <m/>
    <n v="0"/>
    <m/>
    <m/>
    <n v="0"/>
    <m/>
    <m/>
    <n v="0"/>
  </r>
  <r>
    <x v="15"/>
    <s v="WV State Community &amp; Technical College"/>
    <n v="445018"/>
    <x v="8"/>
    <n v="4"/>
    <n v="61646"/>
    <n v="246584"/>
    <n v="4"/>
    <n v="65952"/>
    <n v="263808"/>
    <n v="5"/>
    <n v="52243"/>
    <n v="261215"/>
    <n v="7"/>
    <n v="55120"/>
    <n v="385840"/>
    <n v="13"/>
    <n v="44544"/>
    <n v="579072"/>
    <n v="10"/>
    <n v="45866"/>
    <n v="458660"/>
    <n v="11"/>
    <n v="38555"/>
    <n v="424105"/>
    <n v="12"/>
    <n v="38687"/>
    <n v="464244"/>
    <m/>
    <m/>
    <n v="0"/>
    <m/>
    <m/>
    <n v="0"/>
    <m/>
    <m/>
    <n v="0"/>
    <m/>
    <m/>
    <n v="0"/>
    <m/>
    <m/>
    <n v="0"/>
    <m/>
    <m/>
    <n v="0"/>
    <n v="2"/>
    <n v="63169"/>
    <n v="103369.7516"/>
    <n v="2"/>
    <n v="63742"/>
    <n v="104307.4088"/>
    <n v="1"/>
    <n v="48443"/>
    <n v="39636.062600000005"/>
    <n v="1"/>
    <n v="51147"/>
    <n v="41848.475400000003"/>
    <n v="5"/>
    <n v="52633"/>
    <n v="215321.603"/>
    <n v="3"/>
    <n v="59630"/>
    <n v="146367.79800000001"/>
    <m/>
    <m/>
    <n v="0"/>
    <m/>
    <m/>
    <n v="0"/>
    <m/>
    <m/>
    <n v="0"/>
    <m/>
    <m/>
    <n v="0"/>
  </r>
</pivotCacheRecords>
</file>

<file path=xl/pivotCache/pivotCacheRecords2.xml><?xml version="1.0" encoding="utf-8"?>
<pivotCacheRecords xmlns="http://schemas.openxmlformats.org/spreadsheetml/2006/main" xmlns:r="http://schemas.openxmlformats.org/officeDocument/2006/relationships" count="710">
  <r>
    <x v="0"/>
    <s v="Auburn University"/>
    <n v="100858"/>
    <x v="0"/>
    <n v="304"/>
    <n v="103413.60197368421"/>
    <n v="31437735"/>
    <n v="286"/>
    <n v="104554.12237762238"/>
    <n v="29902479"/>
    <n v="251"/>
    <n v="73402.673306772907"/>
    <n v="18424071"/>
    <n v="265"/>
    <n v="73360.758490566033"/>
    <n v="19440601"/>
    <n v="198"/>
    <n v="63801.111111111109"/>
    <n v="12632620"/>
    <n v="239"/>
    <n v="62633.585774058578"/>
    <n v="14969427"/>
    <n v="73"/>
    <n v="34346.219178082189"/>
    <n v="2507274"/>
    <n v="84"/>
    <n v="34055.297619047618"/>
    <n v="2860645"/>
    <n v="15"/>
    <n v="51647.333333333336"/>
    <n v="774710"/>
    <n v="13"/>
    <n v="52311.538461538461"/>
    <n v="680050"/>
    <m/>
    <m/>
    <n v="0"/>
    <m/>
    <m/>
    <n v="0"/>
    <n v="170"/>
    <n v="131996.98823529412"/>
    <n v="18359989.081599999"/>
    <n v="170"/>
    <n v="131215"/>
    <n v="18251219.210000001"/>
    <n v="83"/>
    <n v="95657.084337349399"/>
    <n v="6496129.9916000003"/>
    <n v="77"/>
    <n v="93267.58441558441"/>
    <n v="5875988.3928000005"/>
    <n v="32"/>
    <n v="81940"/>
    <n v="2145385.8560000001"/>
    <n v="35"/>
    <n v="82435.71428571429"/>
    <n v="2360711.5500000003"/>
    <n v="4"/>
    <n v="56609.25"/>
    <n v="185270.75340000002"/>
    <n v="7"/>
    <n v="47672"/>
    <n v="273036.6128"/>
    <n v="2"/>
    <n v="69115"/>
    <n v="113099.78600000001"/>
    <n v="0"/>
    <m/>
    <n v="0"/>
    <m/>
    <m/>
    <n v="0"/>
    <m/>
    <m/>
    <n v="0"/>
  </r>
  <r>
    <x v="0"/>
    <s v="University of Alabama "/>
    <n v="100751"/>
    <x v="0"/>
    <n v="284"/>
    <n v="115726.57746478873"/>
    <n v="32866348"/>
    <n v="291"/>
    <n v="115508.5498281787"/>
    <n v="33612988"/>
    <n v="216"/>
    <n v="79385.388888888891"/>
    <n v="17147244"/>
    <n v="233"/>
    <n v="80559.896995708157"/>
    <n v="18770456"/>
    <n v="224"/>
    <n v="65093.455357142855"/>
    <n v="14580934"/>
    <n v="241"/>
    <n v="62879.282157676345"/>
    <n v="15153907"/>
    <n v="132"/>
    <n v="40678.121212121216"/>
    <n v="5369512"/>
    <n v="144"/>
    <n v="38601.631944444445"/>
    <n v="5558635"/>
    <m/>
    <m/>
    <n v="0"/>
    <n v="9"/>
    <n v="63354.333333333336"/>
    <n v="570189"/>
    <m/>
    <m/>
    <n v="0"/>
    <m/>
    <m/>
    <n v="0"/>
    <n v="22"/>
    <n v="145999.81818181818"/>
    <n v="2628055.1272"/>
    <n v="32"/>
    <n v="131434.75"/>
    <n v="3441277.1984000001"/>
    <n v="8"/>
    <n v="87542.125"/>
    <n v="573015.73340000003"/>
    <n v="34"/>
    <n v="83709.205882352937"/>
    <n v="2328689.6566000003"/>
    <n v="10"/>
    <n v="79971.199999999997"/>
    <n v="654324.35840000003"/>
    <n v="53"/>
    <n v="67333.905660377364"/>
    <n v="2919907.8854000005"/>
    <n v="8"/>
    <n v="55872.75"/>
    <n v="365720.67240000004"/>
    <n v="24"/>
    <n v="45370.875"/>
    <n v="890938.79820000008"/>
    <m/>
    <m/>
    <n v="0"/>
    <n v="6"/>
    <n v="83731.833333333328"/>
    <n v="411056.3162"/>
    <m/>
    <m/>
    <n v="0"/>
    <m/>
    <m/>
    <n v="0"/>
  </r>
  <r>
    <x v="0"/>
    <s v="University of Alabama at Birmingham"/>
    <n v="100663"/>
    <x v="0"/>
    <n v="95"/>
    <n v="95463.031578947368"/>
    <n v="9068988"/>
    <n v="99"/>
    <n v="97118.727272727279"/>
    <n v="9614754"/>
    <n v="131"/>
    <n v="71418.435114503824"/>
    <n v="9355815"/>
    <n v="137"/>
    <n v="71593.598540145991"/>
    <n v="9808323"/>
    <n v="116"/>
    <n v="58528.801724137928"/>
    <n v="6789341"/>
    <n v="118"/>
    <n v="58306.466101694918"/>
    <n v="6880163"/>
    <n v="37"/>
    <n v="39446.567567567567"/>
    <n v="1459523"/>
    <n v="29"/>
    <n v="41833.068965517239"/>
    <n v="1213159"/>
    <n v="1"/>
    <n v="36000"/>
    <n v="36000"/>
    <n v="1"/>
    <n v="36000"/>
    <n v="36000"/>
    <m/>
    <m/>
    <n v="0"/>
    <m/>
    <m/>
    <n v="0"/>
    <n v="140"/>
    <n v="157055.53571428571"/>
    <n v="17990397.505000003"/>
    <n v="132"/>
    <n v="156960.92424242425"/>
    <n v="16952156.5244"/>
    <n v="119"/>
    <n v="109210.83193277312"/>
    <n v="10633400.0198"/>
    <n v="120"/>
    <n v="107880.15833333334"/>
    <n v="10592105.4658"/>
    <n v="156"/>
    <n v="84179.698717948719"/>
    <n v="10744629.400600001"/>
    <n v="156"/>
    <n v="82482.217948717953"/>
    <n v="10527964.313200001"/>
    <n v="57"/>
    <n v="66328.859649122809"/>
    <n v="3093405.5590000004"/>
    <n v="57"/>
    <n v="67857.105263157893"/>
    <n v="3164678.9610000001"/>
    <m/>
    <m/>
    <n v="0"/>
    <m/>
    <m/>
    <n v="0"/>
    <m/>
    <m/>
    <n v="0"/>
    <m/>
    <m/>
    <n v="0"/>
  </r>
  <r>
    <x v="0"/>
    <s v="University of Alabama in Huntsville"/>
    <n v="100706"/>
    <x v="1"/>
    <n v="55"/>
    <n v="100857.94545454545"/>
    <n v="5547187"/>
    <n v="55"/>
    <n v="102396.54545454546"/>
    <n v="5631810"/>
    <n v="79"/>
    <n v="77606.139240506323"/>
    <n v="6130885"/>
    <n v="82"/>
    <n v="77488.487804878052"/>
    <n v="6354056"/>
    <n v="80"/>
    <n v="62484.387499999997"/>
    <n v="4998751"/>
    <n v="85"/>
    <n v="62656.117647058825"/>
    <n v="5325770"/>
    <n v="4"/>
    <n v="49150"/>
    <n v="196600"/>
    <n v="7"/>
    <n v="57942.857142857145"/>
    <n v="405600"/>
    <n v="26"/>
    <n v="41389.961538461539"/>
    <n v="1076139"/>
    <n v="27"/>
    <n v="41994.222222222219"/>
    <n v="1133844"/>
    <m/>
    <m/>
    <n v="0"/>
    <m/>
    <m/>
    <n v="0"/>
    <n v="19"/>
    <n v="129609.84210526316"/>
    <n v="2014888.6834"/>
    <n v="20"/>
    <n v="125772.05"/>
    <n v="2058133.8262"/>
    <n v="8"/>
    <n v="84429.75"/>
    <n v="552643.37160000007"/>
    <n v="10"/>
    <n v="93942.8"/>
    <n v="768639.98960000009"/>
    <n v="2"/>
    <n v="65068.5"/>
    <n v="106478.0934"/>
    <n v="3"/>
    <n v="65013.666666666664"/>
    <n v="159582.54620000001"/>
    <m/>
    <m/>
    <n v="0"/>
    <m/>
    <m/>
    <n v="0"/>
    <n v="16"/>
    <n v="52036.0625"/>
    <n v="681214.50140000007"/>
    <n v="13"/>
    <n v="48540.461538461539"/>
    <n v="516305.47320000001"/>
    <m/>
    <m/>
    <n v="0"/>
    <m/>
    <m/>
    <n v="0"/>
  </r>
  <r>
    <x v="0"/>
    <s v="Alabama Agricultural &amp; Mechanical University"/>
    <n v="100654"/>
    <x v="2"/>
    <n v="37"/>
    <n v="80286.351351351346"/>
    <n v="2970595"/>
    <n v="40"/>
    <n v="88290.175000000003"/>
    <n v="3531607"/>
    <n v="65"/>
    <n v="60425.092307692306"/>
    <n v="3927631"/>
    <n v="63"/>
    <n v="65840.365079365074"/>
    <n v="4147942.9999999995"/>
    <n v="122"/>
    <n v="50181.737704918036"/>
    <n v="6122172"/>
    <n v="123"/>
    <n v="53604.536585365851"/>
    <n v="6593358"/>
    <n v="49"/>
    <n v="37287.469387755104"/>
    <n v="1827086"/>
    <n v="49"/>
    <n v="38540.938775510207"/>
    <n v="1888506.0000000002"/>
    <m/>
    <m/>
    <n v="0"/>
    <m/>
    <m/>
    <n v="0"/>
    <m/>
    <m/>
    <n v="0"/>
    <m/>
    <m/>
    <n v="0"/>
    <n v="21"/>
    <n v="99407.857142857145"/>
    <n v="1708045.6830000002"/>
    <n v="16"/>
    <n v="111155.5625"/>
    <n v="1455159.6998000001"/>
    <n v="7"/>
    <n v="80372.71428571429"/>
    <n v="460326.6838"/>
    <n v="7"/>
    <n v="78716.857142857145"/>
    <n v="450842.9276"/>
    <n v="9"/>
    <n v="69232.111111111109"/>
    <n v="509811.41980000003"/>
    <n v="10"/>
    <n v="72579.199999999997"/>
    <n v="593843.01439999999"/>
    <n v="1"/>
    <n v="64415"/>
    <n v="52704.353000000003"/>
    <n v="1"/>
    <n v="68924"/>
    <n v="56393.616800000003"/>
    <m/>
    <m/>
    <n v="0"/>
    <m/>
    <m/>
    <n v="0"/>
    <m/>
    <m/>
    <n v="0"/>
    <m/>
    <m/>
    <n v="0"/>
  </r>
  <r>
    <x v="0"/>
    <s v="Jacksonville State University "/>
    <n v="101480"/>
    <x v="2"/>
    <n v="51"/>
    <n v="77189.823529411762"/>
    <n v="3936681"/>
    <n v="56"/>
    <n v="79768.017857142855"/>
    <n v="4467009"/>
    <n v="54"/>
    <n v="65471.851851851854"/>
    <n v="3535480"/>
    <n v="59"/>
    <n v="63554.847457627118"/>
    <n v="3749736"/>
    <n v="86"/>
    <n v="53258.023255813954"/>
    <n v="4580190"/>
    <n v="84"/>
    <n v="52900.345238095237"/>
    <n v="4443629"/>
    <n v="96"/>
    <n v="44657.770833333336"/>
    <n v="4287146"/>
    <n v="91"/>
    <n v="44451.109890109889"/>
    <n v="4045051"/>
    <m/>
    <m/>
    <n v="0"/>
    <m/>
    <m/>
    <n v="0"/>
    <m/>
    <m/>
    <n v="0"/>
    <m/>
    <m/>
    <n v="0"/>
    <n v="31"/>
    <n v="91847.419354838712"/>
    <n v="2329636.3140000002"/>
    <n v="29"/>
    <n v="93331.758620689652"/>
    <n v="2214557.3022000003"/>
    <n v="1"/>
    <n v="68495"/>
    <n v="56042.609000000004"/>
    <n v="1"/>
    <n v="71000"/>
    <n v="58092.200000000004"/>
    <m/>
    <m/>
    <n v="0"/>
    <n v="1"/>
    <n v="85113"/>
    <n v="69639.456600000005"/>
    <n v="2"/>
    <n v="82747.5"/>
    <n v="135408.00900000002"/>
    <n v="1"/>
    <n v="88382"/>
    <n v="72314.152400000006"/>
    <m/>
    <m/>
    <n v="0"/>
    <m/>
    <m/>
    <n v="0"/>
    <m/>
    <m/>
    <n v="0"/>
    <m/>
    <m/>
    <n v="0"/>
  </r>
  <r>
    <x v="0"/>
    <s v="Troy University"/>
    <n v="102368"/>
    <x v="2"/>
    <n v="39"/>
    <n v="70259.666666666672"/>
    <n v="2740127"/>
    <n v="42"/>
    <n v="73918.523809523816"/>
    <n v="3104578.0000000005"/>
    <n v="58"/>
    <n v="60078.241379310348"/>
    <n v="3484538"/>
    <n v="71"/>
    <n v="61462.366197183095"/>
    <n v="4363828"/>
    <n v="111"/>
    <n v="52933.369369369371"/>
    <n v="5875604"/>
    <n v="98"/>
    <n v="53346.571428571428"/>
    <n v="5227964"/>
    <n v="9"/>
    <n v="42750.111111111109"/>
    <n v="384751"/>
    <n v="8"/>
    <n v="43728"/>
    <n v="349824"/>
    <n v="26"/>
    <n v="36340"/>
    <n v="944840"/>
    <n v="26"/>
    <n v="38383.153846153844"/>
    <n v="997962"/>
    <m/>
    <m/>
    <n v="0"/>
    <m/>
    <m/>
    <n v="0"/>
    <n v="30"/>
    <n v="88352.433333333334"/>
    <n v="2168698.8286000001"/>
    <n v="29"/>
    <n v="91791.034482758623"/>
    <n v="2177999.3080000002"/>
    <n v="35"/>
    <n v="74917.485714285707"/>
    <n v="2145412.0383999995"/>
    <n v="34"/>
    <n v="77801.705882352937"/>
    <n v="2164350.0956000001"/>
    <n v="24"/>
    <n v="60247.708333333336"/>
    <n v="1183072.199"/>
    <n v="28"/>
    <n v="62350.035714285717"/>
    <n v="1428414.3782000002"/>
    <n v="10"/>
    <n v="47426"/>
    <n v="388039.53200000001"/>
    <n v="7"/>
    <n v="48661.571428571428"/>
    <n v="278704.28419999999"/>
    <n v="7"/>
    <n v="43143.857142857145"/>
    <n v="247102.1274"/>
    <n v="8"/>
    <n v="42745.875"/>
    <n v="279797.39939999999"/>
    <m/>
    <m/>
    <n v="0"/>
    <m/>
    <m/>
    <n v="0"/>
  </r>
  <r>
    <x v="0"/>
    <s v="University of South Alabama"/>
    <n v="102094"/>
    <x v="2"/>
    <n v="66"/>
    <n v="90010.727272727279"/>
    <n v="5940708"/>
    <n v="72"/>
    <n v="90232.819444444438"/>
    <n v="6496763"/>
    <n v="78"/>
    <n v="68191.935897435891"/>
    <n v="5318970.9999999991"/>
    <n v="77"/>
    <n v="67411.610389610389"/>
    <n v="5190694"/>
    <n v="115"/>
    <n v="54718.782608695656"/>
    <n v="6292660"/>
    <n v="123"/>
    <n v="56095.83739837398"/>
    <n v="6899788"/>
    <n v="64"/>
    <n v="46230.46875"/>
    <n v="2958750"/>
    <n v="79"/>
    <n v="45468.177215189877"/>
    <n v="3591986.0000000005"/>
    <n v="2"/>
    <n v="56440.5"/>
    <n v="112881"/>
    <n v="1"/>
    <n v="47881"/>
    <n v="47881"/>
    <m/>
    <m/>
    <n v="0"/>
    <m/>
    <m/>
    <n v="0"/>
    <n v="52"/>
    <n v="97625.711538461532"/>
    <n v="4153622.5734000001"/>
    <n v="40"/>
    <n v="102412.52499999999"/>
    <n v="3351757.1182000004"/>
    <n v="36"/>
    <n v="82032.722222222219"/>
    <n v="2416290.2396"/>
    <n v="29"/>
    <n v="86117.448275862072"/>
    <n v="2043377.5892"/>
    <n v="57"/>
    <n v="72642.263157894733"/>
    <n v="3387846.2838000003"/>
    <n v="52"/>
    <n v="75404.25"/>
    <n v="3208179.3822000003"/>
    <n v="56"/>
    <n v="57977.464285714283"/>
    <n v="2656481.0316000003"/>
    <n v="61"/>
    <n v="56098"/>
    <n v="2799862.3996000001"/>
    <n v="1"/>
    <n v="44386"/>
    <n v="36316.625200000002"/>
    <n v="1"/>
    <n v="67156"/>
    <n v="54947.039199999999"/>
    <m/>
    <m/>
    <n v="0"/>
    <m/>
    <m/>
    <n v="0"/>
  </r>
  <r>
    <x v="0"/>
    <s v="Alabama State University "/>
    <n v="100724"/>
    <x v="3"/>
    <n v="53"/>
    <n v="83854.415094339623"/>
    <n v="4444284"/>
    <n v="57"/>
    <n v="81244.438596491222"/>
    <n v="4630933"/>
    <n v="59"/>
    <n v="64859.830508474573"/>
    <n v="3826730"/>
    <n v="55"/>
    <n v="64036.4"/>
    <n v="3522002"/>
    <n v="64"/>
    <n v="54525.28125"/>
    <n v="3489618"/>
    <n v="62"/>
    <n v="53824.016129032258"/>
    <n v="3337089"/>
    <n v="57"/>
    <n v="43679.807017543862"/>
    <n v="2489749"/>
    <n v="55"/>
    <n v="43794.127272727274"/>
    <n v="2408677"/>
    <m/>
    <m/>
    <n v="0"/>
    <m/>
    <m/>
    <n v="0"/>
    <m/>
    <m/>
    <n v="0"/>
    <m/>
    <m/>
    <n v="0"/>
    <n v="1"/>
    <n v="114645"/>
    <n v="93802.539000000004"/>
    <n v="3"/>
    <n v="93112.666666666672"/>
    <n v="228554.35160000002"/>
    <n v="2"/>
    <n v="78490"/>
    <n v="128441.03600000001"/>
    <n v="4"/>
    <n v="84922.5"/>
    <n v="277934.35800000001"/>
    <n v="2"/>
    <n v="52325"/>
    <n v="85624.63"/>
    <n v="3"/>
    <n v="54913"/>
    <n v="134789.4498"/>
    <n v="1"/>
    <n v="48851"/>
    <n v="39969.888200000001"/>
    <n v="4"/>
    <n v="48427"/>
    <n v="158491.88560000001"/>
    <m/>
    <m/>
    <n v="0"/>
    <m/>
    <m/>
    <n v="0"/>
    <m/>
    <m/>
    <n v="0"/>
    <m/>
    <m/>
    <n v="0"/>
  </r>
  <r>
    <x v="0"/>
    <s v="Auburn University at Montgomery"/>
    <n v="100830"/>
    <x v="3"/>
    <n v="39"/>
    <n v="81221.282051282047"/>
    <n v="3167630"/>
    <n v="37"/>
    <n v="78562.972972972973"/>
    <n v="2906830"/>
    <n v="42"/>
    <n v="67167.380952380947"/>
    <n v="2821030"/>
    <n v="45"/>
    <n v="66771.777777777781"/>
    <n v="3004730"/>
    <n v="61"/>
    <n v="54596.229508196724"/>
    <n v="3330370"/>
    <n v="55"/>
    <n v="52760.727272727272"/>
    <n v="2901840"/>
    <n v="11"/>
    <n v="43656.36363636364"/>
    <n v="480220.00000000006"/>
    <n v="11"/>
    <n v="42546.63636363636"/>
    <n v="468012.99999999994"/>
    <n v="4"/>
    <n v="22036.25"/>
    <n v="88145"/>
    <n v="2"/>
    <n v="87970"/>
    <n v="175940"/>
    <m/>
    <m/>
    <n v="0"/>
    <m/>
    <m/>
    <n v="0"/>
    <n v="1"/>
    <n v="146320"/>
    <n v="119719.024"/>
    <n v="10"/>
    <n v="99647"/>
    <n v="815311.75400000007"/>
    <m/>
    <m/>
    <n v="0"/>
    <n v="9"/>
    <n v="93750"/>
    <n v="690356.25"/>
    <m/>
    <m/>
    <n v="0"/>
    <n v="3"/>
    <n v="60816"/>
    <n v="149278.95360000001"/>
    <n v="3"/>
    <n v="63703.333333333336"/>
    <n v="156366.20200000002"/>
    <n v="3"/>
    <n v="65036.666666666664"/>
    <n v="159639.00200000001"/>
    <n v="4"/>
    <n v="83165"/>
    <n v="272182.41200000001"/>
    <n v="1"/>
    <n v="146320"/>
    <n v="119719.024"/>
    <m/>
    <m/>
    <n v="0"/>
    <m/>
    <m/>
    <n v="0"/>
  </r>
  <r>
    <x v="0"/>
    <s v="University of North Alabama"/>
    <n v="101879"/>
    <x v="3"/>
    <n v="63"/>
    <n v="76428"/>
    <n v="4814964"/>
    <n v="67"/>
    <n v="76377.746268656716"/>
    <n v="5117309"/>
    <n v="59"/>
    <n v="66158.779661016946"/>
    <n v="3903368"/>
    <n v="55"/>
    <n v="66188.872727272726"/>
    <n v="3640388"/>
    <n v="72"/>
    <n v="54726.736111111109"/>
    <n v="3940325"/>
    <n v="79"/>
    <n v="52825.189873417723"/>
    <n v="4173190"/>
    <n v="30"/>
    <n v="47527.466666666667"/>
    <n v="1425824"/>
    <n v="32"/>
    <n v="46288.875"/>
    <n v="1481244"/>
    <m/>
    <m/>
    <n v="0"/>
    <m/>
    <m/>
    <n v="0"/>
    <m/>
    <m/>
    <n v="0"/>
    <m/>
    <m/>
    <n v="0"/>
    <n v="3"/>
    <n v="92172.666666666672"/>
    <n v="226247.0276"/>
    <n v="5"/>
    <n v="91721.8"/>
    <n v="375233.88380000001"/>
    <n v="1"/>
    <n v="87647"/>
    <n v="71712.775399999999"/>
    <m/>
    <m/>
    <n v="0"/>
    <n v="2"/>
    <n v="69122.5"/>
    <n v="113112.05900000001"/>
    <n v="4"/>
    <n v="66254.75"/>
    <n v="216838.54580000002"/>
    <n v="1"/>
    <n v="66300"/>
    <n v="54246.66"/>
    <m/>
    <m/>
    <n v="0"/>
    <m/>
    <m/>
    <n v="0"/>
    <n v="0"/>
    <m/>
    <n v="0"/>
    <m/>
    <m/>
    <n v="0"/>
    <m/>
    <m/>
    <n v="0"/>
  </r>
  <r>
    <x v="0"/>
    <s v="University of Montevallo"/>
    <n v="101709"/>
    <x v="4"/>
    <n v="34"/>
    <n v="75152.647058823524"/>
    <n v="2555190"/>
    <n v="33"/>
    <n v="78610.606060606064"/>
    <n v="2594150"/>
    <n v="37"/>
    <n v="60906.891891891893"/>
    <n v="2253555"/>
    <n v="38"/>
    <n v="64100.92105263158"/>
    <n v="2435835"/>
    <n v="47"/>
    <n v="49005.851063829788"/>
    <n v="2303275"/>
    <n v="49"/>
    <n v="51384.244897959186"/>
    <n v="2517828"/>
    <n v="18"/>
    <n v="38315.444444444445"/>
    <n v="689678"/>
    <n v="18"/>
    <n v="38559.5"/>
    <n v="694071"/>
    <m/>
    <m/>
    <n v="0"/>
    <m/>
    <m/>
    <n v="0"/>
    <m/>
    <m/>
    <n v="0"/>
    <m/>
    <m/>
    <n v="0"/>
    <m/>
    <m/>
    <n v="0"/>
    <m/>
    <m/>
    <n v="0"/>
    <m/>
    <m/>
    <n v="0"/>
    <m/>
    <m/>
    <n v="0"/>
    <m/>
    <m/>
    <n v="0"/>
    <m/>
    <m/>
    <n v="0"/>
    <m/>
    <m/>
    <n v="0"/>
    <m/>
    <m/>
    <n v="0"/>
    <m/>
    <m/>
    <n v="0"/>
    <m/>
    <m/>
    <n v="0"/>
    <m/>
    <m/>
    <n v="0"/>
    <m/>
    <m/>
    <n v="0"/>
  </r>
  <r>
    <x v="0"/>
    <s v="University of West Alabama"/>
    <n v="101587"/>
    <x v="4"/>
    <n v="18"/>
    <n v="64138"/>
    <n v="1154484"/>
    <n v="16"/>
    <n v="67639.5"/>
    <n v="1082232"/>
    <n v="25"/>
    <n v="62476.4"/>
    <n v="1561910"/>
    <n v="21"/>
    <n v="61547.047619047618"/>
    <n v="1292488"/>
    <n v="33"/>
    <n v="47201.63636363636"/>
    <n v="1557654"/>
    <n v="43"/>
    <n v="51200.604651162794"/>
    <n v="2201626"/>
    <n v="5"/>
    <n v="44113.8"/>
    <n v="220569"/>
    <n v="10"/>
    <n v="40704.5"/>
    <n v="407045"/>
    <n v="11"/>
    <n v="32680.909090909092"/>
    <n v="359490"/>
    <n v="7"/>
    <n v="31300.142857142859"/>
    <n v="219101"/>
    <m/>
    <m/>
    <n v="0"/>
    <m/>
    <m/>
    <n v="0"/>
    <m/>
    <m/>
    <n v="0"/>
    <m/>
    <m/>
    <n v="0"/>
    <m/>
    <m/>
    <n v="0"/>
    <m/>
    <m/>
    <n v="0"/>
    <m/>
    <m/>
    <n v="0"/>
    <m/>
    <m/>
    <n v="0"/>
    <m/>
    <m/>
    <n v="0"/>
    <m/>
    <m/>
    <n v="0"/>
    <m/>
    <m/>
    <n v="0"/>
    <n v="6"/>
    <n v="28263"/>
    <n v="138748.71960000001"/>
    <m/>
    <m/>
    <n v="0"/>
    <m/>
    <m/>
    <n v="0"/>
  </r>
  <r>
    <x v="0"/>
    <s v="Athens State University"/>
    <n v="100812"/>
    <x v="5"/>
    <n v="20"/>
    <n v="83262.5"/>
    <n v="1665250"/>
    <n v="18"/>
    <n v="84069.111111111109"/>
    <n v="1513244"/>
    <n v="21"/>
    <n v="68274.047619047618"/>
    <n v="1433755"/>
    <n v="20"/>
    <n v="72068"/>
    <n v="1441360"/>
    <n v="38"/>
    <n v="59697.684210526313"/>
    <n v="2268512"/>
    <n v="36"/>
    <n v="58922.166666666664"/>
    <n v="2121198"/>
    <n v="3"/>
    <n v="43317.333333333336"/>
    <n v="129952"/>
    <n v="1"/>
    <n v="59858"/>
    <n v="59858"/>
    <m/>
    <m/>
    <n v="0"/>
    <n v="3"/>
    <n v="65257.333333333336"/>
    <n v="195772"/>
    <m/>
    <m/>
    <n v="0"/>
    <m/>
    <m/>
    <n v="0"/>
    <n v="2"/>
    <n v="108820"/>
    <n v="178073.04800000001"/>
    <n v="3"/>
    <n v="101906"/>
    <n v="250138.4676"/>
    <m/>
    <m/>
    <n v="0"/>
    <m/>
    <m/>
    <n v="0"/>
    <m/>
    <m/>
    <n v="0"/>
    <m/>
    <m/>
    <n v="0"/>
    <n v="2"/>
    <n v="66633"/>
    <n v="109038.2412"/>
    <n v="2"/>
    <n v="35547"/>
    <n v="58169.110800000002"/>
    <m/>
    <m/>
    <n v="0"/>
    <m/>
    <m/>
    <n v="0"/>
    <m/>
    <m/>
    <n v="0"/>
    <m/>
    <m/>
    <n v="0"/>
  </r>
  <r>
    <x v="0"/>
    <s v="Jefferson State Community College"/>
    <n v="101505"/>
    <x v="6"/>
    <m/>
    <m/>
    <n v="0"/>
    <m/>
    <m/>
    <n v="0"/>
    <m/>
    <m/>
    <n v="0"/>
    <m/>
    <m/>
    <n v="0"/>
    <m/>
    <m/>
    <n v="0"/>
    <m/>
    <m/>
    <n v="0"/>
    <m/>
    <m/>
    <n v="0"/>
    <m/>
    <m/>
    <n v="0"/>
    <m/>
    <m/>
    <n v="0"/>
    <m/>
    <m/>
    <n v="0"/>
    <n v="135"/>
    <n v="51193.925925925927"/>
    <n v="6911180"/>
    <n v="136"/>
    <n v="52469.38970588235"/>
    <n v="7135837"/>
    <m/>
    <m/>
    <n v="0"/>
    <m/>
    <m/>
    <n v="0"/>
    <m/>
    <m/>
    <n v="0"/>
    <m/>
    <m/>
    <n v="0"/>
    <m/>
    <m/>
    <n v="0"/>
    <m/>
    <m/>
    <n v="0"/>
    <m/>
    <m/>
    <n v="0"/>
    <m/>
    <m/>
    <n v="0"/>
    <m/>
    <m/>
    <n v="0"/>
    <m/>
    <n v="0"/>
    <n v="0"/>
    <n v="15"/>
    <n v="65673.066666666666"/>
    <n v="806005.54720000003"/>
    <n v="16"/>
    <n v="63871.6875"/>
    <n v="836157.03540000005"/>
  </r>
  <r>
    <x v="0"/>
    <s v="John C. Calhoun State Community College "/>
    <n v="101514"/>
    <x v="6"/>
    <m/>
    <m/>
    <n v="0"/>
    <m/>
    <m/>
    <n v="0"/>
    <m/>
    <m/>
    <n v="0"/>
    <m/>
    <m/>
    <n v="0"/>
    <m/>
    <m/>
    <n v="0"/>
    <m/>
    <m/>
    <n v="0"/>
    <m/>
    <m/>
    <n v="0"/>
    <m/>
    <m/>
    <n v="0"/>
    <m/>
    <m/>
    <n v="0"/>
    <m/>
    <m/>
    <n v="0"/>
    <n v="120"/>
    <n v="56593.616666666669"/>
    <n v="6791234"/>
    <n v="140"/>
    <n v="54483.5"/>
    <n v="7627690"/>
    <m/>
    <m/>
    <n v="0"/>
    <m/>
    <m/>
    <n v="0"/>
    <m/>
    <m/>
    <n v="0"/>
    <m/>
    <m/>
    <n v="0"/>
    <m/>
    <m/>
    <n v="0"/>
    <m/>
    <m/>
    <n v="0"/>
    <m/>
    <m/>
    <n v="0"/>
    <m/>
    <m/>
    <n v="0"/>
    <m/>
    <m/>
    <n v="0"/>
    <m/>
    <m/>
    <n v="0"/>
    <m/>
    <m/>
    <n v="0"/>
    <m/>
    <m/>
    <n v="0"/>
  </r>
  <r>
    <x v="0"/>
    <s v="Bevill State Community College"/>
    <n v="102429"/>
    <x v="7"/>
    <m/>
    <m/>
    <n v="0"/>
    <m/>
    <m/>
    <n v="0"/>
    <m/>
    <m/>
    <n v="0"/>
    <m/>
    <m/>
    <n v="0"/>
    <m/>
    <m/>
    <n v="0"/>
    <m/>
    <m/>
    <n v="0"/>
    <m/>
    <m/>
    <n v="0"/>
    <m/>
    <m/>
    <n v="0"/>
    <m/>
    <m/>
    <n v="0"/>
    <m/>
    <m/>
    <n v="0"/>
    <n v="115"/>
    <n v="54010.6"/>
    <n v="6211219"/>
    <n v="120"/>
    <n v="54418.583333333336"/>
    <n v="6530230"/>
    <m/>
    <m/>
    <n v="0"/>
    <m/>
    <m/>
    <n v="0"/>
    <m/>
    <m/>
    <n v="0"/>
    <m/>
    <m/>
    <n v="0"/>
    <m/>
    <m/>
    <n v="0"/>
    <m/>
    <m/>
    <n v="0"/>
    <m/>
    <m/>
    <n v="0"/>
    <m/>
    <m/>
    <n v="0"/>
    <m/>
    <m/>
    <n v="0"/>
    <m/>
    <m/>
    <n v="0"/>
    <m/>
    <m/>
    <n v="0"/>
    <m/>
    <m/>
    <n v="0"/>
  </r>
  <r>
    <x v="0"/>
    <s v="Bishop State Community College"/>
    <n v="102030"/>
    <x v="7"/>
    <m/>
    <m/>
    <n v="0"/>
    <m/>
    <m/>
    <n v="0"/>
    <m/>
    <m/>
    <n v="0"/>
    <m/>
    <m/>
    <n v="0"/>
    <m/>
    <m/>
    <n v="0"/>
    <m/>
    <m/>
    <n v="0"/>
    <m/>
    <m/>
    <n v="0"/>
    <m/>
    <m/>
    <n v="0"/>
    <m/>
    <m/>
    <n v="0"/>
    <m/>
    <m/>
    <n v="0"/>
    <n v="110"/>
    <n v="52491.8"/>
    <n v="5774098"/>
    <n v="93"/>
    <n v="53051.849462365593"/>
    <n v="4933822"/>
    <m/>
    <m/>
    <n v="0"/>
    <m/>
    <m/>
    <n v="0"/>
    <m/>
    <m/>
    <n v="0"/>
    <m/>
    <m/>
    <n v="0"/>
    <m/>
    <m/>
    <n v="0"/>
    <m/>
    <m/>
    <n v="0"/>
    <m/>
    <m/>
    <n v="0"/>
    <m/>
    <m/>
    <n v="0"/>
    <m/>
    <m/>
    <n v="0"/>
    <m/>
    <m/>
    <n v="0"/>
    <n v="2"/>
    <n v="57219.5"/>
    <n v="93633.98980000001"/>
    <n v="6"/>
    <n v="46157.166666666664"/>
    <n v="226594.76260000002"/>
  </r>
  <r>
    <x v="0"/>
    <s v="Gadsden State Community College"/>
    <n v="101240"/>
    <x v="7"/>
    <m/>
    <m/>
    <n v="0"/>
    <m/>
    <m/>
    <n v="0"/>
    <m/>
    <m/>
    <n v="0"/>
    <m/>
    <m/>
    <n v="0"/>
    <m/>
    <m/>
    <n v="0"/>
    <m/>
    <m/>
    <n v="0"/>
    <m/>
    <m/>
    <n v="0"/>
    <m/>
    <m/>
    <n v="0"/>
    <m/>
    <m/>
    <n v="0"/>
    <m/>
    <m/>
    <n v="0"/>
    <n v="146"/>
    <n v="53738.636986301368"/>
    <n v="7845841"/>
    <n v="150"/>
    <n v="53796.18"/>
    <n v="8069427"/>
    <m/>
    <m/>
    <n v="0"/>
    <m/>
    <m/>
    <n v="0"/>
    <m/>
    <m/>
    <n v="0"/>
    <m/>
    <m/>
    <n v="0"/>
    <m/>
    <m/>
    <n v="0"/>
    <m/>
    <m/>
    <n v="0"/>
    <m/>
    <m/>
    <n v="0"/>
    <m/>
    <m/>
    <n v="0"/>
    <m/>
    <m/>
    <n v="0"/>
    <m/>
    <m/>
    <n v="0"/>
    <m/>
    <m/>
    <n v="0"/>
    <m/>
    <m/>
    <n v="0"/>
  </r>
  <r>
    <x v="0"/>
    <s v="George C. Wallace Community College - Dothan"/>
    <n v="101286"/>
    <x v="7"/>
    <m/>
    <m/>
    <n v="0"/>
    <m/>
    <m/>
    <n v="0"/>
    <m/>
    <m/>
    <n v="0"/>
    <m/>
    <m/>
    <n v="0"/>
    <m/>
    <m/>
    <n v="0"/>
    <m/>
    <m/>
    <n v="0"/>
    <m/>
    <m/>
    <n v="0"/>
    <m/>
    <m/>
    <n v="0"/>
    <m/>
    <m/>
    <n v="0"/>
    <m/>
    <m/>
    <n v="0"/>
    <n v="124"/>
    <n v="51706.290322580644"/>
    <n v="6411580"/>
    <n v="123"/>
    <n v="51732.601626016258"/>
    <n v="6363110"/>
    <m/>
    <m/>
    <n v="0"/>
    <m/>
    <m/>
    <n v="0"/>
    <m/>
    <m/>
    <n v="0"/>
    <m/>
    <m/>
    <n v="0"/>
    <m/>
    <m/>
    <n v="0"/>
    <m/>
    <m/>
    <n v="0"/>
    <m/>
    <m/>
    <n v="0"/>
    <m/>
    <m/>
    <n v="0"/>
    <m/>
    <m/>
    <n v="0"/>
    <m/>
    <m/>
    <n v="0"/>
    <n v="2"/>
    <n v="61925.5"/>
    <n v="101334.8882"/>
    <n v="2"/>
    <n v="61925.5"/>
    <n v="101334.8882"/>
  </r>
  <r>
    <x v="0"/>
    <s v="James H. Faulkner State Community College"/>
    <n v="101161"/>
    <x v="7"/>
    <m/>
    <m/>
    <n v="0"/>
    <m/>
    <m/>
    <n v="0"/>
    <m/>
    <m/>
    <n v="0"/>
    <m/>
    <m/>
    <n v="0"/>
    <m/>
    <m/>
    <n v="0"/>
    <m/>
    <m/>
    <n v="0"/>
    <m/>
    <m/>
    <n v="0"/>
    <m/>
    <m/>
    <n v="0"/>
    <m/>
    <m/>
    <n v="0"/>
    <m/>
    <m/>
    <n v="0"/>
    <n v="57"/>
    <n v="51864.333333333336"/>
    <n v="2956267"/>
    <n v="59"/>
    <n v="54371.508474576272"/>
    <n v="3207919"/>
    <m/>
    <m/>
    <n v="0"/>
    <m/>
    <m/>
    <n v="0"/>
    <m/>
    <m/>
    <n v="0"/>
    <m/>
    <m/>
    <n v="0"/>
    <m/>
    <m/>
    <n v="0"/>
    <m/>
    <m/>
    <n v="0"/>
    <m/>
    <m/>
    <n v="0"/>
    <m/>
    <m/>
    <n v="0"/>
    <m/>
    <m/>
    <n v="0"/>
    <m/>
    <m/>
    <n v="0"/>
    <n v="12"/>
    <n v="77930.5"/>
    <n v="765152.82120000001"/>
    <n v="11"/>
    <n v="77309.272727272721"/>
    <n v="695798.91639999999"/>
  </r>
  <r>
    <x v="0"/>
    <s v="Lawson State Community College "/>
    <n v="101569"/>
    <x v="7"/>
    <m/>
    <m/>
    <n v="0"/>
    <m/>
    <m/>
    <n v="0"/>
    <m/>
    <m/>
    <n v="0"/>
    <m/>
    <m/>
    <n v="0"/>
    <m/>
    <m/>
    <n v="0"/>
    <m/>
    <m/>
    <n v="0"/>
    <m/>
    <m/>
    <n v="0"/>
    <m/>
    <m/>
    <n v="0"/>
    <m/>
    <m/>
    <n v="0"/>
    <m/>
    <m/>
    <n v="0"/>
    <n v="96"/>
    <n v="52788.833333333336"/>
    <n v="5067728"/>
    <n v="96"/>
    <n v="53480.177083333336"/>
    <n v="5134097"/>
    <m/>
    <m/>
    <n v="0"/>
    <m/>
    <m/>
    <n v="0"/>
    <m/>
    <m/>
    <n v="0"/>
    <m/>
    <m/>
    <n v="0"/>
    <m/>
    <m/>
    <n v="0"/>
    <m/>
    <m/>
    <n v="0"/>
    <m/>
    <m/>
    <n v="0"/>
    <m/>
    <m/>
    <n v="0"/>
    <m/>
    <m/>
    <n v="0"/>
    <m/>
    <m/>
    <n v="0"/>
    <m/>
    <m/>
    <n v="0"/>
    <m/>
    <m/>
    <n v="0"/>
  </r>
  <r>
    <x v="0"/>
    <s v="Northwest-Shoals Community College"/>
    <n v="101736"/>
    <x v="7"/>
    <m/>
    <m/>
    <n v="0"/>
    <m/>
    <m/>
    <n v="0"/>
    <m/>
    <m/>
    <n v="0"/>
    <m/>
    <m/>
    <n v="0"/>
    <m/>
    <m/>
    <n v="0"/>
    <m/>
    <m/>
    <n v="0"/>
    <m/>
    <m/>
    <n v="0"/>
    <m/>
    <m/>
    <n v="0"/>
    <m/>
    <m/>
    <n v="0"/>
    <m/>
    <m/>
    <n v="0"/>
    <n v="84"/>
    <n v="53484.857142857145"/>
    <n v="4492728"/>
    <n v="92"/>
    <n v="52451.065217391304"/>
    <n v="4825498"/>
    <m/>
    <m/>
    <n v="0"/>
    <m/>
    <m/>
    <n v="0"/>
    <m/>
    <m/>
    <n v="0"/>
    <m/>
    <m/>
    <n v="0"/>
    <m/>
    <m/>
    <n v="0"/>
    <m/>
    <m/>
    <n v="0"/>
    <m/>
    <m/>
    <n v="0"/>
    <m/>
    <m/>
    <n v="0"/>
    <m/>
    <m/>
    <n v="0"/>
    <m/>
    <m/>
    <n v="0"/>
    <n v="1"/>
    <n v="62524"/>
    <n v="51157.1368"/>
    <m/>
    <m/>
    <n v="0"/>
  </r>
  <r>
    <x v="0"/>
    <s v="Shelton State Community College"/>
    <n v="102067"/>
    <x v="7"/>
    <m/>
    <m/>
    <n v="0"/>
    <m/>
    <m/>
    <n v="0"/>
    <m/>
    <m/>
    <n v="0"/>
    <m/>
    <m/>
    <n v="0"/>
    <m/>
    <m/>
    <n v="0"/>
    <m/>
    <m/>
    <n v="0"/>
    <m/>
    <m/>
    <n v="0"/>
    <m/>
    <m/>
    <n v="0"/>
    <m/>
    <m/>
    <n v="0"/>
    <m/>
    <m/>
    <n v="0"/>
    <n v="74"/>
    <n v="55104.810810810814"/>
    <n v="4077756"/>
    <n v="81"/>
    <n v="54336.91358024691"/>
    <n v="4401290"/>
    <m/>
    <m/>
    <n v="0"/>
    <m/>
    <m/>
    <n v="0"/>
    <m/>
    <m/>
    <n v="0"/>
    <m/>
    <m/>
    <n v="0"/>
    <m/>
    <m/>
    <n v="0"/>
    <m/>
    <m/>
    <n v="0"/>
    <m/>
    <m/>
    <n v="0"/>
    <m/>
    <m/>
    <n v="0"/>
    <m/>
    <m/>
    <n v="0"/>
    <m/>
    <m/>
    <n v="0"/>
    <n v="4"/>
    <n v="63376.25"/>
    <n v="207417.791"/>
    <m/>
    <m/>
    <n v="0"/>
  </r>
  <r>
    <x v="0"/>
    <s v="Southern Union State Community College"/>
    <n v="251260"/>
    <x v="7"/>
    <m/>
    <m/>
    <n v="0"/>
    <m/>
    <m/>
    <n v="0"/>
    <m/>
    <m/>
    <n v="0"/>
    <m/>
    <m/>
    <n v="0"/>
    <m/>
    <m/>
    <n v="0"/>
    <m/>
    <m/>
    <n v="0"/>
    <m/>
    <m/>
    <n v="0"/>
    <m/>
    <m/>
    <n v="0"/>
    <m/>
    <m/>
    <n v="0"/>
    <m/>
    <m/>
    <n v="0"/>
    <n v="86"/>
    <n v="51279.186046511626"/>
    <n v="4410010"/>
    <n v="88"/>
    <n v="51725.965909090912"/>
    <n v="4551885"/>
    <m/>
    <m/>
    <n v="0"/>
    <m/>
    <m/>
    <n v="0"/>
    <m/>
    <m/>
    <n v="0"/>
    <m/>
    <m/>
    <n v="0"/>
    <m/>
    <m/>
    <n v="0"/>
    <m/>
    <m/>
    <n v="0"/>
    <m/>
    <m/>
    <n v="0"/>
    <m/>
    <m/>
    <n v="0"/>
    <m/>
    <m/>
    <n v="0"/>
    <m/>
    <m/>
    <n v="0"/>
    <m/>
    <m/>
    <n v="0"/>
    <m/>
    <m/>
    <n v="0"/>
  </r>
  <r>
    <x v="0"/>
    <s v="Wallace Community College - Hanceville"/>
    <n v="101295"/>
    <x v="7"/>
    <m/>
    <m/>
    <n v="0"/>
    <m/>
    <m/>
    <n v="0"/>
    <m/>
    <m/>
    <n v="0"/>
    <m/>
    <m/>
    <n v="0"/>
    <m/>
    <m/>
    <n v="0"/>
    <m/>
    <m/>
    <n v="0"/>
    <m/>
    <m/>
    <n v="0"/>
    <m/>
    <m/>
    <n v="0"/>
    <m/>
    <m/>
    <n v="0"/>
    <m/>
    <m/>
    <n v="0"/>
    <n v="117"/>
    <n v="52773.025641025641"/>
    <n v="6174444"/>
    <n v="123"/>
    <n v="51992.642276422761"/>
    <n v="6395095"/>
    <m/>
    <m/>
    <n v="0"/>
    <m/>
    <m/>
    <n v="0"/>
    <m/>
    <m/>
    <n v="0"/>
    <m/>
    <m/>
    <n v="0"/>
    <m/>
    <m/>
    <n v="0"/>
    <m/>
    <m/>
    <n v="0"/>
    <m/>
    <m/>
    <n v="0"/>
    <m/>
    <m/>
    <n v="0"/>
    <m/>
    <m/>
    <n v="0"/>
    <m/>
    <m/>
    <n v="0"/>
    <m/>
    <m/>
    <n v="0"/>
    <m/>
    <m/>
    <n v="0"/>
  </r>
  <r>
    <x v="0"/>
    <s v="Alabama Southern Community College"/>
    <n v="101949"/>
    <x v="8"/>
    <m/>
    <m/>
    <n v="0"/>
    <m/>
    <m/>
    <n v="0"/>
    <m/>
    <m/>
    <n v="0"/>
    <m/>
    <m/>
    <n v="0"/>
    <m/>
    <m/>
    <n v="0"/>
    <m/>
    <m/>
    <n v="0"/>
    <m/>
    <m/>
    <n v="0"/>
    <m/>
    <m/>
    <n v="0"/>
    <m/>
    <m/>
    <n v="0"/>
    <m/>
    <m/>
    <n v="0"/>
    <n v="38"/>
    <n v="51761.026315789473"/>
    <n v="1966919"/>
    <n v="37"/>
    <n v="52329.135135135133"/>
    <n v="1936178"/>
    <m/>
    <m/>
    <n v="0"/>
    <m/>
    <m/>
    <n v="0"/>
    <m/>
    <m/>
    <n v="0"/>
    <m/>
    <m/>
    <n v="0"/>
    <m/>
    <m/>
    <n v="0"/>
    <m/>
    <m/>
    <n v="0"/>
    <m/>
    <m/>
    <n v="0"/>
    <m/>
    <m/>
    <n v="0"/>
    <m/>
    <m/>
    <n v="0"/>
    <m/>
    <m/>
    <n v="0"/>
    <n v="20"/>
    <n v="43933.599999999999"/>
    <n v="718929.43040000007"/>
    <n v="21"/>
    <n v="46974.857142857145"/>
    <n v="807131.39040000003"/>
  </r>
  <r>
    <x v="0"/>
    <s v="Central Alabama Community College"/>
    <n v="100760"/>
    <x v="8"/>
    <m/>
    <m/>
    <n v="0"/>
    <m/>
    <m/>
    <n v="0"/>
    <m/>
    <m/>
    <n v="0"/>
    <m/>
    <m/>
    <n v="0"/>
    <m/>
    <m/>
    <n v="0"/>
    <m/>
    <m/>
    <n v="0"/>
    <m/>
    <m/>
    <n v="0"/>
    <m/>
    <m/>
    <n v="0"/>
    <m/>
    <m/>
    <n v="0"/>
    <m/>
    <m/>
    <n v="0"/>
    <n v="60"/>
    <n v="52557.26666666667"/>
    <n v="3153436"/>
    <n v="57"/>
    <n v="54774.894736842107"/>
    <n v="3122169"/>
    <m/>
    <m/>
    <n v="0"/>
    <m/>
    <m/>
    <n v="0"/>
    <m/>
    <m/>
    <n v="0"/>
    <m/>
    <m/>
    <n v="0"/>
    <m/>
    <m/>
    <n v="0"/>
    <m/>
    <m/>
    <n v="0"/>
    <m/>
    <m/>
    <n v="0"/>
    <m/>
    <m/>
    <n v="0"/>
    <m/>
    <m/>
    <n v="0"/>
    <m/>
    <m/>
    <n v="0"/>
    <m/>
    <m/>
    <n v="0"/>
    <m/>
    <m/>
    <n v="0"/>
  </r>
  <r>
    <x v="0"/>
    <s v="Chattahoochee Valley State Community College "/>
    <n v="101028"/>
    <x v="8"/>
    <m/>
    <m/>
    <n v="0"/>
    <m/>
    <m/>
    <n v="0"/>
    <m/>
    <m/>
    <n v="0"/>
    <m/>
    <m/>
    <n v="0"/>
    <m/>
    <m/>
    <n v="0"/>
    <m/>
    <m/>
    <n v="0"/>
    <m/>
    <m/>
    <n v="0"/>
    <m/>
    <m/>
    <n v="0"/>
    <m/>
    <m/>
    <n v="0"/>
    <m/>
    <m/>
    <n v="0"/>
    <n v="33"/>
    <n v="52256.878787878784"/>
    <n v="1724477"/>
    <n v="31"/>
    <n v="54890.870967741932"/>
    <n v="1701617"/>
    <m/>
    <m/>
    <n v="0"/>
    <m/>
    <m/>
    <n v="0"/>
    <m/>
    <m/>
    <n v="0"/>
    <m/>
    <m/>
    <n v="0"/>
    <m/>
    <m/>
    <n v="0"/>
    <m/>
    <m/>
    <n v="0"/>
    <m/>
    <m/>
    <n v="0"/>
    <m/>
    <m/>
    <n v="0"/>
    <m/>
    <m/>
    <n v="0"/>
    <m/>
    <m/>
    <n v="0"/>
    <m/>
    <m/>
    <n v="0"/>
    <m/>
    <m/>
    <n v="0"/>
  </r>
  <r>
    <x v="0"/>
    <s v="Enterprise-Ozark Community College "/>
    <n v="101143"/>
    <x v="8"/>
    <m/>
    <m/>
    <n v="0"/>
    <m/>
    <m/>
    <n v="0"/>
    <m/>
    <m/>
    <n v="0"/>
    <m/>
    <m/>
    <n v="0"/>
    <m/>
    <m/>
    <n v="0"/>
    <m/>
    <m/>
    <n v="0"/>
    <m/>
    <m/>
    <n v="0"/>
    <m/>
    <m/>
    <n v="0"/>
    <m/>
    <m/>
    <n v="0"/>
    <m/>
    <m/>
    <n v="0"/>
    <n v="55"/>
    <n v="58716.781818181815"/>
    <n v="3229423"/>
    <n v="62"/>
    <n v="51593.758064516129"/>
    <n v="3198813"/>
    <m/>
    <m/>
    <n v="0"/>
    <m/>
    <m/>
    <n v="0"/>
    <m/>
    <m/>
    <n v="0"/>
    <m/>
    <m/>
    <n v="0"/>
    <m/>
    <m/>
    <n v="0"/>
    <m/>
    <m/>
    <n v="0"/>
    <m/>
    <m/>
    <n v="0"/>
    <m/>
    <m/>
    <n v="0"/>
    <m/>
    <m/>
    <n v="0"/>
    <m/>
    <m/>
    <n v="0"/>
    <n v="3"/>
    <n v="40721.666666666664"/>
    <n v="99955.403000000006"/>
    <m/>
    <m/>
    <n v="0"/>
  </r>
  <r>
    <x v="0"/>
    <s v="George Corley Wallace State Community College - Selma"/>
    <n v="101301"/>
    <x v="8"/>
    <m/>
    <m/>
    <n v="0"/>
    <m/>
    <m/>
    <n v="0"/>
    <m/>
    <m/>
    <n v="0"/>
    <m/>
    <m/>
    <n v="0"/>
    <m/>
    <m/>
    <n v="0"/>
    <m/>
    <m/>
    <n v="0"/>
    <m/>
    <m/>
    <n v="0"/>
    <m/>
    <m/>
    <n v="0"/>
    <m/>
    <m/>
    <n v="0"/>
    <m/>
    <m/>
    <n v="0"/>
    <n v="40"/>
    <n v="52404.800000000003"/>
    <n v="2096192"/>
    <n v="45"/>
    <n v="51234.400000000001"/>
    <n v="2305548"/>
    <m/>
    <m/>
    <n v="0"/>
    <m/>
    <m/>
    <n v="0"/>
    <m/>
    <m/>
    <n v="0"/>
    <m/>
    <m/>
    <n v="0"/>
    <m/>
    <m/>
    <n v="0"/>
    <m/>
    <m/>
    <n v="0"/>
    <m/>
    <m/>
    <n v="0"/>
    <m/>
    <m/>
    <n v="0"/>
    <m/>
    <m/>
    <n v="0"/>
    <m/>
    <m/>
    <n v="0"/>
    <m/>
    <m/>
    <n v="0"/>
    <m/>
    <m/>
    <n v="0"/>
  </r>
  <r>
    <x v="0"/>
    <s v="Jefferson Davis Community College"/>
    <n v="101499"/>
    <x v="8"/>
    <m/>
    <m/>
    <n v="0"/>
    <m/>
    <m/>
    <n v="0"/>
    <m/>
    <m/>
    <n v="0"/>
    <m/>
    <m/>
    <n v="0"/>
    <m/>
    <m/>
    <n v="0"/>
    <m/>
    <m/>
    <n v="0"/>
    <m/>
    <m/>
    <n v="0"/>
    <m/>
    <m/>
    <n v="0"/>
    <m/>
    <m/>
    <n v="0"/>
    <m/>
    <m/>
    <n v="0"/>
    <n v="39"/>
    <n v="53384.307692307695"/>
    <n v="2081988"/>
    <n v="37"/>
    <n v="52106.486486486487"/>
    <n v="1927940"/>
    <m/>
    <m/>
    <n v="0"/>
    <m/>
    <m/>
    <n v="0"/>
    <m/>
    <m/>
    <n v="0"/>
    <m/>
    <m/>
    <n v="0"/>
    <m/>
    <m/>
    <n v="0"/>
    <m/>
    <m/>
    <n v="0"/>
    <m/>
    <m/>
    <n v="0"/>
    <m/>
    <m/>
    <n v="0"/>
    <m/>
    <m/>
    <n v="0"/>
    <m/>
    <m/>
    <n v="0"/>
    <n v="3"/>
    <n v="79758.666666666672"/>
    <n v="195775.6232"/>
    <n v="4"/>
    <n v="77185.5"/>
    <n v="252612.70440000002"/>
  </r>
  <r>
    <x v="0"/>
    <s v="Lurleen B. Wallace Community College "/>
    <n v="101602"/>
    <x v="8"/>
    <m/>
    <m/>
    <n v="0"/>
    <m/>
    <m/>
    <n v="0"/>
    <m/>
    <m/>
    <n v="0"/>
    <m/>
    <m/>
    <n v="0"/>
    <m/>
    <m/>
    <n v="0"/>
    <m/>
    <m/>
    <n v="0"/>
    <m/>
    <m/>
    <n v="0"/>
    <m/>
    <m/>
    <n v="0"/>
    <m/>
    <m/>
    <n v="0"/>
    <m/>
    <m/>
    <n v="0"/>
    <n v="53"/>
    <n v="52609.792452830188"/>
    <n v="2788319"/>
    <n v="51"/>
    <n v="51954.156862745098"/>
    <n v="2649662"/>
    <m/>
    <m/>
    <n v="0"/>
    <m/>
    <m/>
    <n v="0"/>
    <m/>
    <m/>
    <n v="0"/>
    <m/>
    <m/>
    <n v="0"/>
    <m/>
    <m/>
    <n v="0"/>
    <m/>
    <m/>
    <n v="0"/>
    <m/>
    <m/>
    <n v="0"/>
    <m/>
    <m/>
    <n v="0"/>
    <m/>
    <m/>
    <n v="0"/>
    <m/>
    <m/>
    <n v="0"/>
    <m/>
    <m/>
    <n v="0"/>
    <m/>
    <m/>
    <n v="0"/>
  </r>
  <r>
    <x v="0"/>
    <s v="Northeast Alabama State Community College "/>
    <n v="101897"/>
    <x v="8"/>
    <m/>
    <m/>
    <n v="0"/>
    <m/>
    <m/>
    <n v="0"/>
    <m/>
    <m/>
    <n v="0"/>
    <m/>
    <m/>
    <n v="0"/>
    <m/>
    <m/>
    <n v="0"/>
    <m/>
    <m/>
    <n v="0"/>
    <m/>
    <m/>
    <n v="0"/>
    <m/>
    <m/>
    <n v="0"/>
    <m/>
    <m/>
    <n v="0"/>
    <m/>
    <m/>
    <n v="0"/>
    <n v="38"/>
    <n v="53757.868421052633"/>
    <n v="2042799"/>
    <n v="40"/>
    <n v="53873.5"/>
    <n v="2154940"/>
    <m/>
    <m/>
    <n v="0"/>
    <m/>
    <m/>
    <n v="0"/>
    <m/>
    <m/>
    <n v="0"/>
    <m/>
    <m/>
    <n v="0"/>
    <m/>
    <m/>
    <n v="0"/>
    <m/>
    <m/>
    <n v="0"/>
    <m/>
    <m/>
    <n v="0"/>
    <m/>
    <m/>
    <n v="0"/>
    <m/>
    <m/>
    <n v="0"/>
    <m/>
    <m/>
    <n v="0"/>
    <n v="5"/>
    <n v="77663.399999999994"/>
    <n v="317720.9694"/>
    <n v="6"/>
    <n v="82703.166666666672"/>
    <n v="406006.38580000005"/>
  </r>
  <r>
    <x v="0"/>
    <s v="Snead State Community College "/>
    <n v="102076"/>
    <x v="8"/>
    <m/>
    <m/>
    <n v="0"/>
    <m/>
    <m/>
    <n v="0"/>
    <m/>
    <m/>
    <n v="0"/>
    <m/>
    <m/>
    <n v="0"/>
    <m/>
    <m/>
    <n v="0"/>
    <m/>
    <m/>
    <n v="0"/>
    <m/>
    <m/>
    <n v="0"/>
    <m/>
    <m/>
    <n v="0"/>
    <m/>
    <m/>
    <n v="0"/>
    <m/>
    <m/>
    <n v="0"/>
    <n v="19"/>
    <n v="55678.57894736842"/>
    <n v="1057893"/>
    <n v="18"/>
    <n v="55192.777777777781"/>
    <n v="993470"/>
    <m/>
    <m/>
    <n v="0"/>
    <m/>
    <m/>
    <n v="0"/>
    <m/>
    <m/>
    <n v="0"/>
    <m/>
    <m/>
    <n v="0"/>
    <m/>
    <m/>
    <n v="0"/>
    <m/>
    <m/>
    <n v="0"/>
    <m/>
    <m/>
    <n v="0"/>
    <m/>
    <m/>
    <n v="0"/>
    <m/>
    <m/>
    <n v="0"/>
    <m/>
    <m/>
    <n v="0"/>
    <n v="15"/>
    <n v="74345.8"/>
    <n v="912446.00340000005"/>
    <n v="17"/>
    <n v="74570.823529411762"/>
    <n v="1037235.4128"/>
  </r>
  <r>
    <x v="0"/>
    <s v="Trenholm State Technical College "/>
    <n v="102313"/>
    <x v="9"/>
    <m/>
    <m/>
    <n v="0"/>
    <m/>
    <m/>
    <n v="0"/>
    <m/>
    <m/>
    <n v="0"/>
    <m/>
    <m/>
    <n v="0"/>
    <m/>
    <m/>
    <n v="0"/>
    <m/>
    <m/>
    <n v="0"/>
    <m/>
    <m/>
    <n v="0"/>
    <m/>
    <m/>
    <n v="0"/>
    <m/>
    <m/>
    <n v="0"/>
    <m/>
    <m/>
    <n v="0"/>
    <n v="59"/>
    <n v="52380.423728813563"/>
    <n v="3090445"/>
    <n v="59"/>
    <n v="52848.08474576271"/>
    <n v="3118037"/>
    <m/>
    <m/>
    <n v="0"/>
    <m/>
    <m/>
    <n v="0"/>
    <m/>
    <m/>
    <n v="0"/>
    <m/>
    <m/>
    <n v="0"/>
    <m/>
    <m/>
    <n v="0"/>
    <m/>
    <m/>
    <n v="0"/>
    <m/>
    <m/>
    <n v="0"/>
    <m/>
    <m/>
    <n v="0"/>
    <m/>
    <m/>
    <n v="0"/>
    <m/>
    <m/>
    <n v="0"/>
    <n v="7"/>
    <n v="86137.71428571429"/>
    <n v="493345.14480000001"/>
    <n v="7"/>
    <n v="88165.142857142855"/>
    <n v="504957.0392"/>
  </r>
  <r>
    <x v="0"/>
    <s v="J.F. Drake State Technical College "/>
    <n v="101462"/>
    <x v="10"/>
    <m/>
    <m/>
    <n v="0"/>
    <m/>
    <m/>
    <n v="0"/>
    <m/>
    <m/>
    <n v="0"/>
    <m/>
    <m/>
    <n v="0"/>
    <m/>
    <m/>
    <n v="0"/>
    <m/>
    <m/>
    <n v="0"/>
    <m/>
    <m/>
    <n v="0"/>
    <m/>
    <m/>
    <n v="0"/>
    <m/>
    <m/>
    <n v="0"/>
    <m/>
    <m/>
    <n v="0"/>
    <n v="25"/>
    <n v="49659.24"/>
    <n v="1241481"/>
    <n v="29"/>
    <n v="63521.413793103449"/>
    <n v="1842121"/>
    <m/>
    <m/>
    <n v="0"/>
    <m/>
    <m/>
    <n v="0"/>
    <m/>
    <m/>
    <n v="0"/>
    <m/>
    <m/>
    <n v="0"/>
    <m/>
    <m/>
    <n v="0"/>
    <m/>
    <m/>
    <n v="0"/>
    <m/>
    <m/>
    <n v="0"/>
    <m/>
    <m/>
    <n v="0"/>
    <m/>
    <m/>
    <n v="0"/>
    <m/>
    <m/>
    <n v="0"/>
    <m/>
    <m/>
    <n v="0"/>
    <m/>
    <m/>
    <n v="0"/>
  </r>
  <r>
    <x v="0"/>
    <s v="J.F. Ingram State Technical College "/>
    <n v="101471"/>
    <x v="10"/>
    <m/>
    <m/>
    <n v="0"/>
    <m/>
    <m/>
    <n v="0"/>
    <m/>
    <m/>
    <n v="0"/>
    <m/>
    <m/>
    <n v="0"/>
    <m/>
    <m/>
    <n v="0"/>
    <m/>
    <m/>
    <n v="0"/>
    <m/>
    <m/>
    <n v="0"/>
    <m/>
    <m/>
    <n v="0"/>
    <m/>
    <m/>
    <n v="0"/>
    <m/>
    <m/>
    <n v="0"/>
    <n v="16"/>
    <n v="46068.0625"/>
    <n v="737089"/>
    <n v="17"/>
    <n v="47717.058823529413"/>
    <n v="811190"/>
    <m/>
    <m/>
    <n v="0"/>
    <m/>
    <m/>
    <n v="0"/>
    <m/>
    <m/>
    <n v="0"/>
    <m/>
    <m/>
    <n v="0"/>
    <m/>
    <m/>
    <n v="0"/>
    <m/>
    <m/>
    <n v="0"/>
    <m/>
    <m/>
    <n v="0"/>
    <m/>
    <m/>
    <n v="0"/>
    <m/>
    <m/>
    <n v="0"/>
    <m/>
    <m/>
    <n v="0"/>
    <n v="18"/>
    <n v="83973.111111111109"/>
    <n v="1236722.3912"/>
    <n v="18"/>
    <n v="81712.444444444438"/>
    <n v="1203428.1968"/>
  </r>
  <r>
    <x v="0"/>
    <s v="Reid State Technical College "/>
    <n v="101994"/>
    <x v="10"/>
    <m/>
    <m/>
    <n v="0"/>
    <m/>
    <m/>
    <n v="0"/>
    <m/>
    <m/>
    <n v="0"/>
    <m/>
    <m/>
    <n v="0"/>
    <m/>
    <m/>
    <n v="0"/>
    <m/>
    <m/>
    <n v="0"/>
    <m/>
    <m/>
    <n v="0"/>
    <m/>
    <m/>
    <n v="0"/>
    <m/>
    <m/>
    <n v="0"/>
    <m/>
    <m/>
    <n v="0"/>
    <n v="21"/>
    <n v="50273.142857142855"/>
    <n v="1055736"/>
    <n v="19"/>
    <n v="50639.052631578947"/>
    <n v="962142"/>
    <m/>
    <m/>
    <n v="0"/>
    <m/>
    <m/>
    <n v="0"/>
    <m/>
    <m/>
    <n v="0"/>
    <m/>
    <m/>
    <n v="0"/>
    <m/>
    <m/>
    <n v="0"/>
    <m/>
    <m/>
    <n v="0"/>
    <m/>
    <m/>
    <n v="0"/>
    <m/>
    <m/>
    <n v="0"/>
    <m/>
    <m/>
    <n v="0"/>
    <m/>
    <m/>
    <n v="0"/>
    <n v="5"/>
    <n v="63547.199999999997"/>
    <n v="259971.59520000001"/>
    <n v="6"/>
    <n v="53948.166666666664"/>
    <n v="264842.33980000002"/>
  </r>
  <r>
    <x v="1"/>
    <s v="University of Arkansas, Fayetteville"/>
    <n v="106397"/>
    <x v="0"/>
    <n v="204"/>
    <n v="100551"/>
    <n v="20512404"/>
    <n v="211"/>
    <n v="103195"/>
    <n v="21774145"/>
    <n v="152"/>
    <n v="73009"/>
    <n v="11097368"/>
    <n v="150"/>
    <n v="73928"/>
    <n v="11089200"/>
    <n v="127"/>
    <n v="64792"/>
    <n v="8228584"/>
    <n v="148.00065779856746"/>
    <n v="68410"/>
    <n v="10124725"/>
    <n v="71"/>
    <n v="40707"/>
    <n v="2890197"/>
    <n v="90"/>
    <n v="38816"/>
    <n v="3493440"/>
    <n v="60"/>
    <n v="40378"/>
    <n v="2422680"/>
    <m/>
    <m/>
    <n v="0"/>
    <m/>
    <m/>
    <n v="0"/>
    <m/>
    <m/>
    <n v="0"/>
    <n v="145"/>
    <n v="116675"/>
    <n v="13842205.325000001"/>
    <n v="140"/>
    <n v="122591"/>
    <n v="14042553.868000001"/>
    <n v="67"/>
    <n v="84660"/>
    <n v="4641010.4040000001"/>
    <n v="69"/>
    <n v="87790"/>
    <n v="4956254.682"/>
    <n v="8"/>
    <n v="78430"/>
    <n v="513371.408"/>
    <n v="16"/>
    <n v="75813"/>
    <n v="992483.14560000005"/>
    <n v="30"/>
    <n v="52707"/>
    <n v="1293746.0220000001"/>
    <n v="25"/>
    <n v="52908"/>
    <n v="1082233.1400000001"/>
    <n v="10"/>
    <n v="55955"/>
    <n v="457823.81"/>
    <m/>
    <m/>
    <n v="0"/>
    <m/>
    <m/>
    <n v="0"/>
    <m/>
    <m/>
    <n v="0"/>
  </r>
  <r>
    <x v="1"/>
    <s v="Arkansas State University"/>
    <n v="106458"/>
    <x v="2"/>
    <n v="75"/>
    <n v="72681"/>
    <n v="5451075"/>
    <n v="75"/>
    <n v="73739"/>
    <n v="5530425"/>
    <n v="89"/>
    <n v="58920"/>
    <n v="5243880"/>
    <n v="97"/>
    <n v="59975"/>
    <n v="5817575"/>
    <n v="136"/>
    <n v="53100"/>
    <n v="7221600"/>
    <n v="133.99981342935502"/>
    <n v="53599"/>
    <n v="7182255.9999999991"/>
    <n v="89"/>
    <n v="37421"/>
    <n v="3330469"/>
    <n v="93"/>
    <n v="37008"/>
    <n v="3441744"/>
    <n v="31"/>
    <n v="37475"/>
    <n v="1161725"/>
    <m/>
    <m/>
    <n v="0"/>
    <m/>
    <m/>
    <n v="0"/>
    <m/>
    <m/>
    <n v="0"/>
    <n v="21"/>
    <n v="101386"/>
    <n v="1742034.5292"/>
    <n v="19"/>
    <n v="99824"/>
    <n v="1551843.9392000001"/>
    <n v="21"/>
    <n v="88457"/>
    <n v="1519885.8654"/>
    <n v="18"/>
    <n v="86933"/>
    <n v="1280314.4508"/>
    <n v="15"/>
    <n v="64026"/>
    <n v="785791.098"/>
    <n v="13"/>
    <n v="66030"/>
    <n v="702334.69799999997"/>
    <n v="13"/>
    <n v="43233"/>
    <n v="459852.12780000002"/>
    <n v="12"/>
    <n v="41555"/>
    <n v="408003.61200000002"/>
    <n v="0"/>
    <n v="0"/>
    <n v="0"/>
    <m/>
    <m/>
    <n v="0"/>
    <m/>
    <m/>
    <n v="0"/>
    <m/>
    <m/>
    <n v="0"/>
  </r>
  <r>
    <x v="1"/>
    <s v="University of Arkansas at Little Rock"/>
    <n v="106245"/>
    <x v="2"/>
    <n v="102"/>
    <n v="84031"/>
    <n v="8571162"/>
    <n v="110"/>
    <n v="83158"/>
    <n v="9147380"/>
    <n v="98"/>
    <n v="67880"/>
    <n v="6652240"/>
    <n v="111"/>
    <n v="67912"/>
    <n v="7538232"/>
    <n v="125"/>
    <n v="57130"/>
    <n v="7141250"/>
    <n v="111.00069542238217"/>
    <n v="57519"/>
    <n v="6384649"/>
    <n v="65"/>
    <n v="39971"/>
    <n v="2598115"/>
    <n v="87"/>
    <n v="40297"/>
    <n v="3505839"/>
    <n v="0"/>
    <n v="0"/>
    <n v="0"/>
    <n v="5"/>
    <n v="49921"/>
    <n v="249605"/>
    <m/>
    <m/>
    <n v="0"/>
    <m/>
    <m/>
    <n v="0"/>
    <n v="37"/>
    <n v="97046"/>
    <n v="2937912.3764"/>
    <n v="39"/>
    <n v="95567"/>
    <n v="3049523.8566000001"/>
    <n v="12"/>
    <n v="82633"/>
    <n v="811323.84720000008"/>
    <n v="12"/>
    <n v="87209"/>
    <n v="856252.8456"/>
    <n v="19"/>
    <n v="63615"/>
    <n v="988946.06700000004"/>
    <n v="15"/>
    <n v="59484"/>
    <n v="730047.13199999998"/>
    <n v="15"/>
    <n v="51323"/>
    <n v="629887.179"/>
    <n v="17"/>
    <n v="52380"/>
    <n v="728574.37200000009"/>
    <n v="1"/>
    <n v="39000"/>
    <n v="31909.800000000003"/>
    <n v="5"/>
    <n v="39723"/>
    <n v="162506.79300000001"/>
    <m/>
    <m/>
    <n v="0"/>
    <m/>
    <m/>
    <n v="0"/>
  </r>
  <r>
    <x v="1"/>
    <s v="University of Central Arkansas "/>
    <n v="106704"/>
    <x v="2"/>
    <n v="64"/>
    <n v="76302"/>
    <n v="4883328"/>
    <n v="65"/>
    <n v="76675"/>
    <n v="4983875"/>
    <n v="76"/>
    <n v="60130"/>
    <n v="4569880"/>
    <n v="79"/>
    <n v="62011"/>
    <n v="4898869"/>
    <n v="166"/>
    <n v="52883"/>
    <n v="8778578"/>
    <n v="158.99859440609208"/>
    <n v="56204"/>
    <n v="8936357"/>
    <n v="86"/>
    <n v="41142"/>
    <n v="3538212"/>
    <n v="119"/>
    <n v="44074"/>
    <n v="5244806"/>
    <n v="52"/>
    <n v="41081"/>
    <n v="2136212"/>
    <m/>
    <m/>
    <n v="0"/>
    <m/>
    <m/>
    <n v="0"/>
    <m/>
    <m/>
    <n v="0"/>
    <n v="27"/>
    <n v="95911"/>
    <n v="2118808.2653999999"/>
    <n v="29"/>
    <n v="97151"/>
    <n v="2305179.4978"/>
    <n v="18"/>
    <n v="94471"/>
    <n v="1391331.0996000001"/>
    <n v="12"/>
    <n v="90154"/>
    <n v="885168.03360000008"/>
    <n v="4"/>
    <n v="76488"/>
    <n v="250329.92640000003"/>
    <m/>
    <m/>
    <n v="0"/>
    <n v="12"/>
    <n v="53266"/>
    <n v="522986.89440000005"/>
    <n v="14"/>
    <n v="48890"/>
    <n v="560025.17200000002"/>
    <n v="5"/>
    <n v="51636"/>
    <n v="211242.87600000002"/>
    <m/>
    <m/>
    <n v="0"/>
    <m/>
    <m/>
    <n v="0"/>
    <m/>
    <m/>
    <n v="0"/>
  </r>
  <r>
    <x v="1"/>
    <s v="Arkansas Tech University"/>
    <n v="106467"/>
    <x v="3"/>
    <n v="32"/>
    <n v="64377"/>
    <n v="2060064"/>
    <n v="36"/>
    <n v="64888"/>
    <n v="2335968"/>
    <n v="67"/>
    <n v="55614"/>
    <n v="3726138"/>
    <n v="65"/>
    <n v="57795"/>
    <n v="3756675"/>
    <n v="101"/>
    <n v="47469"/>
    <n v="4794369"/>
    <n v="104.99967073446793"/>
    <n v="48593"/>
    <n v="5102249"/>
    <n v="25"/>
    <n v="35934"/>
    <n v="898350"/>
    <n v="26"/>
    <n v="37461"/>
    <n v="973986"/>
    <n v="14"/>
    <n v="32187"/>
    <n v="450618"/>
    <n v="28"/>
    <n v="40301"/>
    <n v="1128428"/>
    <m/>
    <m/>
    <n v="0"/>
    <m/>
    <m/>
    <n v="0"/>
    <n v="16"/>
    <n v="88929"/>
    <n v="1164187.3248000001"/>
    <n v="14"/>
    <n v="97828"/>
    <n v="1120600.1744000001"/>
    <n v="6"/>
    <n v="82747"/>
    <n v="406221.5724"/>
    <n v="5"/>
    <n v="90320"/>
    <n v="369499.12"/>
    <n v="2"/>
    <n v="65000"/>
    <n v="106366"/>
    <n v="3"/>
    <n v="68309"/>
    <n v="167671.2714"/>
    <n v="0"/>
    <n v="0"/>
    <n v="0"/>
    <m/>
    <m/>
    <n v="0"/>
    <n v="14"/>
    <n v="46466"/>
    <n v="532258.73680000007"/>
    <n v="8"/>
    <n v="39079"/>
    <n v="255795.5024"/>
    <m/>
    <m/>
    <n v="0"/>
    <m/>
    <m/>
    <n v="0"/>
  </r>
  <r>
    <x v="1"/>
    <s v="Henderson State University"/>
    <n v="107071"/>
    <x v="3"/>
    <n v="59"/>
    <n v="65898"/>
    <n v="3887982"/>
    <n v="51"/>
    <n v="64280"/>
    <n v="3278280"/>
    <n v="37"/>
    <n v="53631"/>
    <n v="1984347"/>
    <n v="34"/>
    <n v="53352"/>
    <n v="1813968"/>
    <n v="30"/>
    <n v="47649"/>
    <n v="1429470"/>
    <n v="37.9999371477656"/>
    <n v="47731"/>
    <n v="1813774.9999999998"/>
    <n v="22"/>
    <n v="40624"/>
    <n v="893728"/>
    <n v="26"/>
    <n v="40361"/>
    <n v="1049386"/>
    <n v="0"/>
    <n v="0"/>
    <n v="0"/>
    <m/>
    <m/>
    <n v="0"/>
    <m/>
    <m/>
    <n v="0"/>
    <m/>
    <m/>
    <n v="0"/>
    <n v="0"/>
    <n v="0"/>
    <n v="0"/>
    <n v="2"/>
    <n v="80636"/>
    <n v="131952.75040000002"/>
    <n v="0"/>
    <n v="0"/>
    <n v="0"/>
    <n v="1"/>
    <n v="70000"/>
    <n v="57274"/>
    <n v="3"/>
    <n v="62262"/>
    <n v="152828.3052"/>
    <n v="3"/>
    <n v="62262"/>
    <n v="152828.3052"/>
    <n v="7"/>
    <n v="46218"/>
    <n v="264708.97320000001"/>
    <n v="13"/>
    <n v="48150"/>
    <n v="512152.29000000004"/>
    <n v="3"/>
    <n v="58709"/>
    <n v="144107.11139999999"/>
    <m/>
    <m/>
    <n v="0"/>
    <m/>
    <m/>
    <n v="0"/>
    <m/>
    <m/>
    <n v="0"/>
  </r>
  <r>
    <x v="1"/>
    <s v="Southern Arkansas University"/>
    <n v="107983"/>
    <x v="4"/>
    <n v="19"/>
    <n v="69433"/>
    <n v="1319227"/>
    <n v="17"/>
    <n v="69980"/>
    <n v="1189660"/>
    <n v="34"/>
    <n v="55727"/>
    <n v="1894718"/>
    <n v="32"/>
    <n v="55738"/>
    <n v="1783616"/>
    <n v="54"/>
    <n v="46367"/>
    <n v="2503818"/>
    <n v="58"/>
    <n v="47543"/>
    <n v="2757494"/>
    <n v="23"/>
    <n v="40850"/>
    <n v="939550"/>
    <n v="24"/>
    <n v="40967"/>
    <n v="983208"/>
    <n v="0"/>
    <n v="0"/>
    <n v="0"/>
    <m/>
    <m/>
    <n v="0"/>
    <m/>
    <m/>
    <n v="0"/>
    <m/>
    <m/>
    <n v="0"/>
    <n v="4"/>
    <n v="92355"/>
    <n v="302259.44400000002"/>
    <n v="3"/>
    <n v="97554"/>
    <n v="239456.0484"/>
    <n v="2"/>
    <n v="97600"/>
    <n v="159712.64000000001"/>
    <n v="3"/>
    <n v="90322"/>
    <n v="221704.3812"/>
    <n v="3"/>
    <n v="67609"/>
    <n v="165953.0514"/>
    <n v="3"/>
    <n v="66180"/>
    <n v="162445.42800000001"/>
    <n v="13"/>
    <n v="44006"/>
    <n v="468074.21960000001"/>
    <n v="16"/>
    <n v="46377"/>
    <n v="607130.58240000007"/>
    <n v="0"/>
    <n v="0"/>
    <n v="0"/>
    <m/>
    <m/>
    <n v="0"/>
    <m/>
    <m/>
    <n v="0"/>
    <m/>
    <m/>
    <n v="0"/>
  </r>
  <r>
    <x v="1"/>
    <s v="University of Arkansas at Monticello"/>
    <n v="106485"/>
    <x v="4"/>
    <n v="19"/>
    <n v="57423"/>
    <n v="1091037"/>
    <n v="17"/>
    <n v="58246"/>
    <n v="990182"/>
    <n v="24"/>
    <n v="54961"/>
    <n v="1319064"/>
    <n v="24"/>
    <n v="55978"/>
    <n v="1343472"/>
    <n v="34"/>
    <n v="43671"/>
    <n v="1484814"/>
    <n v="32.00032358719519"/>
    <n v="43265"/>
    <n v="1384494"/>
    <n v="26"/>
    <n v="38701"/>
    <n v="1006226"/>
    <n v="25"/>
    <n v="39600"/>
    <n v="990000"/>
    <n v="3"/>
    <n v="41362"/>
    <n v="124086"/>
    <n v="4"/>
    <n v="37898"/>
    <n v="151592"/>
    <m/>
    <m/>
    <n v="0"/>
    <m/>
    <m/>
    <n v="0"/>
    <n v="7"/>
    <n v="92266"/>
    <n v="528444.28840000008"/>
    <n v="6"/>
    <n v="95237"/>
    <n v="467537.4804"/>
    <n v="2"/>
    <n v="71144"/>
    <n v="116420.04160000001"/>
    <n v="2"/>
    <n v="72344"/>
    <n v="118383.7216"/>
    <n v="7"/>
    <n v="62607"/>
    <n v="358575.33180000004"/>
    <n v="6"/>
    <n v="63891"/>
    <n v="313653.6972"/>
    <n v="7"/>
    <n v="46700"/>
    <n v="267469.58"/>
    <n v="7"/>
    <n v="45812"/>
    <n v="262383.64880000002"/>
    <n v="20"/>
    <n v="39520"/>
    <n v="646705.28"/>
    <n v="23"/>
    <n v="41531"/>
    <n v="781555.27659999998"/>
    <m/>
    <m/>
    <n v="0"/>
    <m/>
    <m/>
    <n v="0"/>
  </r>
  <r>
    <x v="1"/>
    <s v="University of Arkansas at Fort Smith"/>
    <n v="108092"/>
    <x v="5"/>
    <n v="8"/>
    <n v="78123"/>
    <n v="624984"/>
    <n v="7"/>
    <n v="74918"/>
    <n v="524426"/>
    <n v="36"/>
    <n v="66150"/>
    <n v="2381400"/>
    <n v="36"/>
    <n v="67770"/>
    <n v="2439720"/>
    <n v="79"/>
    <n v="54179"/>
    <n v="4280141"/>
    <n v="93.999744544193859"/>
    <n v="54804"/>
    <n v="5151562"/>
    <n v="45"/>
    <n v="43562"/>
    <n v="1960290"/>
    <n v="45"/>
    <n v="45967"/>
    <n v="2068515"/>
    <n v="10"/>
    <n v="36530"/>
    <n v="365300"/>
    <n v="9"/>
    <n v="40208"/>
    <n v="361872"/>
    <m/>
    <m/>
    <n v="0"/>
    <m/>
    <m/>
    <n v="0"/>
    <n v="1"/>
    <n v="96152"/>
    <n v="78671.566400000011"/>
    <n v="2"/>
    <n v="112064"/>
    <n v="183381.52960000001"/>
    <n v="1"/>
    <n v="78000"/>
    <n v="63819.600000000006"/>
    <n v="1"/>
    <n v="85000"/>
    <n v="69547"/>
    <n v="6"/>
    <n v="68213"/>
    <n v="334871.25959999999"/>
    <n v="6"/>
    <n v="74504"/>
    <n v="365755.0368"/>
    <n v="10"/>
    <n v="58108"/>
    <n v="475439.65600000002"/>
    <n v="13"/>
    <n v="59347"/>
    <n v="631250.30020000006"/>
    <n v="6"/>
    <n v="61929"/>
    <n v="304021.8468"/>
    <n v="2"/>
    <n v="54290"/>
    <n v="88840.156000000003"/>
    <m/>
    <m/>
    <n v="0"/>
    <m/>
    <m/>
    <n v="0"/>
  </r>
  <r>
    <x v="1"/>
    <s v="University of Arkansas at Pine Bluff"/>
    <n v="106412"/>
    <x v="5"/>
    <n v="18"/>
    <n v="56937"/>
    <n v="1024866"/>
    <n v="19"/>
    <n v="57809"/>
    <n v="1098371"/>
    <n v="16"/>
    <n v="51218"/>
    <n v="819488"/>
    <n v="17"/>
    <n v="50944"/>
    <n v="866048"/>
    <n v="28"/>
    <n v="45183"/>
    <n v="1265124"/>
    <n v="31.000263325360425"/>
    <n v="45571"/>
    <n v="1412713"/>
    <n v="38"/>
    <n v="36795"/>
    <n v="1398210"/>
    <n v="38"/>
    <n v="37060"/>
    <n v="1408280"/>
    <n v="0"/>
    <n v="0"/>
    <n v="0"/>
    <m/>
    <m/>
    <n v="0"/>
    <m/>
    <m/>
    <n v="0"/>
    <m/>
    <m/>
    <n v="0"/>
    <n v="16"/>
    <n v="75260"/>
    <n v="985243.71200000006"/>
    <n v="14"/>
    <n v="75074"/>
    <n v="859957.65520000004"/>
    <n v="14"/>
    <n v="62859"/>
    <n v="720037.27320000005"/>
    <n v="18"/>
    <n v="65858"/>
    <n v="969930.28080000007"/>
    <n v="20"/>
    <n v="55344"/>
    <n v="905649.21600000001"/>
    <n v="16"/>
    <n v="54747"/>
    <n v="716703.9264"/>
    <n v="14"/>
    <n v="42813"/>
    <n v="490414.35240000003"/>
    <n v="14"/>
    <n v="40720"/>
    <n v="466439.45600000001"/>
    <n v="0"/>
    <n v="0"/>
    <n v="0"/>
    <m/>
    <m/>
    <n v="0"/>
    <m/>
    <m/>
    <n v="0"/>
    <m/>
    <m/>
    <n v="0"/>
  </r>
  <r>
    <x v="1"/>
    <s v="Pulaski Technical College"/>
    <n v="107664"/>
    <x v="6"/>
    <n v="0"/>
    <n v="0"/>
    <n v="0"/>
    <m/>
    <m/>
    <n v="0"/>
    <n v="0"/>
    <n v="0"/>
    <n v="0"/>
    <m/>
    <m/>
    <n v="0"/>
    <n v="0"/>
    <n v="0"/>
    <n v="0"/>
    <m/>
    <m/>
    <n v="0"/>
    <n v="0"/>
    <n v="0"/>
    <n v="0"/>
    <m/>
    <m/>
    <n v="0"/>
    <n v="0"/>
    <n v="0"/>
    <n v="0"/>
    <m/>
    <m/>
    <n v="0"/>
    <n v="129"/>
    <n v="45959"/>
    <n v="5928711"/>
    <n v="141"/>
    <n v="43773"/>
    <n v="6171993"/>
    <n v="0"/>
    <n v="0"/>
    <n v="0"/>
    <m/>
    <m/>
    <n v="0"/>
    <n v="0"/>
    <n v="0"/>
    <n v="0"/>
    <m/>
    <m/>
    <n v="0"/>
    <n v="0"/>
    <n v="0"/>
    <n v="0"/>
    <m/>
    <m/>
    <n v="0"/>
    <n v="0"/>
    <n v="0"/>
    <n v="0"/>
    <n v="0"/>
    <n v="0"/>
    <n v="0"/>
    <n v="0"/>
    <n v="0"/>
    <n v="0"/>
    <m/>
    <m/>
    <n v="0"/>
    <n v="8"/>
    <n v="59539"/>
    <n v="389718.47840000002"/>
    <n v="10"/>
    <n v="58031"/>
    <n v="474809.64200000005"/>
  </r>
  <r>
    <x v="1"/>
    <s v="Arkansas State University-Beebe"/>
    <n v="106449"/>
    <x v="7"/>
    <n v="4"/>
    <n v="51725"/>
    <n v="206900"/>
    <n v="3"/>
    <n v="56215"/>
    <n v="168645"/>
    <n v="9"/>
    <n v="44305"/>
    <n v="398745"/>
    <n v="8"/>
    <n v="47952"/>
    <n v="383616"/>
    <n v="31"/>
    <n v="43682"/>
    <n v="1354142"/>
    <n v="29.999891065164817"/>
    <n v="45899"/>
    <n v="1376965"/>
    <n v="62"/>
    <n v="38648"/>
    <n v="2396176"/>
    <n v="66"/>
    <n v="40739"/>
    <n v="2688774"/>
    <n v="0"/>
    <n v="0"/>
    <n v="0"/>
    <m/>
    <m/>
    <n v="0"/>
    <n v="0"/>
    <n v="0"/>
    <n v="0"/>
    <n v="0"/>
    <n v="0"/>
    <n v="0"/>
    <n v="1"/>
    <n v="69621"/>
    <n v="56963.902200000004"/>
    <n v="2"/>
    <n v="88355"/>
    <n v="144584.122"/>
    <n v="1"/>
    <n v="70928"/>
    <n v="58033.289600000004"/>
    <n v="3"/>
    <n v="75285"/>
    <n v="184794.56100000002"/>
    <n v="8"/>
    <n v="61461"/>
    <n v="402299.12160000001"/>
    <n v="5"/>
    <n v="59451"/>
    <n v="243214.041"/>
    <n v="4"/>
    <n v="42050"/>
    <n v="137621.24000000002"/>
    <n v="4"/>
    <n v="0"/>
    <n v="0"/>
    <n v="0"/>
    <n v="0"/>
    <n v="0"/>
    <m/>
    <m/>
    <n v="0"/>
    <n v="0"/>
    <n v="0"/>
    <n v="0"/>
    <n v="0"/>
    <n v="0"/>
    <n v="0"/>
  </r>
  <r>
    <x v="1"/>
    <s v="Northwest Arkansas Community College "/>
    <n v="367459"/>
    <x v="7"/>
    <m/>
    <m/>
    <n v="0"/>
    <m/>
    <m/>
    <n v="0"/>
    <m/>
    <m/>
    <n v="0"/>
    <m/>
    <m/>
    <n v="0"/>
    <n v="0"/>
    <n v="0"/>
    <n v="0"/>
    <m/>
    <m/>
    <n v="0"/>
    <n v="0"/>
    <n v="0"/>
    <n v="0"/>
    <n v="0"/>
    <n v="0"/>
    <n v="0"/>
    <n v="0"/>
    <n v="0"/>
    <n v="0"/>
    <m/>
    <m/>
    <n v="0"/>
    <n v="124"/>
    <n v="48671"/>
    <n v="6035204"/>
    <n v="132"/>
    <n v="49769"/>
    <n v="6569508"/>
    <m/>
    <m/>
    <n v="0"/>
    <m/>
    <m/>
    <n v="0"/>
    <m/>
    <m/>
    <n v="0"/>
    <m/>
    <m/>
    <n v="0"/>
    <n v="0"/>
    <n v="0"/>
    <n v="0"/>
    <m/>
    <m/>
    <n v="0"/>
    <n v="0"/>
    <n v="0"/>
    <n v="0"/>
    <n v="0"/>
    <n v="0"/>
    <n v="0"/>
    <n v="0"/>
    <n v="0"/>
    <n v="0"/>
    <m/>
    <m/>
    <n v="0"/>
    <n v="0"/>
    <n v="0"/>
    <n v="0"/>
    <n v="0"/>
    <n v="0"/>
    <n v="0"/>
  </r>
  <r>
    <x v="1"/>
    <s v="Arkansas Northeastern College"/>
    <n v="107327"/>
    <x v="8"/>
    <m/>
    <m/>
    <n v="0"/>
    <m/>
    <m/>
    <n v="0"/>
    <m/>
    <m/>
    <n v="0"/>
    <m/>
    <m/>
    <n v="0"/>
    <n v="0"/>
    <n v="0"/>
    <n v="0"/>
    <n v="10.000020443208767"/>
    <n v="48916"/>
    <n v="489161.00000000006"/>
    <n v="0"/>
    <n v="0"/>
    <n v="0"/>
    <n v="32"/>
    <n v="39587"/>
    <n v="1266784"/>
    <n v="0"/>
    <n v="0"/>
    <n v="0"/>
    <m/>
    <m/>
    <n v="0"/>
    <n v="72"/>
    <n v="41168"/>
    <n v="2964096"/>
    <n v="0"/>
    <n v="0"/>
    <n v="0"/>
    <m/>
    <m/>
    <n v="0"/>
    <m/>
    <m/>
    <n v="0"/>
    <m/>
    <m/>
    <n v="0"/>
    <m/>
    <m/>
    <n v="0"/>
    <n v="0"/>
    <n v="0"/>
    <n v="0"/>
    <m/>
    <m/>
    <n v="0"/>
    <n v="0"/>
    <n v="0"/>
    <n v="0"/>
    <n v="0"/>
    <n v="0"/>
    <n v="0"/>
    <n v="0"/>
    <n v="0"/>
    <n v="0"/>
    <m/>
    <m/>
    <n v="0"/>
    <n v="4"/>
    <n v="65824"/>
    <n v="215428.78720000002"/>
    <n v="0"/>
    <n v="0"/>
    <n v="0"/>
  </r>
  <r>
    <x v="1"/>
    <s v="Arkansas State University Mountain Home"/>
    <n v="420538"/>
    <x v="8"/>
    <m/>
    <m/>
    <n v="0"/>
    <m/>
    <m/>
    <n v="0"/>
    <m/>
    <m/>
    <n v="0"/>
    <m/>
    <m/>
    <n v="0"/>
    <n v="11"/>
    <n v="46394"/>
    <n v="510334"/>
    <m/>
    <m/>
    <n v="0"/>
    <n v="29"/>
    <n v="38642"/>
    <n v="1120618"/>
    <n v="0"/>
    <n v="0"/>
    <n v="0"/>
    <n v="0"/>
    <n v="0"/>
    <n v="0"/>
    <n v="73"/>
    <n v="42568"/>
    <n v="3107464"/>
    <n v="0"/>
    <n v="0"/>
    <n v="0"/>
    <n v="0"/>
    <n v="0"/>
    <n v="0"/>
    <m/>
    <m/>
    <n v="0"/>
    <m/>
    <m/>
    <n v="0"/>
    <m/>
    <m/>
    <n v="0"/>
    <m/>
    <m/>
    <n v="0"/>
    <n v="0"/>
    <n v="0"/>
    <n v="0"/>
    <m/>
    <m/>
    <n v="0"/>
    <n v="0"/>
    <n v="0"/>
    <n v="0"/>
    <n v="0"/>
    <n v="0"/>
    <n v="0"/>
    <m/>
    <m/>
    <n v="0"/>
    <n v="5"/>
    <n v="63187"/>
    <n v="258498.01700000002"/>
    <n v="0"/>
    <n v="0"/>
    <n v="0"/>
    <n v="0"/>
    <n v="0"/>
    <n v="0"/>
  </r>
  <r>
    <x v="1"/>
    <s v="Arkansas State University-Newport"/>
    <n v="440402"/>
    <x v="8"/>
    <m/>
    <m/>
    <n v="0"/>
    <m/>
    <m/>
    <n v="0"/>
    <m/>
    <m/>
    <n v="0"/>
    <m/>
    <m/>
    <n v="0"/>
    <n v="21"/>
    <n v="39621"/>
    <n v="832041"/>
    <n v="19.000098468810005"/>
    <n v="40622"/>
    <n v="771822"/>
    <n v="1"/>
    <n v="35020"/>
    <n v="35020"/>
    <n v="34"/>
    <n v="37676"/>
    <n v="1280984"/>
    <m/>
    <m/>
    <n v="0"/>
    <m/>
    <m/>
    <n v="0"/>
    <n v="0"/>
    <n v="0"/>
    <n v="0"/>
    <n v="0"/>
    <n v="0"/>
    <n v="0"/>
    <m/>
    <m/>
    <n v="0"/>
    <m/>
    <m/>
    <n v="0"/>
    <m/>
    <m/>
    <n v="0"/>
    <m/>
    <m/>
    <n v="0"/>
    <n v="4"/>
    <n v="40610"/>
    <n v="132908.408"/>
    <n v="4"/>
    <n v="41740"/>
    <n v="136606.67200000002"/>
    <n v="19"/>
    <n v="41756"/>
    <n v="649130.42480000004"/>
    <n v="16"/>
    <n v="0"/>
    <n v="0"/>
    <m/>
    <m/>
    <n v="0"/>
    <m/>
    <m/>
    <n v="0"/>
    <n v="0"/>
    <n v="0"/>
    <n v="0"/>
    <n v="0"/>
    <n v="0"/>
    <n v="0"/>
  </r>
  <r>
    <x v="1"/>
    <s v="Black River Technical College"/>
    <n v="106625"/>
    <x v="8"/>
    <m/>
    <m/>
    <n v="0"/>
    <m/>
    <m/>
    <n v="0"/>
    <m/>
    <m/>
    <n v="0"/>
    <m/>
    <m/>
    <n v="0"/>
    <m/>
    <m/>
    <n v="0"/>
    <m/>
    <m/>
    <n v="0"/>
    <m/>
    <m/>
    <n v="0"/>
    <n v="0"/>
    <n v="0"/>
    <n v="0"/>
    <m/>
    <m/>
    <n v="0"/>
    <n v="58"/>
    <n v="40546"/>
    <n v="2351668"/>
    <n v="55"/>
    <n v="39229"/>
    <n v="2157595"/>
    <n v="0"/>
    <n v="0"/>
    <n v="0"/>
    <m/>
    <m/>
    <n v="0"/>
    <m/>
    <m/>
    <n v="0"/>
    <m/>
    <m/>
    <n v="0"/>
    <m/>
    <m/>
    <n v="0"/>
    <m/>
    <m/>
    <n v="0"/>
    <m/>
    <m/>
    <n v="0"/>
    <n v="0"/>
    <n v="0"/>
    <n v="0"/>
    <n v="0"/>
    <n v="0"/>
    <n v="0"/>
    <m/>
    <m/>
    <n v="0"/>
    <n v="5"/>
    <n v="45508"/>
    <n v="186173.228"/>
    <n v="6"/>
    <n v="49554"/>
    <n v="243270.49680000002"/>
    <n v="0"/>
    <n v="0"/>
    <n v="0"/>
  </r>
  <r>
    <x v="1"/>
    <s v="Cossatot Community College of the University of Arkansas"/>
    <n v="106795"/>
    <x v="8"/>
    <m/>
    <m/>
    <n v="0"/>
    <m/>
    <m/>
    <n v="0"/>
    <m/>
    <m/>
    <n v="0"/>
    <m/>
    <m/>
    <n v="0"/>
    <m/>
    <m/>
    <n v="0"/>
    <m/>
    <m/>
    <n v="0"/>
    <m/>
    <m/>
    <n v="0"/>
    <m/>
    <m/>
    <n v="0"/>
    <m/>
    <m/>
    <n v="0"/>
    <m/>
    <m/>
    <n v="0"/>
    <n v="25"/>
    <n v="38878"/>
    <n v="971950"/>
    <n v="26"/>
    <n v="40805"/>
    <n v="1060930"/>
    <m/>
    <m/>
    <n v="0"/>
    <m/>
    <m/>
    <n v="0"/>
    <m/>
    <m/>
    <n v="0"/>
    <m/>
    <m/>
    <n v="0"/>
    <m/>
    <m/>
    <n v="0"/>
    <m/>
    <m/>
    <n v="0"/>
    <m/>
    <m/>
    <n v="0"/>
    <n v="0"/>
    <n v="0"/>
    <n v="0"/>
    <m/>
    <m/>
    <n v="0"/>
    <m/>
    <m/>
    <n v="0"/>
    <n v="1"/>
    <n v="49306"/>
    <n v="40342.169200000004"/>
    <n v="0"/>
    <n v="0"/>
    <n v="0"/>
  </r>
  <r>
    <x v="1"/>
    <s v="East Arkansas Community College "/>
    <n v="106883"/>
    <x v="8"/>
    <m/>
    <m/>
    <n v="0"/>
    <m/>
    <m/>
    <n v="0"/>
    <m/>
    <m/>
    <n v="0"/>
    <m/>
    <m/>
    <n v="0"/>
    <m/>
    <m/>
    <n v="0"/>
    <m/>
    <m/>
    <n v="0"/>
    <m/>
    <m/>
    <n v="0"/>
    <m/>
    <m/>
    <n v="0"/>
    <m/>
    <m/>
    <n v="0"/>
    <n v="30"/>
    <n v="45910"/>
    <n v="1377300"/>
    <n v="30"/>
    <n v="44256"/>
    <n v="1327680"/>
    <n v="0"/>
    <n v="0"/>
    <n v="0"/>
    <m/>
    <m/>
    <n v="0"/>
    <m/>
    <m/>
    <n v="0"/>
    <m/>
    <m/>
    <n v="0"/>
    <m/>
    <m/>
    <n v="0"/>
    <m/>
    <m/>
    <n v="0"/>
    <m/>
    <m/>
    <n v="0"/>
    <m/>
    <m/>
    <n v="0"/>
    <n v="0"/>
    <n v="0"/>
    <n v="0"/>
    <m/>
    <m/>
    <n v="0"/>
    <n v="10"/>
    <n v="49439"/>
    <n v="404509.89800000004"/>
    <n v="9"/>
    <n v="59341"/>
    <n v="436975.25580000004"/>
    <n v="0"/>
    <n v="0"/>
    <n v="0"/>
  </r>
  <r>
    <x v="1"/>
    <s v="Mid-South Community College "/>
    <n v="107318"/>
    <x v="8"/>
    <m/>
    <m/>
    <n v="0"/>
    <m/>
    <m/>
    <n v="0"/>
    <m/>
    <m/>
    <n v="0"/>
    <m/>
    <m/>
    <n v="0"/>
    <m/>
    <m/>
    <n v="0"/>
    <m/>
    <m/>
    <n v="0"/>
    <m/>
    <m/>
    <n v="0"/>
    <m/>
    <m/>
    <n v="0"/>
    <m/>
    <m/>
    <n v="0"/>
    <m/>
    <m/>
    <n v="0"/>
    <n v="24"/>
    <n v="39358"/>
    <n v="944592"/>
    <n v="25"/>
    <n v="40626"/>
    <n v="1015650"/>
    <m/>
    <m/>
    <n v="0"/>
    <m/>
    <m/>
    <n v="0"/>
    <m/>
    <m/>
    <n v="0"/>
    <m/>
    <m/>
    <n v="0"/>
    <m/>
    <m/>
    <n v="0"/>
    <m/>
    <m/>
    <n v="0"/>
    <m/>
    <m/>
    <n v="0"/>
    <n v="0"/>
    <n v="0"/>
    <n v="0"/>
    <m/>
    <m/>
    <n v="0"/>
    <m/>
    <m/>
    <n v="0"/>
    <n v="11"/>
    <n v="51941"/>
    <n v="467479.38820000004"/>
    <n v="13"/>
    <n v="55106"/>
    <n v="586140.47960000008"/>
  </r>
  <r>
    <x v="1"/>
    <s v="National Park Community College"/>
    <n v="106980"/>
    <x v="8"/>
    <m/>
    <m/>
    <n v="0"/>
    <m/>
    <m/>
    <n v="0"/>
    <m/>
    <m/>
    <n v="0"/>
    <m/>
    <m/>
    <n v="0"/>
    <m/>
    <m/>
    <n v="0"/>
    <m/>
    <m/>
    <n v="0"/>
    <m/>
    <m/>
    <n v="0"/>
    <m/>
    <m/>
    <n v="0"/>
    <m/>
    <m/>
    <n v="0"/>
    <m/>
    <m/>
    <n v="0"/>
    <n v="76"/>
    <n v="41975"/>
    <n v="3190100"/>
    <n v="73"/>
    <n v="42340"/>
    <n v="3090820"/>
    <m/>
    <m/>
    <n v="0"/>
    <m/>
    <m/>
    <n v="0"/>
    <m/>
    <m/>
    <n v="0"/>
    <m/>
    <m/>
    <n v="0"/>
    <m/>
    <m/>
    <n v="0"/>
    <m/>
    <m/>
    <n v="0"/>
    <m/>
    <m/>
    <n v="0"/>
    <n v="0"/>
    <n v="0"/>
    <n v="0"/>
    <m/>
    <m/>
    <n v="0"/>
    <m/>
    <m/>
    <n v="0"/>
    <n v="18"/>
    <n v="51523"/>
    <n v="758810.1348"/>
    <n v="14"/>
    <n v="53418"/>
    <n v="611892.50640000007"/>
  </r>
  <r>
    <x v="1"/>
    <s v="North Arkansas College"/>
    <n v="107460"/>
    <x v="8"/>
    <m/>
    <m/>
    <n v="0"/>
    <m/>
    <m/>
    <n v="0"/>
    <m/>
    <m/>
    <n v="0"/>
    <m/>
    <m/>
    <n v="0"/>
    <m/>
    <m/>
    <n v="0"/>
    <m/>
    <m/>
    <n v="0"/>
    <m/>
    <m/>
    <n v="0"/>
    <m/>
    <m/>
    <n v="0"/>
    <m/>
    <m/>
    <n v="0"/>
    <n v="54"/>
    <n v="48685"/>
    <n v="2628990"/>
    <n v="55"/>
    <n v="47060"/>
    <n v="2588300"/>
    <n v="0"/>
    <n v="0"/>
    <n v="0"/>
    <m/>
    <m/>
    <n v="0"/>
    <m/>
    <m/>
    <n v="0"/>
    <m/>
    <m/>
    <n v="0"/>
    <m/>
    <m/>
    <n v="0"/>
    <m/>
    <m/>
    <n v="0"/>
    <m/>
    <m/>
    <n v="0"/>
    <m/>
    <m/>
    <n v="0"/>
    <n v="0"/>
    <n v="0"/>
    <n v="0"/>
    <m/>
    <m/>
    <n v="0"/>
    <n v="9"/>
    <n v="54198"/>
    <n v="399103.23240000004"/>
    <n v="13"/>
    <n v="53880"/>
    <n v="573100.00800000003"/>
    <n v="0"/>
    <n v="0"/>
    <n v="0"/>
  </r>
  <r>
    <x v="1"/>
    <s v="Ouachita Technical College "/>
    <n v="107521"/>
    <x v="8"/>
    <m/>
    <m/>
    <n v="0"/>
    <m/>
    <m/>
    <n v="0"/>
    <m/>
    <m/>
    <n v="0"/>
    <m/>
    <m/>
    <n v="0"/>
    <m/>
    <m/>
    <n v="0"/>
    <m/>
    <m/>
    <n v="0"/>
    <m/>
    <m/>
    <n v="0"/>
    <m/>
    <m/>
    <n v="0"/>
    <m/>
    <m/>
    <n v="0"/>
    <n v="34"/>
    <n v="42188"/>
    <n v="1434392"/>
    <n v="36"/>
    <n v="39749"/>
    <n v="1430964"/>
    <n v="0"/>
    <n v="0"/>
    <n v="0"/>
    <m/>
    <m/>
    <n v="0"/>
    <m/>
    <m/>
    <n v="0"/>
    <m/>
    <m/>
    <n v="0"/>
    <m/>
    <m/>
    <n v="0"/>
    <m/>
    <m/>
    <n v="0"/>
    <m/>
    <m/>
    <n v="0"/>
    <m/>
    <m/>
    <n v="0"/>
    <n v="0"/>
    <n v="0"/>
    <n v="0"/>
    <m/>
    <m/>
    <n v="0"/>
    <n v="7"/>
    <n v="37160"/>
    <n v="212830.18400000001"/>
    <n v="2"/>
    <n v="35487"/>
    <n v="58070.926800000001"/>
    <n v="0"/>
    <n v="0"/>
    <n v="0"/>
  </r>
  <r>
    <x v="1"/>
    <s v="Ozarka College "/>
    <n v="107549"/>
    <x v="8"/>
    <m/>
    <m/>
    <n v="0"/>
    <m/>
    <m/>
    <n v="0"/>
    <m/>
    <m/>
    <n v="0"/>
    <m/>
    <m/>
    <n v="0"/>
    <m/>
    <m/>
    <n v="0"/>
    <m/>
    <m/>
    <n v="0"/>
    <m/>
    <m/>
    <n v="0"/>
    <m/>
    <m/>
    <n v="0"/>
    <m/>
    <m/>
    <n v="0"/>
    <m/>
    <m/>
    <n v="0"/>
    <n v="29"/>
    <n v="38844"/>
    <n v="1126476"/>
    <n v="28"/>
    <n v="39281"/>
    <n v="1099868"/>
    <m/>
    <m/>
    <n v="0"/>
    <m/>
    <m/>
    <n v="0"/>
    <m/>
    <m/>
    <n v="0"/>
    <m/>
    <m/>
    <n v="0"/>
    <m/>
    <m/>
    <n v="0"/>
    <m/>
    <m/>
    <n v="0"/>
    <m/>
    <m/>
    <n v="0"/>
    <n v="0"/>
    <n v="0"/>
    <n v="0"/>
    <m/>
    <m/>
    <n v="0"/>
    <m/>
    <m/>
    <n v="0"/>
    <n v="4"/>
    <n v="45505"/>
    <n v="148928.764"/>
    <n v="6"/>
    <n v="47399"/>
    <n v="232691.17080000002"/>
  </r>
  <r>
    <x v="1"/>
    <s v="Phillips Community College of the Univ of Arkansas"/>
    <n v="107619"/>
    <x v="8"/>
    <m/>
    <m/>
    <n v="0"/>
    <m/>
    <m/>
    <n v="0"/>
    <m/>
    <m/>
    <n v="0"/>
    <m/>
    <m/>
    <n v="0"/>
    <m/>
    <m/>
    <n v="0"/>
    <m/>
    <m/>
    <n v="0"/>
    <m/>
    <m/>
    <n v="0"/>
    <m/>
    <m/>
    <n v="0"/>
    <m/>
    <m/>
    <n v="0"/>
    <m/>
    <m/>
    <n v="0"/>
    <n v="63"/>
    <n v="38854"/>
    <n v="2447802"/>
    <n v="65"/>
    <n v="38112"/>
    <n v="2477280"/>
    <m/>
    <m/>
    <n v="0"/>
    <m/>
    <m/>
    <n v="0"/>
    <m/>
    <m/>
    <n v="0"/>
    <m/>
    <m/>
    <n v="0"/>
    <m/>
    <m/>
    <n v="0"/>
    <m/>
    <m/>
    <n v="0"/>
    <m/>
    <m/>
    <n v="0"/>
    <n v="0"/>
    <n v="0"/>
    <n v="0"/>
    <m/>
    <m/>
    <n v="0"/>
    <m/>
    <m/>
    <n v="0"/>
    <n v="9"/>
    <n v="45428"/>
    <n v="334522.70640000002"/>
    <n v="14"/>
    <n v="45942"/>
    <n v="526256.4216"/>
  </r>
  <r>
    <x v="1"/>
    <s v="Rich Mountain Community College "/>
    <n v="107743"/>
    <x v="8"/>
    <m/>
    <m/>
    <n v="0"/>
    <m/>
    <m/>
    <n v="0"/>
    <m/>
    <m/>
    <n v="0"/>
    <m/>
    <m/>
    <n v="0"/>
    <m/>
    <m/>
    <n v="0"/>
    <m/>
    <m/>
    <n v="0"/>
    <m/>
    <m/>
    <n v="0"/>
    <m/>
    <m/>
    <n v="0"/>
    <m/>
    <m/>
    <n v="0"/>
    <n v="18"/>
    <n v="46262"/>
    <n v="832716"/>
    <n v="18"/>
    <n v="45536"/>
    <n v="819648"/>
    <n v="0"/>
    <n v="0"/>
    <n v="0"/>
    <m/>
    <m/>
    <n v="0"/>
    <m/>
    <m/>
    <n v="0"/>
    <m/>
    <m/>
    <n v="0"/>
    <m/>
    <m/>
    <n v="0"/>
    <m/>
    <m/>
    <n v="0"/>
    <m/>
    <m/>
    <n v="0"/>
    <m/>
    <m/>
    <n v="0"/>
    <n v="0"/>
    <n v="0"/>
    <n v="0"/>
    <m/>
    <m/>
    <n v="0"/>
    <n v="4"/>
    <n v="48214"/>
    <n v="157794.77920000002"/>
    <n v="4"/>
    <n v="47199"/>
    <n v="154472.8872"/>
    <n v="0"/>
    <n v="0"/>
    <n v="0"/>
  </r>
  <r>
    <x v="1"/>
    <s v="South Arkansas Community College"/>
    <n v="107974"/>
    <x v="8"/>
    <m/>
    <m/>
    <n v="0"/>
    <m/>
    <m/>
    <n v="0"/>
    <m/>
    <m/>
    <n v="0"/>
    <m/>
    <m/>
    <n v="0"/>
    <m/>
    <m/>
    <n v="0"/>
    <m/>
    <m/>
    <n v="0"/>
    <m/>
    <m/>
    <n v="0"/>
    <m/>
    <m/>
    <n v="0"/>
    <m/>
    <m/>
    <n v="0"/>
    <n v="36"/>
    <n v="44962"/>
    <n v="1618632"/>
    <n v="33"/>
    <n v="45033"/>
    <n v="1486089"/>
    <n v="0"/>
    <n v="0"/>
    <n v="0"/>
    <m/>
    <m/>
    <n v="0"/>
    <m/>
    <m/>
    <n v="0"/>
    <m/>
    <m/>
    <n v="0"/>
    <m/>
    <m/>
    <n v="0"/>
    <m/>
    <m/>
    <n v="0"/>
    <m/>
    <m/>
    <n v="0"/>
    <m/>
    <m/>
    <n v="0"/>
    <n v="0"/>
    <n v="0"/>
    <n v="0"/>
    <m/>
    <m/>
    <n v="0"/>
    <n v="26"/>
    <n v="50476"/>
    <n v="1073786.0432"/>
    <n v="25"/>
    <n v="48345"/>
    <n v="988896.97500000009"/>
    <n v="0"/>
    <n v="0"/>
    <n v="0"/>
  </r>
  <r>
    <x v="1"/>
    <s v="Southeast Arkansas College"/>
    <n v="107637"/>
    <x v="8"/>
    <m/>
    <m/>
    <n v="0"/>
    <m/>
    <m/>
    <n v="0"/>
    <m/>
    <m/>
    <n v="0"/>
    <m/>
    <m/>
    <n v="0"/>
    <m/>
    <m/>
    <n v="0"/>
    <m/>
    <m/>
    <n v="0"/>
    <m/>
    <m/>
    <n v="0"/>
    <m/>
    <m/>
    <n v="0"/>
    <m/>
    <m/>
    <n v="0"/>
    <m/>
    <m/>
    <n v="0"/>
    <n v="47"/>
    <n v="47313"/>
    <n v="2223711"/>
    <n v="47"/>
    <n v="44551"/>
    <n v="2093897"/>
    <m/>
    <m/>
    <n v="0"/>
    <m/>
    <m/>
    <n v="0"/>
    <m/>
    <m/>
    <n v="0"/>
    <m/>
    <m/>
    <n v="0"/>
    <m/>
    <m/>
    <n v="0"/>
    <m/>
    <m/>
    <n v="0"/>
    <m/>
    <m/>
    <n v="0"/>
    <n v="0"/>
    <n v="0"/>
    <n v="0"/>
    <m/>
    <m/>
    <n v="0"/>
    <m/>
    <m/>
    <n v="0"/>
    <n v="5"/>
    <n v="44731"/>
    <n v="182994.52100000001"/>
    <n v="4"/>
    <n v="51325"/>
    <n v="167976.46000000002"/>
  </r>
  <r>
    <x v="1"/>
    <s v="Southern Arkansas University Tech"/>
    <n v="107992"/>
    <x v="8"/>
    <m/>
    <m/>
    <n v="0"/>
    <m/>
    <m/>
    <n v="0"/>
    <m/>
    <m/>
    <n v="0"/>
    <m/>
    <m/>
    <n v="0"/>
    <m/>
    <m/>
    <n v="0"/>
    <m/>
    <m/>
    <n v="0"/>
    <m/>
    <m/>
    <n v="0"/>
    <m/>
    <m/>
    <n v="0"/>
    <m/>
    <m/>
    <n v="0"/>
    <m/>
    <m/>
    <n v="0"/>
    <n v="24"/>
    <n v="40837"/>
    <n v="980088"/>
    <n v="24"/>
    <n v="41654"/>
    <n v="999696"/>
    <m/>
    <m/>
    <n v="0"/>
    <m/>
    <m/>
    <n v="0"/>
    <m/>
    <m/>
    <n v="0"/>
    <m/>
    <m/>
    <n v="0"/>
    <m/>
    <m/>
    <n v="0"/>
    <m/>
    <m/>
    <n v="0"/>
    <m/>
    <m/>
    <n v="0"/>
    <n v="0"/>
    <n v="0"/>
    <n v="0"/>
    <m/>
    <m/>
    <n v="0"/>
    <m/>
    <m/>
    <n v="0"/>
    <n v="6"/>
    <n v="48028"/>
    <n v="235779.0576"/>
    <n v="6"/>
    <n v="48277"/>
    <n v="237001.44840000002"/>
  </r>
  <r>
    <x v="1"/>
    <s v="University of Arkansas Community College at Batesville"/>
    <n v="106999"/>
    <x v="8"/>
    <m/>
    <m/>
    <n v="0"/>
    <m/>
    <m/>
    <n v="0"/>
    <m/>
    <m/>
    <n v="0"/>
    <m/>
    <m/>
    <n v="0"/>
    <m/>
    <m/>
    <n v="0"/>
    <m/>
    <m/>
    <n v="0"/>
    <m/>
    <m/>
    <n v="0"/>
    <m/>
    <m/>
    <n v="0"/>
    <m/>
    <m/>
    <n v="0"/>
    <m/>
    <m/>
    <n v="0"/>
    <n v="30"/>
    <n v="36308"/>
    <n v="1089240"/>
    <n v="30"/>
    <n v="38918"/>
    <n v="1167540"/>
    <m/>
    <m/>
    <n v="0"/>
    <m/>
    <m/>
    <n v="0"/>
    <m/>
    <m/>
    <n v="0"/>
    <m/>
    <m/>
    <n v="0"/>
    <m/>
    <m/>
    <n v="0"/>
    <m/>
    <m/>
    <n v="0"/>
    <m/>
    <m/>
    <n v="0"/>
    <n v="0"/>
    <n v="0"/>
    <n v="0"/>
    <m/>
    <m/>
    <n v="0"/>
    <m/>
    <m/>
    <n v="0"/>
    <n v="18"/>
    <n v="47538"/>
    <n v="700120.64880000008"/>
    <n v="19"/>
    <n v="45805"/>
    <n v="712075.36900000006"/>
  </r>
  <r>
    <x v="1"/>
    <s v="University of Arkansas Community College at Hope"/>
    <n v="107725"/>
    <x v="8"/>
    <m/>
    <m/>
    <n v="0"/>
    <m/>
    <m/>
    <n v="0"/>
    <m/>
    <m/>
    <n v="0"/>
    <m/>
    <m/>
    <n v="0"/>
    <m/>
    <m/>
    <n v="0"/>
    <m/>
    <m/>
    <n v="0"/>
    <m/>
    <m/>
    <n v="0"/>
    <m/>
    <m/>
    <n v="0"/>
    <m/>
    <m/>
    <n v="0"/>
    <m/>
    <m/>
    <n v="0"/>
    <n v="34"/>
    <n v="39963"/>
    <n v="1358742"/>
    <n v="36"/>
    <n v="39996"/>
    <n v="1439856"/>
    <m/>
    <m/>
    <n v="0"/>
    <m/>
    <m/>
    <n v="0"/>
    <m/>
    <m/>
    <n v="0"/>
    <m/>
    <m/>
    <n v="0"/>
    <m/>
    <m/>
    <n v="0"/>
    <m/>
    <m/>
    <n v="0"/>
    <m/>
    <m/>
    <n v="0"/>
    <n v="0"/>
    <n v="0"/>
    <n v="0"/>
    <m/>
    <m/>
    <n v="0"/>
    <m/>
    <m/>
    <n v="0"/>
    <n v="4"/>
    <n v="59261"/>
    <n v="193949.4008"/>
    <n v="4"/>
    <n v="62459"/>
    <n v="204415.81520000001"/>
  </r>
  <r>
    <x v="1"/>
    <s v="University of Arkansas Community College at Morrilton"/>
    <n v="107585"/>
    <x v="8"/>
    <m/>
    <m/>
    <n v="0"/>
    <m/>
    <m/>
    <n v="0"/>
    <m/>
    <m/>
    <n v="0"/>
    <m/>
    <m/>
    <n v="0"/>
    <m/>
    <m/>
    <n v="0"/>
    <m/>
    <m/>
    <n v="0"/>
    <m/>
    <m/>
    <n v="0"/>
    <m/>
    <m/>
    <n v="0"/>
    <m/>
    <m/>
    <n v="0"/>
    <m/>
    <m/>
    <n v="0"/>
    <n v="53"/>
    <n v="40607"/>
    <n v="2152171"/>
    <n v="57"/>
    <n v="40605"/>
    <n v="2314485"/>
    <m/>
    <m/>
    <n v="0"/>
    <m/>
    <m/>
    <n v="0"/>
    <m/>
    <m/>
    <n v="0"/>
    <m/>
    <m/>
    <n v="0"/>
    <m/>
    <m/>
    <n v="0"/>
    <m/>
    <m/>
    <n v="0"/>
    <m/>
    <m/>
    <n v="0"/>
    <n v="0"/>
    <n v="0"/>
    <n v="0"/>
    <m/>
    <m/>
    <n v="0"/>
    <m/>
    <m/>
    <n v="0"/>
    <m/>
    <m/>
    <n v="0"/>
    <n v="0"/>
    <n v="0"/>
    <n v="0"/>
  </r>
  <r>
    <x v="2"/>
    <s v="University of Delaware"/>
    <n v="130943"/>
    <x v="0"/>
    <n v="336"/>
    <n v="125605"/>
    <n v="42203280"/>
    <n v="341"/>
    <n v="129217"/>
    <n v="44062997"/>
    <n v="302"/>
    <n v="83569"/>
    <n v="25237838"/>
    <n v="309"/>
    <n v="86890"/>
    <n v="26849010"/>
    <n v="285"/>
    <n v="68977"/>
    <n v="19658445"/>
    <n v="290"/>
    <n v="73807"/>
    <n v="21404030"/>
    <n v="108"/>
    <n v="54705"/>
    <n v="5908140"/>
    <n v="97"/>
    <n v="58245"/>
    <n v="5649765"/>
    <m/>
    <m/>
    <n v="0"/>
    <m/>
    <m/>
    <n v="0"/>
    <m/>
    <m/>
    <n v="0"/>
    <m/>
    <m/>
    <n v="0"/>
    <n v="42"/>
    <n v="133971"/>
    <n v="4603833.0323999999"/>
    <n v="41"/>
    <n v="140997"/>
    <n v="4729913.5614"/>
    <n v="20"/>
    <n v="102262"/>
    <n v="1673415.368"/>
    <n v="19"/>
    <n v="103885"/>
    <n v="1614975.433"/>
    <n v="13"/>
    <n v="88736"/>
    <n v="943849.33760000009"/>
    <n v="12"/>
    <n v="84843"/>
    <n v="833022.51120000007"/>
    <n v="10"/>
    <n v="70285"/>
    <n v="575071.87"/>
    <n v="8"/>
    <n v="61823"/>
    <n v="404668.62880000001"/>
    <n v="1"/>
    <n v="57907"/>
    <n v="47379.507400000002"/>
    <m/>
    <m/>
    <n v="0"/>
    <m/>
    <m/>
    <n v="0"/>
    <m/>
    <m/>
    <n v="0"/>
  </r>
  <r>
    <x v="2"/>
    <s v="Delaware State University"/>
    <n v="130934"/>
    <x v="3"/>
    <n v="26"/>
    <n v="81471"/>
    <n v="2118246"/>
    <n v="27"/>
    <n v="79657"/>
    <n v="2150739"/>
    <n v="90"/>
    <n v="64200"/>
    <n v="5778000"/>
    <n v="63"/>
    <n v="65318"/>
    <n v="4115034"/>
    <n v="8"/>
    <n v="56942"/>
    <n v="455536"/>
    <n v="47"/>
    <n v="60437"/>
    <n v="2840539"/>
    <n v="12"/>
    <n v="43159"/>
    <n v="517908"/>
    <n v="6"/>
    <n v="47357"/>
    <n v="284142"/>
    <n v="1"/>
    <n v="38786"/>
    <n v="38786"/>
    <n v="1"/>
    <n v="38786"/>
    <n v="38786"/>
    <m/>
    <m/>
    <n v="0"/>
    <m/>
    <m/>
    <n v="0"/>
    <n v="11"/>
    <n v="96782"/>
    <n v="871057.35640000005"/>
    <n v="12"/>
    <n v="99973"/>
    <n v="981574.90320000006"/>
    <n v="33"/>
    <n v="68593"/>
    <n v="1852052.1558000001"/>
    <n v="22"/>
    <n v="73671"/>
    <n v="1326107.4684000001"/>
    <n v="1"/>
    <n v="68340"/>
    <n v="55915.788"/>
    <n v="14"/>
    <n v="57000"/>
    <n v="652923.6"/>
    <n v="2"/>
    <n v="51500"/>
    <n v="84274.6"/>
    <n v="1"/>
    <n v="39000"/>
    <n v="31909.800000000003"/>
    <m/>
    <m/>
    <n v="0"/>
    <m/>
    <m/>
    <n v="0"/>
    <m/>
    <m/>
    <n v="0"/>
    <m/>
    <m/>
    <n v="0"/>
  </r>
  <r>
    <x v="2"/>
    <s v="Delaware Technical and Community College--Owens"/>
    <n v="130891"/>
    <x v="7"/>
    <m/>
    <m/>
    <n v="0"/>
    <m/>
    <m/>
    <n v="0"/>
    <m/>
    <m/>
    <n v="0"/>
    <m/>
    <m/>
    <n v="0"/>
    <m/>
    <m/>
    <n v="0"/>
    <m/>
    <m/>
    <n v="0"/>
    <m/>
    <m/>
    <n v="0"/>
    <m/>
    <m/>
    <n v="0"/>
    <m/>
    <m/>
    <n v="0"/>
    <m/>
    <m/>
    <n v="0"/>
    <n v="82"/>
    <n v="62399"/>
    <n v="5116718"/>
    <n v="83"/>
    <n v="63416"/>
    <n v="5263528"/>
    <m/>
    <m/>
    <n v="0"/>
    <m/>
    <m/>
    <n v="0"/>
    <m/>
    <m/>
    <n v="0"/>
    <m/>
    <m/>
    <n v="0"/>
    <m/>
    <m/>
    <n v="0"/>
    <m/>
    <m/>
    <n v="0"/>
    <m/>
    <m/>
    <n v="0"/>
    <m/>
    <m/>
    <n v="0"/>
    <m/>
    <m/>
    <n v="0"/>
    <m/>
    <m/>
    <n v="0"/>
    <n v="37"/>
    <n v="79473"/>
    <n v="2405917.9182000002"/>
    <n v="36"/>
    <n v="80047"/>
    <n v="2357800.3944000001"/>
  </r>
  <r>
    <x v="2"/>
    <s v="Delaware Technical and Community College--Stanton-Wilmington"/>
    <n v="130916"/>
    <x v="7"/>
    <m/>
    <m/>
    <n v="0"/>
    <m/>
    <m/>
    <n v="0"/>
    <m/>
    <m/>
    <n v="0"/>
    <m/>
    <m/>
    <n v="0"/>
    <m/>
    <m/>
    <n v="0"/>
    <m/>
    <m/>
    <n v="0"/>
    <m/>
    <m/>
    <n v="0"/>
    <m/>
    <m/>
    <n v="0"/>
    <m/>
    <m/>
    <n v="0"/>
    <m/>
    <m/>
    <n v="0"/>
    <n v="129"/>
    <n v="64253"/>
    <n v="8288637"/>
    <n v="125"/>
    <n v="64291"/>
    <n v="8036375"/>
    <m/>
    <m/>
    <n v="0"/>
    <m/>
    <m/>
    <n v="0"/>
    <m/>
    <m/>
    <n v="0"/>
    <m/>
    <m/>
    <n v="0"/>
    <m/>
    <m/>
    <n v="0"/>
    <m/>
    <m/>
    <n v="0"/>
    <m/>
    <m/>
    <n v="0"/>
    <m/>
    <m/>
    <n v="0"/>
    <m/>
    <m/>
    <n v="0"/>
    <m/>
    <m/>
    <n v="0"/>
    <n v="48"/>
    <n v="79329"/>
    <n v="3115535.4144000001"/>
    <n v="48"/>
    <n v="76696"/>
    <n v="3012128.0256000003"/>
  </r>
  <r>
    <x v="2"/>
    <s v="Delaware Technical and Community College--Terry"/>
    <n v="130907"/>
    <x v="8"/>
    <m/>
    <m/>
    <n v="0"/>
    <m/>
    <m/>
    <n v="0"/>
    <m/>
    <m/>
    <n v="0"/>
    <m/>
    <m/>
    <n v="0"/>
    <m/>
    <m/>
    <n v="0"/>
    <m/>
    <m/>
    <n v="0"/>
    <m/>
    <m/>
    <n v="0"/>
    <m/>
    <m/>
    <n v="0"/>
    <m/>
    <m/>
    <n v="0"/>
    <m/>
    <m/>
    <n v="0"/>
    <n v="58"/>
    <n v="62232"/>
    <n v="3609456"/>
    <n v="59"/>
    <n v="62774"/>
    <n v="3703666"/>
    <m/>
    <m/>
    <n v="0"/>
    <m/>
    <m/>
    <n v="0"/>
    <m/>
    <m/>
    <n v="0"/>
    <m/>
    <m/>
    <n v="0"/>
    <m/>
    <m/>
    <n v="0"/>
    <m/>
    <m/>
    <n v="0"/>
    <m/>
    <m/>
    <n v="0"/>
    <m/>
    <m/>
    <n v="0"/>
    <m/>
    <m/>
    <n v="0"/>
    <m/>
    <m/>
    <n v="0"/>
    <n v="20"/>
    <n v="80218"/>
    <n v="1312687.352"/>
    <n v="22"/>
    <n v="79684"/>
    <n v="1434343.8736"/>
  </r>
  <r>
    <x v="3"/>
    <s v="Florida State University "/>
    <n v="134097"/>
    <x v="0"/>
    <n v="443"/>
    <n v="99948.607223476298"/>
    <n v="44277233"/>
    <n v="417"/>
    <n v="103504.49160671463"/>
    <n v="43161373"/>
    <n v="364"/>
    <n v="70367.425824175822"/>
    <n v="25613743"/>
    <n v="364"/>
    <n v="72607.060439560446"/>
    <n v="26428970.000000004"/>
    <n v="326"/>
    <n v="66378.941717791415"/>
    <n v="21639535"/>
    <n v="291"/>
    <n v="69474.883161512029"/>
    <n v="20217191"/>
    <n v="15"/>
    <n v="33742"/>
    <n v="506130"/>
    <n v="8"/>
    <n v="29729"/>
    <n v="237832"/>
    <n v="109"/>
    <n v="49084.633027522934"/>
    <n v="5350225"/>
    <n v="122"/>
    <n v="50864.2"/>
    <n v="6205432.3999999994"/>
    <m/>
    <m/>
    <n v="0"/>
    <m/>
    <m/>
    <n v="0"/>
    <n v="8"/>
    <n v="115389"/>
    <n v="755290.23840000003"/>
    <n v="5"/>
    <n v="119936"/>
    <n v="490658.17600000004"/>
    <n v="1"/>
    <n v="119437"/>
    <n v="97723.353400000007"/>
    <n v="1"/>
    <n v="123020"/>
    <n v="100654.96400000001"/>
    <n v="1"/>
    <n v="50000"/>
    <n v="40910"/>
    <n v="1"/>
    <n v="56650"/>
    <n v="46351.03"/>
    <m/>
    <m/>
    <n v="0"/>
    <m/>
    <m/>
    <n v="0"/>
    <n v="82"/>
    <n v="63189.42682926829"/>
    <n v="4239530.3006000007"/>
    <n v="89"/>
    <n v="65213.876404494382"/>
    <n v="4748861.4369999999"/>
    <m/>
    <m/>
    <n v="0"/>
    <m/>
    <m/>
    <n v="0"/>
  </r>
  <r>
    <x v="3"/>
    <s v="University of Central Florida "/>
    <n v="132903"/>
    <x v="0"/>
    <n v="188"/>
    <n v="109392.64893617021"/>
    <n v="20565818"/>
    <n v="184"/>
    <n v="111517.94021739131"/>
    <n v="20519301"/>
    <n v="279"/>
    <n v="76640.827956989247"/>
    <n v="21382791"/>
    <n v="290"/>
    <n v="76476.137931034478"/>
    <n v="22178080"/>
    <n v="295"/>
    <n v="61870.240677966103"/>
    <n v="18251721"/>
    <n v="268"/>
    <n v="63270.570895522389"/>
    <n v="16956513"/>
    <n v="243"/>
    <n v="42483.349794238682"/>
    <n v="10323454"/>
    <n v="236"/>
    <n v="44014.131355932201"/>
    <n v="10387335"/>
    <n v="51"/>
    <n v="56249.568627450979"/>
    <n v="2868728"/>
    <n v="50"/>
    <n v="55110.66"/>
    <n v="2755533"/>
    <m/>
    <m/>
    <n v="0"/>
    <m/>
    <m/>
    <n v="0"/>
    <n v="40"/>
    <n v="154290.29999999999"/>
    <n v="5049612.9384000003"/>
    <n v="44"/>
    <n v="163539"/>
    <n v="5887534.8311999999"/>
    <n v="14"/>
    <n v="118705.71428571429"/>
    <n v="1359750.216"/>
    <n v="16"/>
    <n v="123017.125"/>
    <n v="1610441.7868000001"/>
    <n v="5"/>
    <n v="77688.2"/>
    <n v="317822.42619999999"/>
    <n v="6"/>
    <n v="134869.83333333334"/>
    <n v="662102.98580000002"/>
    <n v="41"/>
    <n v="61204.146341463413"/>
    <n v="2053166.534"/>
    <n v="42"/>
    <n v="61457.928571428572"/>
    <n v="2111964.8406000002"/>
    <n v="2"/>
    <n v="102088"/>
    <n v="167056.80319999999"/>
    <n v="3"/>
    <n v="96525.333333333299"/>
    <n v="236931.08319999991"/>
    <m/>
    <m/>
    <n v="0"/>
    <m/>
    <m/>
    <n v="0"/>
  </r>
  <r>
    <x v="3"/>
    <s v="University of Florida"/>
    <n v="134130"/>
    <x v="0"/>
    <n v="481"/>
    <n v="110571.06544698543"/>
    <n v="53184682.479999997"/>
    <n v="453"/>
    <n v="116690.90222958058"/>
    <n v="52860978.710000001"/>
    <n v="396"/>
    <n v="73157.091363636369"/>
    <n v="28970208.180000003"/>
    <n v="403"/>
    <n v="75669.292009925557"/>
    <n v="30494724.68"/>
    <n v="341"/>
    <n v="65074.208651026391"/>
    <n v="22190305.149999999"/>
    <n v="308"/>
    <n v="66353.568409090905"/>
    <n v="20436899.07"/>
    <m/>
    <m/>
    <n v="0"/>
    <m/>
    <m/>
    <n v="0"/>
    <n v="117"/>
    <n v="49165.382649572646"/>
    <n v="5752349.7699999996"/>
    <n v="116"/>
    <n v="52196.231810344827"/>
    <n v="6054762.8899999997"/>
    <m/>
    <m/>
    <n v="0"/>
    <m/>
    <m/>
    <n v="0"/>
    <n v="287"/>
    <n v="130893.64693379792"/>
    <n v="30736891.211394005"/>
    <n v="260"/>
    <n v="137588.47192307693"/>
    <n v="29269470.809140004"/>
    <n v="155"/>
    <n v="88758.796580645154"/>
    <n v="11256479.341154"/>
    <n v="155"/>
    <n v="91334.424967741943"/>
    <n v="11583123.108834002"/>
    <n v="189"/>
    <n v="70832.431111111116"/>
    <n v="10953512.980536001"/>
    <n v="197"/>
    <n v="72530.202182741123"/>
    <n v="11690809.650906002"/>
    <m/>
    <m/>
    <n v="0"/>
    <m/>
    <m/>
    <n v="0"/>
    <n v="43"/>
    <n v="77814.387906976743"/>
    <n v="2737712.483976"/>
    <n v="46"/>
    <n v="88341.466956521734"/>
    <n v="3324925.4601359996"/>
    <m/>
    <m/>
    <n v="0"/>
    <m/>
    <m/>
    <n v="0"/>
  </r>
  <r>
    <x v="3"/>
    <s v="University of South Florida "/>
    <n v="137351"/>
    <x v="0"/>
    <n v="251"/>
    <n v="101656.55378486056"/>
    <n v="25515795"/>
    <n v="263"/>
    <n v="101913.37642585552"/>
    <n v="26803218"/>
    <n v="262"/>
    <n v="73294.366412213742"/>
    <n v="19203124"/>
    <n v="281"/>
    <n v="73814.110320284701"/>
    <n v="20741765"/>
    <n v="333"/>
    <n v="62333.201201201198"/>
    <n v="20756956"/>
    <n v="318"/>
    <n v="63050.028301886792"/>
    <n v="20049909"/>
    <n v="130"/>
    <n v="53194.223076923074"/>
    <n v="6915249"/>
    <n v="119"/>
    <n v="53627.092436974788"/>
    <n v="6381624"/>
    <n v="14"/>
    <n v="62748.571428571428"/>
    <n v="878480"/>
    <n v="12"/>
    <n v="62264.5"/>
    <n v="747174"/>
    <m/>
    <m/>
    <n v="0"/>
    <m/>
    <m/>
    <n v="0"/>
    <n v="85"/>
    <n v="124973.48235294118"/>
    <n v="8691530.7772000004"/>
    <n v="83"/>
    <n v="124551.92771084337"/>
    <n v="8458396.1420000009"/>
    <n v="48"/>
    <n v="90485.333333333328"/>
    <n v="3553684.7872000001"/>
    <n v="46"/>
    <n v="91852.413043478256"/>
    <n v="3457067.6402000003"/>
    <n v="56"/>
    <n v="71848.41071428571"/>
    <n v="3292036.7002000003"/>
    <n v="59"/>
    <n v="74826.711864406781"/>
    <n v="3612169.7232000004"/>
    <n v="74"/>
    <n v="56892.175675675673"/>
    <n v="3444639.1822000002"/>
    <n v="79"/>
    <n v="56278.050632911392"/>
    <n v="3637689.3812000002"/>
    <n v="2"/>
    <n v="57654.5"/>
    <n v="94345.823799999998"/>
    <n v="2"/>
    <n v="57654.5"/>
    <n v="94345.823799999998"/>
    <m/>
    <m/>
    <n v="0"/>
    <m/>
    <m/>
    <n v="0"/>
  </r>
  <r>
    <x v="3"/>
    <s v="Florida Atlantic University "/>
    <n v="133669"/>
    <x v="1"/>
    <n v="183"/>
    <n v="93828.3461748634"/>
    <n v="17170587.350000001"/>
    <n v="221"/>
    <n v="90687.0130316742"/>
    <n v="20041829.879999999"/>
    <n v="192"/>
    <n v="68708.630104166674"/>
    <n v="13192056.98"/>
    <n v="268"/>
    <n v="69184.001455223857"/>
    <n v="18541312.389999993"/>
    <n v="220"/>
    <n v="62733.794409090908"/>
    <n v="13801434.77"/>
    <n v="271"/>
    <n v="63178.257859778591"/>
    <n v="17121307.879999999"/>
    <n v="137"/>
    <n v="43733.229343065694"/>
    <n v="5991452.4199999999"/>
    <n v="202"/>
    <n v="43666.48386138615"/>
    <n v="8820629.7400000021"/>
    <n v="2"/>
    <n v="49379.86"/>
    <n v="98759.72"/>
    <n v="4"/>
    <n v="49379.86"/>
    <n v="197519.44"/>
    <m/>
    <m/>
    <n v="0"/>
    <m/>
    <m/>
    <n v="0"/>
    <n v="6"/>
    <n v="135905.81833333333"/>
    <n v="667188.84336199996"/>
    <n v="4"/>
    <n v="121876.21249999999"/>
    <n v="398876.46827000001"/>
    <n v="15"/>
    <n v="101899.65066666665"/>
    <n v="1250614.4126319999"/>
    <n v="14"/>
    <n v="92825.944285714286"/>
    <n v="1063302.6266040001"/>
    <n v="10"/>
    <n v="78958.997000000003"/>
    <n v="646042.513454"/>
    <n v="11"/>
    <n v="81638.392727272716"/>
    <n v="734761.86222399992"/>
    <n v="30"/>
    <n v="60900.182333333338"/>
    <n v="1494855.8755540003"/>
    <n v="44"/>
    <n v="59728.925909090911"/>
    <n v="2150289.1158680003"/>
    <n v="2"/>
    <n v="81663.63"/>
    <n v="133634.36413200002"/>
    <n v="2"/>
    <n v="81663.63"/>
    <n v="133634.36413200002"/>
    <m/>
    <m/>
    <n v="0"/>
    <m/>
    <m/>
    <n v="0"/>
  </r>
  <r>
    <x v="3"/>
    <s v="Florida International University"/>
    <n v="133951"/>
    <x v="1"/>
    <n v="204"/>
    <n v="102905.73529411765"/>
    <n v="20992770"/>
    <n v="190"/>
    <n v="103951.24210526315"/>
    <n v="19750736"/>
    <n v="271"/>
    <n v="75315.346863468629"/>
    <n v="20410459"/>
    <n v="243"/>
    <n v="75356.242798353909"/>
    <n v="18311567"/>
    <n v="203"/>
    <n v="71005.029556650246"/>
    <n v="14414021"/>
    <n v="226"/>
    <n v="71922.929203539825"/>
    <n v="16254582"/>
    <n v="90"/>
    <n v="52565.788888888892"/>
    <n v="4730921"/>
    <n v="88"/>
    <n v="52137.079545454544"/>
    <n v="4588063"/>
    <n v="39"/>
    <n v="59365.461538461539"/>
    <n v="2315253"/>
    <n v="42"/>
    <n v="59657.404761904763"/>
    <n v="2505611"/>
    <m/>
    <m/>
    <n v="0"/>
    <m/>
    <m/>
    <n v="0"/>
    <n v="11"/>
    <n v="146562.45454545456"/>
    <n v="1319091.4034000002"/>
    <n v="21"/>
    <n v="157213.42857142858"/>
    <n v="2701272.5723999999"/>
    <n v="16"/>
    <n v="117251.75"/>
    <n v="1534966.1096000001"/>
    <n v="19"/>
    <n v="141636.15789473685"/>
    <n v="2201847.3834000002"/>
    <n v="4"/>
    <n v="110410.5"/>
    <n v="361351.48440000002"/>
    <n v="8"/>
    <n v="82748.5"/>
    <n v="541638.58160000003"/>
    <n v="5"/>
    <n v="74997.2"/>
    <n v="306813.54519999999"/>
    <n v="8"/>
    <n v="81940.5"/>
    <n v="536349.73680000007"/>
    <n v="9"/>
    <n v="73153.333333333328"/>
    <n v="538686.51600000006"/>
    <n v="9"/>
    <n v="74684.888888888891"/>
    <n v="549964.58480000007"/>
    <m/>
    <m/>
    <n v="0"/>
    <m/>
    <m/>
    <n v="0"/>
  </r>
  <r>
    <x v="3"/>
    <s v="Florida Agricultural &amp; Mechanical University "/>
    <n v="133650"/>
    <x v="2"/>
    <n v="83"/>
    <n v="83790.879518072295"/>
    <n v="6954643.0000000009"/>
    <n v="101"/>
    <n v="85096.557821782175"/>
    <n v="8594752.3399999999"/>
    <n v="123"/>
    <n v="72389.487804878052"/>
    <n v="8903907"/>
    <n v="161"/>
    <n v="72795.705838509326"/>
    <n v="11720108.640000001"/>
    <n v="120"/>
    <n v="59908.15"/>
    <n v="7188978"/>
    <n v="160"/>
    <n v="60362.862500000003"/>
    <n v="9658058"/>
    <n v="45"/>
    <n v="50390.533333333333"/>
    <n v="2267574"/>
    <n v="70"/>
    <n v="51311.061428571425"/>
    <n v="3591774.3"/>
    <m/>
    <m/>
    <n v="0"/>
    <m/>
    <m/>
    <n v="0"/>
    <m/>
    <m/>
    <n v="0"/>
    <m/>
    <m/>
    <n v="0"/>
    <n v="66"/>
    <n v="104384.22727272728"/>
    <n v="5636873.5338000003"/>
    <n v="84"/>
    <n v="108394.98452380951"/>
    <n v="7449857.2123400001"/>
    <n v="63"/>
    <n v="86731.873015873018"/>
    <n v="4470733.1655999999"/>
    <n v="88"/>
    <n v="89363.958636363634"/>
    <n v="6434348.004152"/>
    <n v="54"/>
    <n v="74520.277777777781"/>
    <n v="3292514.5290000001"/>
    <n v="81"/>
    <n v="75887.740740740745"/>
    <n v="5029399.3074000003"/>
    <n v="25"/>
    <n v="52274.720000000001"/>
    <n v="1069279.3976"/>
    <n v="41"/>
    <n v="55050.780487804877"/>
    <n v="1846744.4924000001"/>
    <m/>
    <m/>
    <n v="0"/>
    <m/>
    <m/>
    <n v="0"/>
    <m/>
    <m/>
    <n v="0"/>
    <m/>
    <m/>
    <n v="0"/>
  </r>
  <r>
    <x v="3"/>
    <s v="University of North Florida"/>
    <n v="136172"/>
    <x v="2"/>
    <n v="69"/>
    <n v="97682.768115942032"/>
    <n v="6740111"/>
    <n v="69"/>
    <n v="91493.723043478254"/>
    <n v="6313066.8899999997"/>
    <n v="112"/>
    <n v="70058.09821428571"/>
    <n v="7846507"/>
    <n v="113"/>
    <n v="67164.267699115051"/>
    <n v="7589562.2500000009"/>
    <n v="177"/>
    <n v="53889.203389830509"/>
    <n v="9538389"/>
    <n v="176"/>
    <n v="55500.421931818179"/>
    <n v="9768074.2599999998"/>
    <n v="95"/>
    <n v="42166.810526315792"/>
    <n v="4005847.0000000005"/>
    <n v="76"/>
    <n v="43224.718157894735"/>
    <n v="3285078.58"/>
    <m/>
    <m/>
    <n v="0"/>
    <n v="1"/>
    <n v="45000"/>
    <n v="45000"/>
    <m/>
    <m/>
    <n v="0"/>
    <m/>
    <m/>
    <n v="0"/>
    <n v="12"/>
    <n v="129492.25"/>
    <n v="1271406.7074"/>
    <n v="11"/>
    <n v="133198.66090909092"/>
    <n v="1198814.587914"/>
    <n v="17"/>
    <n v="98841.176470588238"/>
    <n v="1374821.46"/>
    <n v="11"/>
    <n v="108746.27545454545"/>
    <n v="978738.22834600008"/>
    <n v="2"/>
    <n v="72857"/>
    <n v="119223.19480000001"/>
    <n v="2"/>
    <n v="116000"/>
    <n v="189822.40000000002"/>
    <n v="9"/>
    <n v="56800.777777777781"/>
    <n v="418269.5674"/>
    <n v="7"/>
    <n v="63492.304285714286"/>
    <n v="363645.82356600004"/>
    <n v="20"/>
    <n v="43494.5"/>
    <n v="711743.99800000002"/>
    <n v="22"/>
    <n v="44606.17"/>
    <n v="802928.90246800007"/>
    <m/>
    <m/>
    <n v="0"/>
    <m/>
    <m/>
    <n v="0"/>
  </r>
  <r>
    <x v="3"/>
    <s v="University of West Florida"/>
    <n v="138354"/>
    <x v="2"/>
    <n v="43"/>
    <n v="87881.139534883725"/>
    <n v="3778889"/>
    <n v="46"/>
    <n v="88232.217391304352"/>
    <n v="4058682"/>
    <n v="83"/>
    <n v="65638.506024096379"/>
    <n v="5447995.9999999991"/>
    <n v="76"/>
    <n v="65590.736842105267"/>
    <n v="4984896"/>
    <n v="82"/>
    <n v="56708.780487804877"/>
    <n v="4650120"/>
    <n v="77"/>
    <n v="54577"/>
    <n v="4202429"/>
    <n v="30"/>
    <n v="44180"/>
    <n v="1325400"/>
    <n v="31"/>
    <n v="45650.06451612903"/>
    <n v="1415152"/>
    <n v="11"/>
    <n v="43261.727272727272"/>
    <n v="475879"/>
    <n v="10"/>
    <n v="45955.9"/>
    <n v="459559"/>
    <m/>
    <m/>
    <n v="0"/>
    <m/>
    <m/>
    <n v="0"/>
    <n v="20"/>
    <n v="113213.3"/>
    <n v="1852622.4412"/>
    <n v="21"/>
    <n v="109257.28571428571"/>
    <n v="1877280.5346000001"/>
    <n v="14"/>
    <n v="93979.571428571435"/>
    <n v="1076517.1947999999"/>
    <n v="12"/>
    <n v="93094.833333333328"/>
    <n v="914042.31160000002"/>
    <n v="4"/>
    <n v="67253"/>
    <n v="220105.61840000001"/>
    <n v="4"/>
    <n v="64837.25"/>
    <n v="212199.3518"/>
    <n v="15"/>
    <n v="54798.73333333333"/>
    <n v="672544.85420000006"/>
    <n v="16"/>
    <n v="52268.8125"/>
    <n v="684261.47820000001"/>
    <n v="30"/>
    <n v="60510.23333333333"/>
    <n v="1485284.1874000002"/>
    <n v="31"/>
    <n v="58164.806451612902"/>
    <n v="1475303.7838000001"/>
    <m/>
    <m/>
    <n v="0"/>
    <m/>
    <m/>
    <n v="0"/>
  </r>
  <r>
    <x v="3"/>
    <s v="Florida Gulf Coast University"/>
    <n v="433660"/>
    <x v="3"/>
    <n v="38"/>
    <n v="88321.868421052626"/>
    <n v="3356231"/>
    <n v="34"/>
    <n v="86887.00264705882"/>
    <n v="2954158.09"/>
    <n v="77"/>
    <n v="69872.272727272721"/>
    <n v="5380164.9999999991"/>
    <n v="71"/>
    <n v="69613.266760563391"/>
    <n v="4942541.9400000004"/>
    <n v="82"/>
    <n v="56560.085365853658"/>
    <n v="4637927"/>
    <n v="81"/>
    <n v="57114.170370370368"/>
    <n v="4626247.8"/>
    <n v="49"/>
    <n v="39668.306122448979"/>
    <n v="1943747"/>
    <n v="44"/>
    <n v="63939.491136363635"/>
    <n v="2813337.61"/>
    <n v="1"/>
    <n v="46460"/>
    <n v="46460"/>
    <m/>
    <m/>
    <n v="0"/>
    <m/>
    <m/>
    <n v="0"/>
    <m/>
    <m/>
    <n v="0"/>
    <n v="15"/>
    <n v="116045.8"/>
    <n v="1424230.1034000001"/>
    <n v="15"/>
    <n v="110379.62133333334"/>
    <n v="1354689.092624"/>
    <n v="10"/>
    <n v="99785"/>
    <n v="816440.87"/>
    <n v="8"/>
    <n v="102638.50750000001"/>
    <n v="671830.61469200009"/>
    <n v="17"/>
    <n v="72477.588235294112"/>
    <n v="1008119.7658000001"/>
    <n v="13"/>
    <n v="74612.983076923076"/>
    <n v="793628.45579600008"/>
    <n v="17"/>
    <n v="63766.588235294119"/>
    <n v="886954.9824000001"/>
    <n v="15"/>
    <n v="68575.357999999993"/>
    <n v="841625.3687339999"/>
    <m/>
    <m/>
    <n v="0"/>
    <m/>
    <m/>
    <n v="0"/>
    <m/>
    <m/>
    <n v="0"/>
    <m/>
    <m/>
    <n v="0"/>
  </r>
  <r>
    <x v="3"/>
    <s v="New College of Florida"/>
    <n v="262129"/>
    <x v="5"/>
    <n v="18"/>
    <n v="80762.794629629629"/>
    <n v="1453730.3033333332"/>
    <n v="19"/>
    <n v="83075.095263157898"/>
    <n v="1578426.81"/>
    <n v="30"/>
    <n v="64604.347666666661"/>
    <n v="1938130.43"/>
    <n v="28"/>
    <n v="66688.202857142853"/>
    <n v="1867269.68"/>
    <n v="20"/>
    <n v="51507.022000000004"/>
    <n v="1030140.4400000001"/>
    <n v="25"/>
    <n v="53879.287199999999"/>
    <n v="1346982.18"/>
    <n v="1"/>
    <n v="39392.949999999997"/>
    <n v="39392.949999999997"/>
    <n v="1"/>
    <n v="40709.129999999997"/>
    <n v="40709.129999999997"/>
    <m/>
    <m/>
    <n v="0"/>
    <m/>
    <m/>
    <n v="0"/>
    <m/>
    <m/>
    <n v="0"/>
    <m/>
    <m/>
    <n v="0"/>
    <m/>
    <m/>
    <n v="0"/>
    <m/>
    <m/>
    <n v="0"/>
    <m/>
    <m/>
    <n v="0"/>
    <m/>
    <m/>
    <n v="0"/>
    <m/>
    <m/>
    <n v="0"/>
    <m/>
    <m/>
    <n v="0"/>
    <m/>
    <m/>
    <n v="0"/>
    <m/>
    <m/>
    <n v="0"/>
    <m/>
    <m/>
    <n v="0"/>
    <m/>
    <m/>
    <n v="0"/>
    <m/>
    <m/>
    <n v="0"/>
    <m/>
    <m/>
    <n v="0"/>
  </r>
  <r>
    <x v="3"/>
    <s v="Chipola College "/>
    <n v="133021"/>
    <x v="11"/>
    <m/>
    <m/>
    <n v="0"/>
    <m/>
    <m/>
    <n v="0"/>
    <m/>
    <m/>
    <n v="0"/>
    <m/>
    <m/>
    <n v="0"/>
    <m/>
    <m/>
    <n v="0"/>
    <m/>
    <m/>
    <n v="0"/>
    <m/>
    <m/>
    <n v="0"/>
    <m/>
    <m/>
    <n v="0"/>
    <m/>
    <m/>
    <n v="0"/>
    <m/>
    <m/>
    <n v="0"/>
    <n v="49"/>
    <n v="43574"/>
    <n v="2135126"/>
    <n v="47"/>
    <n v="43222"/>
    <n v="2031434"/>
    <m/>
    <m/>
    <n v="0"/>
    <m/>
    <m/>
    <n v="0"/>
    <m/>
    <m/>
    <n v="0"/>
    <m/>
    <m/>
    <n v="0"/>
    <m/>
    <m/>
    <n v="0"/>
    <m/>
    <m/>
    <n v="0"/>
    <m/>
    <m/>
    <n v="0"/>
    <m/>
    <m/>
    <n v="0"/>
    <m/>
    <m/>
    <n v="0"/>
    <m/>
    <m/>
    <n v="0"/>
    <m/>
    <m/>
    <n v="0"/>
    <m/>
    <m/>
    <n v="0"/>
  </r>
  <r>
    <x v="3"/>
    <s v="Miami Dade College "/>
    <n v="135717"/>
    <x v="11"/>
    <m/>
    <m/>
    <n v="0"/>
    <m/>
    <m/>
    <n v="0"/>
    <m/>
    <m/>
    <n v="0"/>
    <m/>
    <m/>
    <n v="0"/>
    <m/>
    <m/>
    <n v="0"/>
    <m/>
    <m/>
    <n v="0"/>
    <m/>
    <m/>
    <n v="0"/>
    <m/>
    <m/>
    <n v="0"/>
    <m/>
    <m/>
    <n v="0"/>
    <m/>
    <m/>
    <n v="0"/>
    <n v="701"/>
    <n v="59772"/>
    <n v="41900172"/>
    <n v="689"/>
    <n v="60224"/>
    <n v="41494336"/>
    <m/>
    <m/>
    <n v="0"/>
    <m/>
    <m/>
    <n v="0"/>
    <m/>
    <m/>
    <n v="0"/>
    <m/>
    <m/>
    <n v="0"/>
    <m/>
    <m/>
    <n v="0"/>
    <m/>
    <m/>
    <n v="0"/>
    <m/>
    <m/>
    <n v="0"/>
    <m/>
    <m/>
    <n v="0"/>
    <m/>
    <m/>
    <n v="0"/>
    <m/>
    <m/>
    <n v="0"/>
    <m/>
    <m/>
    <n v="0"/>
    <m/>
    <m/>
    <n v="0"/>
  </r>
  <r>
    <x v="3"/>
    <s v="Northwest Florida State College"/>
    <n v="136233"/>
    <x v="11"/>
    <m/>
    <m/>
    <n v="0"/>
    <m/>
    <m/>
    <n v="0"/>
    <m/>
    <m/>
    <n v="0"/>
    <m/>
    <m/>
    <n v="0"/>
    <m/>
    <m/>
    <n v="0"/>
    <m/>
    <m/>
    <n v="0"/>
    <m/>
    <m/>
    <n v="0"/>
    <m/>
    <m/>
    <n v="0"/>
    <m/>
    <m/>
    <n v="0"/>
    <m/>
    <m/>
    <n v="0"/>
    <n v="90"/>
    <n v="53536"/>
    <n v="4818240"/>
    <n v="92"/>
    <n v="54996"/>
    <n v="5059632"/>
    <m/>
    <m/>
    <n v="0"/>
    <m/>
    <m/>
    <n v="0"/>
    <m/>
    <m/>
    <n v="0"/>
    <m/>
    <m/>
    <n v="0"/>
    <m/>
    <m/>
    <n v="0"/>
    <m/>
    <m/>
    <n v="0"/>
    <m/>
    <m/>
    <n v="0"/>
    <m/>
    <m/>
    <n v="0"/>
    <m/>
    <m/>
    <n v="0"/>
    <m/>
    <m/>
    <n v="0"/>
    <m/>
    <m/>
    <n v="0"/>
    <m/>
    <m/>
    <n v="0"/>
  </r>
  <r>
    <x v="3"/>
    <s v="St. Petersburg College "/>
    <n v="137078"/>
    <x v="11"/>
    <m/>
    <m/>
    <n v="0"/>
    <m/>
    <m/>
    <n v="0"/>
    <m/>
    <m/>
    <n v="0"/>
    <m/>
    <m/>
    <n v="0"/>
    <m/>
    <m/>
    <n v="0"/>
    <m/>
    <m/>
    <n v="0"/>
    <m/>
    <m/>
    <n v="0"/>
    <m/>
    <m/>
    <n v="0"/>
    <m/>
    <m/>
    <n v="0"/>
    <m/>
    <m/>
    <n v="0"/>
    <n v="316"/>
    <n v="57294"/>
    <n v="18104904"/>
    <n v="309"/>
    <n v="56735"/>
    <n v="17531115"/>
    <m/>
    <m/>
    <n v="0"/>
    <m/>
    <m/>
    <n v="0"/>
    <m/>
    <m/>
    <n v="0"/>
    <m/>
    <m/>
    <n v="0"/>
    <m/>
    <m/>
    <n v="0"/>
    <m/>
    <m/>
    <n v="0"/>
    <m/>
    <m/>
    <n v="0"/>
    <m/>
    <m/>
    <n v="0"/>
    <m/>
    <m/>
    <n v="0"/>
    <m/>
    <m/>
    <n v="0"/>
    <m/>
    <m/>
    <n v="0"/>
    <m/>
    <m/>
    <n v="0"/>
  </r>
  <r>
    <x v="3"/>
    <s v="Brevard Community College "/>
    <n v="132693"/>
    <x v="6"/>
    <m/>
    <m/>
    <n v="0"/>
    <m/>
    <m/>
    <n v="0"/>
    <m/>
    <m/>
    <n v="0"/>
    <m/>
    <m/>
    <n v="0"/>
    <m/>
    <m/>
    <n v="0"/>
    <m/>
    <m/>
    <n v="0"/>
    <m/>
    <m/>
    <n v="0"/>
    <m/>
    <m/>
    <n v="0"/>
    <m/>
    <m/>
    <n v="0"/>
    <m/>
    <m/>
    <n v="0"/>
    <n v="208"/>
    <n v="52753"/>
    <n v="10972624"/>
    <n v="215"/>
    <n v="53007"/>
    <n v="11396505"/>
    <m/>
    <m/>
    <n v="0"/>
    <m/>
    <m/>
    <n v="0"/>
    <m/>
    <m/>
    <n v="0"/>
    <m/>
    <m/>
    <n v="0"/>
    <m/>
    <m/>
    <n v="0"/>
    <m/>
    <m/>
    <n v="0"/>
    <m/>
    <m/>
    <n v="0"/>
    <m/>
    <m/>
    <n v="0"/>
    <m/>
    <m/>
    <n v="0"/>
    <m/>
    <m/>
    <n v="0"/>
    <m/>
    <m/>
    <n v="0"/>
    <m/>
    <m/>
    <n v="0"/>
  </r>
  <r>
    <x v="3"/>
    <s v="Broward Community College "/>
    <n v="132709"/>
    <x v="6"/>
    <m/>
    <m/>
    <n v="0"/>
    <m/>
    <m/>
    <n v="0"/>
    <m/>
    <m/>
    <n v="0"/>
    <m/>
    <m/>
    <n v="0"/>
    <m/>
    <m/>
    <n v="0"/>
    <m/>
    <m/>
    <n v="0"/>
    <m/>
    <m/>
    <n v="0"/>
    <m/>
    <m/>
    <n v="0"/>
    <m/>
    <m/>
    <n v="0"/>
    <m/>
    <m/>
    <n v="0"/>
    <n v="351"/>
    <n v="55442"/>
    <n v="19460142"/>
    <n v="352"/>
    <n v="55917"/>
    <n v="19682784"/>
    <m/>
    <m/>
    <n v="0"/>
    <m/>
    <m/>
    <n v="0"/>
    <m/>
    <m/>
    <n v="0"/>
    <m/>
    <m/>
    <n v="0"/>
    <m/>
    <m/>
    <n v="0"/>
    <m/>
    <m/>
    <n v="0"/>
    <m/>
    <m/>
    <n v="0"/>
    <m/>
    <m/>
    <n v="0"/>
    <m/>
    <m/>
    <n v="0"/>
    <m/>
    <m/>
    <n v="0"/>
    <m/>
    <m/>
    <n v="0"/>
    <m/>
    <m/>
    <n v="0"/>
  </r>
  <r>
    <x v="3"/>
    <s v="Daytona Beach Community College "/>
    <n v="133386"/>
    <x v="6"/>
    <m/>
    <m/>
    <n v="0"/>
    <m/>
    <m/>
    <n v="0"/>
    <m/>
    <m/>
    <n v="0"/>
    <m/>
    <m/>
    <n v="0"/>
    <m/>
    <m/>
    <n v="0"/>
    <m/>
    <m/>
    <n v="0"/>
    <m/>
    <m/>
    <n v="0"/>
    <m/>
    <m/>
    <n v="0"/>
    <m/>
    <m/>
    <n v="0"/>
    <m/>
    <m/>
    <n v="0"/>
    <n v="261"/>
    <n v="59796"/>
    <n v="15606756"/>
    <n v="286"/>
    <n v="58880"/>
    <n v="16839680"/>
    <m/>
    <m/>
    <n v="0"/>
    <m/>
    <m/>
    <n v="0"/>
    <m/>
    <m/>
    <n v="0"/>
    <m/>
    <m/>
    <n v="0"/>
    <m/>
    <m/>
    <n v="0"/>
    <m/>
    <m/>
    <n v="0"/>
    <m/>
    <m/>
    <n v="0"/>
    <m/>
    <m/>
    <n v="0"/>
    <m/>
    <m/>
    <n v="0"/>
    <m/>
    <m/>
    <n v="0"/>
    <m/>
    <m/>
    <n v="0"/>
    <m/>
    <m/>
    <n v="0"/>
  </r>
  <r>
    <x v="3"/>
    <s v="Edison State College "/>
    <n v="133508"/>
    <x v="6"/>
    <m/>
    <m/>
    <n v="0"/>
    <m/>
    <m/>
    <n v="0"/>
    <m/>
    <m/>
    <n v="0"/>
    <m/>
    <m/>
    <n v="0"/>
    <m/>
    <m/>
    <n v="0"/>
    <m/>
    <m/>
    <n v="0"/>
    <m/>
    <m/>
    <n v="0"/>
    <m/>
    <m/>
    <n v="0"/>
    <m/>
    <m/>
    <n v="0"/>
    <m/>
    <m/>
    <n v="0"/>
    <n v="113"/>
    <n v="54497"/>
    <n v="6158161"/>
    <n v="116"/>
    <n v="53217"/>
    <n v="6173172"/>
    <m/>
    <m/>
    <n v="0"/>
    <m/>
    <m/>
    <n v="0"/>
    <m/>
    <m/>
    <n v="0"/>
    <m/>
    <m/>
    <n v="0"/>
    <m/>
    <m/>
    <n v="0"/>
    <m/>
    <m/>
    <n v="0"/>
    <m/>
    <m/>
    <n v="0"/>
    <m/>
    <m/>
    <n v="0"/>
    <m/>
    <m/>
    <n v="0"/>
    <m/>
    <m/>
    <n v="0"/>
    <m/>
    <m/>
    <n v="0"/>
    <m/>
    <m/>
    <n v="0"/>
  </r>
  <r>
    <x v="3"/>
    <s v="Florida Community College at Jacksonville"/>
    <n v="133702"/>
    <x v="6"/>
    <m/>
    <m/>
    <n v="0"/>
    <m/>
    <m/>
    <n v="0"/>
    <m/>
    <m/>
    <n v="0"/>
    <m/>
    <m/>
    <n v="0"/>
    <m/>
    <m/>
    <n v="0"/>
    <m/>
    <m/>
    <n v="0"/>
    <m/>
    <m/>
    <n v="0"/>
    <m/>
    <m/>
    <n v="0"/>
    <m/>
    <m/>
    <n v="0"/>
    <m/>
    <m/>
    <n v="0"/>
    <n v="384"/>
    <n v="46443"/>
    <n v="17834112"/>
    <n v="378"/>
    <n v="47643"/>
    <n v="18009054"/>
    <m/>
    <m/>
    <n v="0"/>
    <m/>
    <m/>
    <n v="0"/>
    <m/>
    <m/>
    <n v="0"/>
    <m/>
    <m/>
    <n v="0"/>
    <m/>
    <m/>
    <n v="0"/>
    <m/>
    <m/>
    <n v="0"/>
    <m/>
    <m/>
    <n v="0"/>
    <m/>
    <m/>
    <n v="0"/>
    <m/>
    <m/>
    <n v="0"/>
    <m/>
    <m/>
    <n v="0"/>
    <m/>
    <m/>
    <n v="0"/>
    <m/>
    <m/>
    <n v="0"/>
  </r>
  <r>
    <x v="3"/>
    <s v="Hillsborough Community College "/>
    <n v="134495"/>
    <x v="6"/>
    <m/>
    <m/>
    <n v="0"/>
    <m/>
    <m/>
    <n v="0"/>
    <m/>
    <m/>
    <n v="0"/>
    <m/>
    <m/>
    <n v="0"/>
    <m/>
    <m/>
    <n v="0"/>
    <m/>
    <m/>
    <n v="0"/>
    <m/>
    <m/>
    <n v="0"/>
    <m/>
    <m/>
    <n v="0"/>
    <m/>
    <m/>
    <n v="0"/>
    <m/>
    <m/>
    <n v="0"/>
    <n v="262"/>
    <n v="50180"/>
    <n v="13147160"/>
    <n v="279"/>
    <n v="50556"/>
    <n v="14105124"/>
    <m/>
    <m/>
    <n v="0"/>
    <m/>
    <m/>
    <n v="0"/>
    <m/>
    <m/>
    <n v="0"/>
    <m/>
    <m/>
    <n v="0"/>
    <m/>
    <m/>
    <n v="0"/>
    <m/>
    <m/>
    <n v="0"/>
    <m/>
    <m/>
    <n v="0"/>
    <m/>
    <m/>
    <n v="0"/>
    <m/>
    <m/>
    <n v="0"/>
    <m/>
    <m/>
    <n v="0"/>
    <m/>
    <m/>
    <n v="0"/>
    <m/>
    <m/>
    <n v="0"/>
  </r>
  <r>
    <x v="3"/>
    <s v="Indian River Community College "/>
    <n v="134608"/>
    <x v="6"/>
    <m/>
    <m/>
    <n v="0"/>
    <m/>
    <m/>
    <n v="0"/>
    <m/>
    <m/>
    <n v="0"/>
    <m/>
    <m/>
    <n v="0"/>
    <m/>
    <m/>
    <n v="0"/>
    <m/>
    <m/>
    <n v="0"/>
    <m/>
    <m/>
    <n v="0"/>
    <m/>
    <m/>
    <n v="0"/>
    <m/>
    <m/>
    <n v="0"/>
    <m/>
    <m/>
    <n v="0"/>
    <n v="179"/>
    <n v="62948"/>
    <n v="11267692"/>
    <n v="186"/>
    <n v="64148"/>
    <n v="11931528"/>
    <m/>
    <m/>
    <n v="0"/>
    <m/>
    <m/>
    <n v="0"/>
    <m/>
    <m/>
    <n v="0"/>
    <m/>
    <m/>
    <n v="0"/>
    <m/>
    <m/>
    <n v="0"/>
    <m/>
    <m/>
    <n v="0"/>
    <m/>
    <m/>
    <n v="0"/>
    <m/>
    <m/>
    <n v="0"/>
    <m/>
    <m/>
    <n v="0"/>
    <m/>
    <m/>
    <n v="0"/>
    <m/>
    <m/>
    <n v="0"/>
    <m/>
    <m/>
    <n v="0"/>
  </r>
  <r>
    <x v="3"/>
    <s v="Manatee Community College "/>
    <n v="135391"/>
    <x v="6"/>
    <m/>
    <m/>
    <n v="0"/>
    <m/>
    <m/>
    <n v="0"/>
    <m/>
    <m/>
    <n v="0"/>
    <m/>
    <m/>
    <n v="0"/>
    <m/>
    <m/>
    <n v="0"/>
    <m/>
    <m/>
    <n v="0"/>
    <m/>
    <m/>
    <n v="0"/>
    <m/>
    <m/>
    <n v="0"/>
    <m/>
    <m/>
    <n v="0"/>
    <m/>
    <m/>
    <n v="0"/>
    <n v="128"/>
    <n v="52080"/>
    <n v="6666240"/>
    <n v="135"/>
    <n v="52089"/>
    <n v="7032015"/>
    <m/>
    <m/>
    <n v="0"/>
    <m/>
    <m/>
    <n v="0"/>
    <m/>
    <m/>
    <n v="0"/>
    <m/>
    <m/>
    <n v="0"/>
    <m/>
    <m/>
    <n v="0"/>
    <m/>
    <m/>
    <n v="0"/>
    <m/>
    <m/>
    <n v="0"/>
    <m/>
    <m/>
    <n v="0"/>
    <m/>
    <m/>
    <n v="0"/>
    <m/>
    <m/>
    <n v="0"/>
    <m/>
    <m/>
    <n v="0"/>
    <m/>
    <m/>
    <n v="0"/>
  </r>
  <r>
    <x v="3"/>
    <s v="Palm Beach Community College "/>
    <n v="136358"/>
    <x v="6"/>
    <m/>
    <m/>
    <n v="0"/>
    <m/>
    <m/>
    <n v="0"/>
    <m/>
    <m/>
    <n v="0"/>
    <m/>
    <m/>
    <n v="0"/>
    <m/>
    <m/>
    <n v="0"/>
    <m/>
    <m/>
    <n v="0"/>
    <m/>
    <m/>
    <n v="0"/>
    <m/>
    <m/>
    <n v="0"/>
    <m/>
    <m/>
    <n v="0"/>
    <m/>
    <m/>
    <n v="0"/>
    <n v="235"/>
    <n v="54250"/>
    <n v="12748750"/>
    <n v="240"/>
    <n v="56480"/>
    <n v="13555200"/>
    <m/>
    <m/>
    <n v="0"/>
    <m/>
    <m/>
    <n v="0"/>
    <m/>
    <m/>
    <n v="0"/>
    <m/>
    <m/>
    <n v="0"/>
    <m/>
    <m/>
    <n v="0"/>
    <m/>
    <m/>
    <n v="0"/>
    <m/>
    <m/>
    <n v="0"/>
    <m/>
    <m/>
    <n v="0"/>
    <m/>
    <m/>
    <n v="0"/>
    <m/>
    <m/>
    <n v="0"/>
    <m/>
    <m/>
    <n v="0"/>
    <m/>
    <m/>
    <n v="0"/>
  </r>
  <r>
    <x v="3"/>
    <s v="Pasco-Hernando Community College "/>
    <n v="136400"/>
    <x v="6"/>
    <m/>
    <m/>
    <n v="0"/>
    <m/>
    <m/>
    <n v="0"/>
    <m/>
    <m/>
    <n v="0"/>
    <m/>
    <m/>
    <n v="0"/>
    <m/>
    <m/>
    <n v="0"/>
    <m/>
    <m/>
    <n v="0"/>
    <m/>
    <m/>
    <n v="0"/>
    <m/>
    <m/>
    <n v="0"/>
    <m/>
    <m/>
    <n v="0"/>
    <m/>
    <m/>
    <n v="0"/>
    <n v="103"/>
    <n v="49728"/>
    <n v="5121984"/>
    <n v="104"/>
    <n v="50951"/>
    <n v="5298904"/>
    <m/>
    <m/>
    <n v="0"/>
    <m/>
    <m/>
    <n v="0"/>
    <m/>
    <m/>
    <n v="0"/>
    <m/>
    <m/>
    <n v="0"/>
    <m/>
    <m/>
    <n v="0"/>
    <m/>
    <m/>
    <n v="0"/>
    <m/>
    <m/>
    <n v="0"/>
    <m/>
    <m/>
    <n v="0"/>
    <m/>
    <m/>
    <n v="0"/>
    <m/>
    <m/>
    <n v="0"/>
    <m/>
    <m/>
    <n v="0"/>
    <m/>
    <m/>
    <n v="0"/>
  </r>
  <r>
    <x v="3"/>
    <s v="Pensacola Junior College "/>
    <n v="136473"/>
    <x v="6"/>
    <m/>
    <m/>
    <n v="0"/>
    <m/>
    <m/>
    <n v="0"/>
    <m/>
    <m/>
    <n v="0"/>
    <m/>
    <m/>
    <n v="0"/>
    <m/>
    <m/>
    <n v="0"/>
    <m/>
    <m/>
    <n v="0"/>
    <m/>
    <m/>
    <n v="0"/>
    <m/>
    <m/>
    <n v="0"/>
    <m/>
    <m/>
    <n v="0"/>
    <m/>
    <m/>
    <n v="0"/>
    <n v="222"/>
    <n v="48697"/>
    <n v="10810734"/>
    <n v="217"/>
    <n v="48127"/>
    <n v="10443559"/>
    <m/>
    <m/>
    <n v="0"/>
    <m/>
    <m/>
    <n v="0"/>
    <m/>
    <m/>
    <n v="0"/>
    <m/>
    <m/>
    <n v="0"/>
    <m/>
    <m/>
    <n v="0"/>
    <m/>
    <m/>
    <n v="0"/>
    <m/>
    <m/>
    <n v="0"/>
    <m/>
    <m/>
    <n v="0"/>
    <m/>
    <m/>
    <n v="0"/>
    <m/>
    <m/>
    <n v="0"/>
    <m/>
    <m/>
    <n v="0"/>
    <m/>
    <m/>
    <n v="0"/>
  </r>
  <r>
    <x v="3"/>
    <s v="Santa Fe Community College "/>
    <n v="137096"/>
    <x v="6"/>
    <m/>
    <m/>
    <n v="0"/>
    <m/>
    <m/>
    <n v="0"/>
    <m/>
    <m/>
    <n v="0"/>
    <m/>
    <m/>
    <n v="0"/>
    <m/>
    <m/>
    <n v="0"/>
    <m/>
    <m/>
    <n v="0"/>
    <m/>
    <m/>
    <n v="0"/>
    <m/>
    <m/>
    <n v="0"/>
    <m/>
    <m/>
    <n v="0"/>
    <m/>
    <m/>
    <n v="0"/>
    <n v="252"/>
    <n v="46878"/>
    <n v="11813256"/>
    <n v="244"/>
    <n v="46149"/>
    <n v="11260356"/>
    <m/>
    <m/>
    <n v="0"/>
    <m/>
    <m/>
    <n v="0"/>
    <m/>
    <m/>
    <n v="0"/>
    <m/>
    <m/>
    <n v="0"/>
    <m/>
    <m/>
    <n v="0"/>
    <m/>
    <m/>
    <n v="0"/>
    <m/>
    <m/>
    <n v="0"/>
    <m/>
    <m/>
    <n v="0"/>
    <m/>
    <m/>
    <n v="0"/>
    <m/>
    <m/>
    <n v="0"/>
    <m/>
    <m/>
    <n v="0"/>
    <m/>
    <m/>
    <n v="0"/>
  </r>
  <r>
    <x v="3"/>
    <s v="Seminole Community College "/>
    <n v="137209"/>
    <x v="6"/>
    <m/>
    <m/>
    <n v="0"/>
    <m/>
    <m/>
    <n v="0"/>
    <m/>
    <m/>
    <n v="0"/>
    <m/>
    <m/>
    <n v="0"/>
    <m/>
    <m/>
    <n v="0"/>
    <m/>
    <m/>
    <n v="0"/>
    <m/>
    <m/>
    <n v="0"/>
    <m/>
    <m/>
    <n v="0"/>
    <m/>
    <m/>
    <n v="0"/>
    <m/>
    <m/>
    <n v="0"/>
    <n v="187"/>
    <n v="48277"/>
    <n v="9027799"/>
    <n v="197"/>
    <n v="53163"/>
    <n v="10473111"/>
    <m/>
    <m/>
    <n v="0"/>
    <m/>
    <m/>
    <n v="0"/>
    <m/>
    <m/>
    <n v="0"/>
    <m/>
    <m/>
    <n v="0"/>
    <m/>
    <m/>
    <n v="0"/>
    <m/>
    <m/>
    <n v="0"/>
    <m/>
    <m/>
    <n v="0"/>
    <m/>
    <m/>
    <n v="0"/>
    <m/>
    <m/>
    <n v="0"/>
    <m/>
    <m/>
    <n v="0"/>
    <m/>
    <m/>
    <n v="0"/>
    <m/>
    <m/>
    <n v="0"/>
  </r>
  <r>
    <x v="3"/>
    <s v="Tallahassee Community College "/>
    <n v="137759"/>
    <x v="6"/>
    <m/>
    <m/>
    <n v="0"/>
    <m/>
    <m/>
    <n v="0"/>
    <m/>
    <m/>
    <n v="0"/>
    <m/>
    <m/>
    <n v="0"/>
    <m/>
    <m/>
    <n v="0"/>
    <m/>
    <m/>
    <n v="0"/>
    <m/>
    <m/>
    <n v="0"/>
    <m/>
    <m/>
    <n v="0"/>
    <m/>
    <m/>
    <n v="0"/>
    <m/>
    <m/>
    <n v="0"/>
    <n v="180"/>
    <n v="60786"/>
    <n v="10941480"/>
    <n v="179"/>
    <n v="59823"/>
    <n v="10708317"/>
    <m/>
    <m/>
    <n v="0"/>
    <m/>
    <m/>
    <n v="0"/>
    <m/>
    <m/>
    <n v="0"/>
    <m/>
    <m/>
    <n v="0"/>
    <m/>
    <m/>
    <n v="0"/>
    <m/>
    <m/>
    <n v="0"/>
    <m/>
    <m/>
    <n v="0"/>
    <m/>
    <m/>
    <n v="0"/>
    <m/>
    <m/>
    <n v="0"/>
    <m/>
    <m/>
    <n v="0"/>
    <m/>
    <m/>
    <n v="0"/>
    <m/>
    <m/>
    <n v="0"/>
  </r>
  <r>
    <x v="3"/>
    <s v="Valencia Community College "/>
    <n v="138187"/>
    <x v="6"/>
    <m/>
    <m/>
    <n v="0"/>
    <m/>
    <m/>
    <n v="0"/>
    <m/>
    <m/>
    <n v="0"/>
    <m/>
    <m/>
    <n v="0"/>
    <m/>
    <m/>
    <n v="0"/>
    <m/>
    <m/>
    <n v="0"/>
    <m/>
    <m/>
    <n v="0"/>
    <m/>
    <m/>
    <n v="0"/>
    <m/>
    <m/>
    <n v="0"/>
    <m/>
    <m/>
    <n v="0"/>
    <n v="332"/>
    <n v="52519"/>
    <n v="17436308"/>
    <n v="351"/>
    <n v="52640"/>
    <n v="18476640"/>
    <m/>
    <m/>
    <n v="0"/>
    <m/>
    <m/>
    <n v="0"/>
    <m/>
    <m/>
    <n v="0"/>
    <m/>
    <m/>
    <n v="0"/>
    <m/>
    <m/>
    <n v="0"/>
    <m/>
    <m/>
    <n v="0"/>
    <m/>
    <m/>
    <n v="0"/>
    <m/>
    <m/>
    <n v="0"/>
    <m/>
    <m/>
    <n v="0"/>
    <m/>
    <m/>
    <n v="0"/>
    <m/>
    <m/>
    <n v="0"/>
    <m/>
    <m/>
    <n v="0"/>
  </r>
  <r>
    <x v="3"/>
    <s v="Central Florida Community College "/>
    <n v="132851"/>
    <x v="7"/>
    <m/>
    <m/>
    <n v="0"/>
    <m/>
    <m/>
    <n v="0"/>
    <m/>
    <m/>
    <n v="0"/>
    <m/>
    <m/>
    <n v="0"/>
    <m/>
    <m/>
    <n v="0"/>
    <m/>
    <m/>
    <n v="0"/>
    <m/>
    <m/>
    <n v="0"/>
    <m/>
    <m/>
    <n v="0"/>
    <m/>
    <m/>
    <n v="0"/>
    <m/>
    <m/>
    <n v="0"/>
    <n v="108"/>
    <n v="49715"/>
    <n v="5369220"/>
    <n v="115"/>
    <n v="52079"/>
    <n v="5989085"/>
    <m/>
    <m/>
    <n v="0"/>
    <m/>
    <m/>
    <n v="0"/>
    <m/>
    <m/>
    <n v="0"/>
    <m/>
    <m/>
    <n v="0"/>
    <m/>
    <m/>
    <n v="0"/>
    <m/>
    <m/>
    <n v="0"/>
    <m/>
    <m/>
    <n v="0"/>
    <m/>
    <m/>
    <n v="0"/>
    <m/>
    <m/>
    <n v="0"/>
    <m/>
    <m/>
    <n v="0"/>
    <m/>
    <m/>
    <n v="0"/>
    <m/>
    <m/>
    <n v="0"/>
  </r>
  <r>
    <x v="3"/>
    <s v="Gulf Coast Community College "/>
    <n v="134343"/>
    <x v="7"/>
    <m/>
    <m/>
    <n v="0"/>
    <m/>
    <m/>
    <n v="0"/>
    <m/>
    <m/>
    <n v="0"/>
    <m/>
    <m/>
    <n v="0"/>
    <m/>
    <m/>
    <n v="0"/>
    <m/>
    <m/>
    <n v="0"/>
    <m/>
    <m/>
    <n v="0"/>
    <m/>
    <m/>
    <n v="0"/>
    <m/>
    <m/>
    <n v="0"/>
    <m/>
    <m/>
    <n v="0"/>
    <n v="114"/>
    <n v="52447"/>
    <n v="5978958"/>
    <n v="115"/>
    <n v="50531"/>
    <n v="5811065"/>
    <m/>
    <m/>
    <n v="0"/>
    <m/>
    <m/>
    <n v="0"/>
    <m/>
    <m/>
    <n v="0"/>
    <m/>
    <m/>
    <n v="0"/>
    <m/>
    <m/>
    <n v="0"/>
    <m/>
    <m/>
    <n v="0"/>
    <m/>
    <m/>
    <n v="0"/>
    <m/>
    <m/>
    <n v="0"/>
    <m/>
    <m/>
    <n v="0"/>
    <m/>
    <m/>
    <n v="0"/>
    <m/>
    <m/>
    <n v="0"/>
    <m/>
    <m/>
    <n v="0"/>
  </r>
  <r>
    <x v="3"/>
    <s v="Lake City Community College "/>
    <n v="135160"/>
    <x v="7"/>
    <m/>
    <m/>
    <n v="0"/>
    <m/>
    <m/>
    <n v="0"/>
    <m/>
    <m/>
    <n v="0"/>
    <m/>
    <m/>
    <n v="0"/>
    <m/>
    <m/>
    <n v="0"/>
    <m/>
    <m/>
    <n v="0"/>
    <m/>
    <m/>
    <n v="0"/>
    <m/>
    <m/>
    <n v="0"/>
    <m/>
    <m/>
    <n v="0"/>
    <m/>
    <m/>
    <n v="0"/>
    <n v="62"/>
    <n v="44470"/>
    <n v="2757140"/>
    <n v="68"/>
    <n v="43843"/>
    <n v="2981324"/>
    <m/>
    <m/>
    <n v="0"/>
    <m/>
    <m/>
    <n v="0"/>
    <m/>
    <m/>
    <n v="0"/>
    <m/>
    <m/>
    <n v="0"/>
    <m/>
    <m/>
    <n v="0"/>
    <m/>
    <m/>
    <n v="0"/>
    <m/>
    <m/>
    <n v="0"/>
    <m/>
    <m/>
    <n v="0"/>
    <m/>
    <m/>
    <n v="0"/>
    <m/>
    <m/>
    <n v="0"/>
    <m/>
    <m/>
    <n v="0"/>
    <m/>
    <m/>
    <n v="0"/>
  </r>
  <r>
    <x v="3"/>
    <s v="Lake-Sumter Community College "/>
    <n v="135188"/>
    <x v="7"/>
    <m/>
    <m/>
    <n v="0"/>
    <m/>
    <m/>
    <n v="0"/>
    <m/>
    <m/>
    <n v="0"/>
    <m/>
    <m/>
    <n v="0"/>
    <m/>
    <m/>
    <n v="0"/>
    <m/>
    <m/>
    <n v="0"/>
    <m/>
    <m/>
    <n v="0"/>
    <m/>
    <m/>
    <n v="0"/>
    <m/>
    <m/>
    <n v="0"/>
    <m/>
    <m/>
    <n v="0"/>
    <n v="68"/>
    <n v="44087"/>
    <n v="2997916"/>
    <n v="70"/>
    <n v="43637"/>
    <n v="3054590"/>
    <m/>
    <m/>
    <n v="0"/>
    <m/>
    <m/>
    <n v="0"/>
    <m/>
    <m/>
    <n v="0"/>
    <m/>
    <m/>
    <n v="0"/>
    <m/>
    <m/>
    <n v="0"/>
    <m/>
    <m/>
    <n v="0"/>
    <m/>
    <m/>
    <n v="0"/>
    <m/>
    <m/>
    <n v="0"/>
    <m/>
    <m/>
    <n v="0"/>
    <m/>
    <m/>
    <n v="0"/>
    <m/>
    <m/>
    <n v="0"/>
    <m/>
    <m/>
    <n v="0"/>
  </r>
  <r>
    <x v="3"/>
    <s v="Polk Community College "/>
    <n v="136516"/>
    <x v="7"/>
    <m/>
    <m/>
    <n v="0"/>
    <m/>
    <m/>
    <n v="0"/>
    <m/>
    <m/>
    <n v="0"/>
    <m/>
    <m/>
    <n v="0"/>
    <m/>
    <m/>
    <n v="0"/>
    <m/>
    <m/>
    <n v="0"/>
    <m/>
    <m/>
    <n v="0"/>
    <m/>
    <m/>
    <n v="0"/>
    <m/>
    <m/>
    <n v="0"/>
    <m/>
    <m/>
    <n v="0"/>
    <n v="121"/>
    <n v="43175"/>
    <n v="5224175"/>
    <n v="117"/>
    <n v="45739"/>
    <n v="5351463"/>
    <m/>
    <m/>
    <n v="0"/>
    <m/>
    <m/>
    <n v="0"/>
    <m/>
    <m/>
    <n v="0"/>
    <m/>
    <m/>
    <n v="0"/>
    <m/>
    <m/>
    <n v="0"/>
    <m/>
    <m/>
    <n v="0"/>
    <m/>
    <m/>
    <n v="0"/>
    <m/>
    <m/>
    <n v="0"/>
    <m/>
    <m/>
    <n v="0"/>
    <m/>
    <m/>
    <n v="0"/>
    <m/>
    <m/>
    <n v="0"/>
    <m/>
    <m/>
    <n v="0"/>
  </r>
  <r>
    <x v="3"/>
    <s v="South Florida Community College "/>
    <n v="137315"/>
    <x v="7"/>
    <m/>
    <m/>
    <n v="0"/>
    <m/>
    <m/>
    <n v="0"/>
    <m/>
    <m/>
    <n v="0"/>
    <m/>
    <m/>
    <n v="0"/>
    <m/>
    <m/>
    <n v="0"/>
    <m/>
    <m/>
    <n v="0"/>
    <m/>
    <m/>
    <n v="0"/>
    <m/>
    <m/>
    <n v="0"/>
    <m/>
    <m/>
    <n v="0"/>
    <m/>
    <m/>
    <n v="0"/>
    <n v="64"/>
    <n v="46714"/>
    <n v="2989696"/>
    <n v="62"/>
    <n v="46865"/>
    <n v="2905630"/>
    <m/>
    <m/>
    <n v="0"/>
    <m/>
    <m/>
    <n v="0"/>
    <m/>
    <m/>
    <n v="0"/>
    <m/>
    <m/>
    <n v="0"/>
    <m/>
    <m/>
    <n v="0"/>
    <m/>
    <m/>
    <n v="0"/>
    <m/>
    <m/>
    <n v="0"/>
    <m/>
    <m/>
    <n v="0"/>
    <m/>
    <m/>
    <n v="0"/>
    <m/>
    <m/>
    <n v="0"/>
    <m/>
    <m/>
    <n v="0"/>
    <m/>
    <m/>
    <n v="0"/>
  </r>
  <r>
    <x v="3"/>
    <s v="St. Johns River Community College "/>
    <n v="137281"/>
    <x v="7"/>
    <m/>
    <m/>
    <n v="0"/>
    <m/>
    <m/>
    <n v="0"/>
    <m/>
    <m/>
    <n v="0"/>
    <m/>
    <m/>
    <n v="0"/>
    <m/>
    <m/>
    <n v="0"/>
    <m/>
    <m/>
    <n v="0"/>
    <m/>
    <m/>
    <n v="0"/>
    <m/>
    <m/>
    <n v="0"/>
    <m/>
    <m/>
    <n v="0"/>
    <m/>
    <m/>
    <n v="0"/>
    <n v="96"/>
    <n v="46963"/>
    <n v="4508448"/>
    <n v="109"/>
    <n v="46916"/>
    <n v="5113844"/>
    <m/>
    <m/>
    <n v="0"/>
    <m/>
    <m/>
    <n v="0"/>
    <m/>
    <m/>
    <n v="0"/>
    <m/>
    <m/>
    <n v="0"/>
    <m/>
    <m/>
    <n v="0"/>
    <m/>
    <m/>
    <n v="0"/>
    <m/>
    <m/>
    <n v="0"/>
    <m/>
    <m/>
    <n v="0"/>
    <m/>
    <m/>
    <n v="0"/>
    <m/>
    <m/>
    <n v="0"/>
    <m/>
    <m/>
    <n v="0"/>
    <m/>
    <m/>
    <n v="0"/>
  </r>
  <r>
    <x v="3"/>
    <s v="Florida Keys Community College "/>
    <n v="133960"/>
    <x v="8"/>
    <m/>
    <m/>
    <n v="0"/>
    <m/>
    <m/>
    <n v="0"/>
    <m/>
    <m/>
    <n v="0"/>
    <m/>
    <m/>
    <n v="0"/>
    <m/>
    <m/>
    <n v="0"/>
    <m/>
    <m/>
    <n v="0"/>
    <m/>
    <m/>
    <n v="0"/>
    <m/>
    <m/>
    <n v="0"/>
    <m/>
    <m/>
    <n v="0"/>
    <m/>
    <m/>
    <n v="0"/>
    <n v="23"/>
    <n v="43202"/>
    <n v="993646"/>
    <n v="19"/>
    <n v="50448"/>
    <n v="958512"/>
    <m/>
    <m/>
    <n v="0"/>
    <m/>
    <m/>
    <n v="0"/>
    <m/>
    <m/>
    <n v="0"/>
    <m/>
    <m/>
    <n v="0"/>
    <m/>
    <m/>
    <n v="0"/>
    <m/>
    <m/>
    <n v="0"/>
    <m/>
    <m/>
    <n v="0"/>
    <m/>
    <m/>
    <n v="0"/>
    <m/>
    <m/>
    <n v="0"/>
    <m/>
    <m/>
    <n v="0"/>
    <m/>
    <m/>
    <n v="0"/>
    <m/>
    <m/>
    <n v="0"/>
  </r>
  <r>
    <x v="3"/>
    <s v="North Florida Community College "/>
    <n v="136145"/>
    <x v="8"/>
    <m/>
    <m/>
    <n v="0"/>
    <m/>
    <m/>
    <n v="0"/>
    <m/>
    <m/>
    <n v="0"/>
    <m/>
    <m/>
    <n v="0"/>
    <m/>
    <m/>
    <n v="0"/>
    <m/>
    <m/>
    <n v="0"/>
    <m/>
    <m/>
    <n v="0"/>
    <m/>
    <m/>
    <n v="0"/>
    <m/>
    <m/>
    <n v="0"/>
    <m/>
    <m/>
    <n v="0"/>
    <n v="35"/>
    <n v="41426"/>
    <n v="1449910"/>
    <n v="37"/>
    <n v="42050"/>
    <n v="1555850"/>
    <m/>
    <m/>
    <n v="0"/>
    <m/>
    <m/>
    <n v="0"/>
    <m/>
    <m/>
    <n v="0"/>
    <m/>
    <m/>
    <n v="0"/>
    <m/>
    <m/>
    <n v="0"/>
    <m/>
    <m/>
    <n v="0"/>
    <m/>
    <m/>
    <n v="0"/>
    <m/>
    <m/>
    <n v="0"/>
    <m/>
    <m/>
    <n v="0"/>
    <m/>
    <m/>
    <n v="0"/>
    <m/>
    <m/>
    <n v="0"/>
    <m/>
    <m/>
    <n v="0"/>
  </r>
  <r>
    <x v="4"/>
    <s v="Georgia State University "/>
    <n v="139940"/>
    <x v="0"/>
    <n v="180"/>
    <n v="112875"/>
    <n v="20317500"/>
    <n v="190"/>
    <n v="119435"/>
    <n v="22692650"/>
    <n v="303"/>
    <n v="72989"/>
    <n v="22115667"/>
    <n v="305"/>
    <n v="76601"/>
    <n v="23363305"/>
    <n v="299"/>
    <n v="61777"/>
    <n v="18471323"/>
    <n v="331"/>
    <n v="64899"/>
    <n v="21481569"/>
    <n v="92"/>
    <n v="44842"/>
    <n v="4125464"/>
    <n v="85"/>
    <n v="47267"/>
    <n v="4017695"/>
    <n v="101"/>
    <n v="41822"/>
    <n v="4224022"/>
    <n v="128"/>
    <n v="43092"/>
    <n v="5515776"/>
    <m/>
    <m/>
    <n v="0"/>
    <m/>
    <m/>
    <n v="0"/>
    <n v="43"/>
    <n v="147819"/>
    <n v="5200656.7494000001"/>
    <n v="41"/>
    <n v="157508"/>
    <n v="5283794.8695999999"/>
    <n v="22"/>
    <n v="100920"/>
    <n v="1816600.368"/>
    <n v="22"/>
    <n v="106023"/>
    <n v="1908456.4092000001"/>
    <n v="6"/>
    <n v="76878"/>
    <n v="377409.47760000004"/>
    <n v="7"/>
    <n v="80627"/>
    <n v="461783.07980000001"/>
    <n v="2"/>
    <n v="45350"/>
    <n v="74210.740000000005"/>
    <n v="3"/>
    <n v="65357"/>
    <n v="160425.2922"/>
    <n v="5"/>
    <n v="79870"/>
    <n v="326748.17000000004"/>
    <n v="5"/>
    <n v="83752"/>
    <n v="342629.43200000003"/>
    <m/>
    <m/>
    <n v="0"/>
    <m/>
    <m/>
    <n v="0"/>
  </r>
  <r>
    <x v="4"/>
    <s v="University of Georgia"/>
    <n v="139959"/>
    <x v="0"/>
    <n v="349"/>
    <n v="103439"/>
    <n v="36100211"/>
    <n v="462"/>
    <n v="107101"/>
    <n v="49480662"/>
    <n v="236"/>
    <n v="73204"/>
    <n v="17276144"/>
    <n v="378"/>
    <n v="74125"/>
    <n v="28019250"/>
    <n v="203"/>
    <n v="68347"/>
    <n v="13874441"/>
    <n v="304"/>
    <n v="70122"/>
    <n v="21317088"/>
    <n v="10"/>
    <n v="44299"/>
    <n v="442990"/>
    <n v="16"/>
    <n v="52032"/>
    <n v="832512"/>
    <n v="51"/>
    <n v="58134"/>
    <n v="2964834"/>
    <n v="80"/>
    <n v="58571"/>
    <n v="4685680"/>
    <m/>
    <m/>
    <n v="0"/>
    <m/>
    <m/>
    <n v="0"/>
    <n v="352"/>
    <n v="111602"/>
    <n v="32142090.252800003"/>
    <n v="250"/>
    <n v="118643"/>
    <n v="24268425.650000002"/>
    <n v="267"/>
    <n v="76527"/>
    <n v="16718042.503800001"/>
    <n v="130"/>
    <n v="88786"/>
    <n v="9443811.6760000009"/>
    <n v="179"/>
    <n v="69757"/>
    <n v="10216456.7546"/>
    <n v="83"/>
    <n v="79628"/>
    <n v="5407585.2568000006"/>
    <n v="14"/>
    <n v="67983"/>
    <n v="778731.66840000008"/>
    <n v="10"/>
    <n v="65764"/>
    <n v="538081.04800000007"/>
    <n v="20"/>
    <n v="56141"/>
    <n v="918691.32400000002"/>
    <n v="7"/>
    <n v="66235"/>
    <n v="379354.33900000004"/>
    <m/>
    <m/>
    <n v="0"/>
    <m/>
    <m/>
    <n v="0"/>
  </r>
  <r>
    <x v="4"/>
    <s v="Georgia Institute of Technology"/>
    <n v="139755"/>
    <x v="1"/>
    <n v="325"/>
    <n v="137585"/>
    <n v="44715125"/>
    <n v="316"/>
    <n v="143236"/>
    <n v="45262576"/>
    <n v="236"/>
    <n v="99214"/>
    <n v="23414504"/>
    <n v="231"/>
    <n v="103830"/>
    <n v="23984730"/>
    <n v="231"/>
    <n v="87496"/>
    <n v="20211576"/>
    <n v="241"/>
    <n v="91258"/>
    <n v="21993178"/>
    <n v="11"/>
    <n v="43154"/>
    <n v="474694"/>
    <n v="11"/>
    <n v="44333"/>
    <n v="487663"/>
    <n v="4"/>
    <n v="68120"/>
    <n v="272480"/>
    <n v="4"/>
    <n v="69737"/>
    <n v="278948"/>
    <m/>
    <m/>
    <n v="0"/>
    <m/>
    <m/>
    <n v="0"/>
    <n v="100"/>
    <n v="201817"/>
    <n v="16512666.940000001"/>
    <n v="99"/>
    <n v="211736"/>
    <n v="17150997.1248"/>
    <n v="11"/>
    <n v="127575"/>
    <n v="1148200.5150000001"/>
    <n v="12"/>
    <n v="142176"/>
    <n v="1395940.8384"/>
    <n v="1"/>
    <n v="79000"/>
    <n v="64637.8"/>
    <n v="1"/>
    <n v="163800"/>
    <n v="134021.16"/>
    <n v="1"/>
    <n v="58000"/>
    <n v="47455.600000000006"/>
    <n v="3"/>
    <n v="53701"/>
    <n v="131814.47460000002"/>
    <n v="5"/>
    <n v="63069"/>
    <n v="258015.27900000001"/>
    <n v="5"/>
    <n v="64971"/>
    <n v="265796.36100000003"/>
    <m/>
    <m/>
    <n v="0"/>
    <m/>
    <m/>
    <n v="0"/>
  </r>
  <r>
    <x v="4"/>
    <s v="Georgia Southern University"/>
    <n v="139931"/>
    <x v="2"/>
    <n v="121"/>
    <n v="77015"/>
    <n v="9318815"/>
    <n v="125"/>
    <n v="79093"/>
    <n v="9886625"/>
    <n v="162"/>
    <n v="62728"/>
    <n v="10161936"/>
    <n v="173"/>
    <n v="65670"/>
    <n v="11360910"/>
    <n v="275"/>
    <n v="54180"/>
    <n v="14899500"/>
    <n v="274"/>
    <n v="55777"/>
    <n v="15282898"/>
    <n v="114"/>
    <n v="36158"/>
    <n v="4122012"/>
    <n v="120"/>
    <n v="37206"/>
    <n v="4464720"/>
    <n v="5"/>
    <n v="44100"/>
    <n v="220500"/>
    <n v="10"/>
    <n v="46000"/>
    <n v="460000"/>
    <m/>
    <m/>
    <n v="0"/>
    <m/>
    <m/>
    <n v="0"/>
    <n v="25"/>
    <n v="106092"/>
    <n v="2170111.86"/>
    <n v="25"/>
    <n v="108193"/>
    <n v="2213087.8149999999"/>
    <n v="7"/>
    <n v="96105"/>
    <n v="550431.777"/>
    <n v="7"/>
    <n v="97293"/>
    <n v="557235.92820000008"/>
    <n v="2"/>
    <n v="69954"/>
    <n v="114472.72560000001"/>
    <n v="3"/>
    <n v="80469"/>
    <n v="197519.20740000001"/>
    <n v="1"/>
    <n v="47844"/>
    <n v="39145.960800000001"/>
    <n v="4"/>
    <n v="53831"/>
    <n v="176178.0968"/>
    <n v="2"/>
    <n v="90000"/>
    <n v="147276"/>
    <n v="3"/>
    <n v="92621"/>
    <n v="227347.50660000002"/>
    <m/>
    <m/>
    <n v="0"/>
    <m/>
    <m/>
    <n v="0"/>
  </r>
  <r>
    <x v="4"/>
    <s v="University of West Georgia"/>
    <n v="141334"/>
    <x v="2"/>
    <n v="67"/>
    <n v="75601"/>
    <n v="5065267"/>
    <n v="61"/>
    <n v="79628"/>
    <n v="4857308"/>
    <n v="92"/>
    <n v="57180"/>
    <n v="5260560"/>
    <n v="90"/>
    <n v="58908"/>
    <n v="5301720"/>
    <n v="125"/>
    <n v="50500"/>
    <n v="6312500"/>
    <n v="137"/>
    <n v="51994"/>
    <n v="7123178"/>
    <n v="82"/>
    <n v="37129"/>
    <n v="3044578"/>
    <n v="89"/>
    <n v="37188"/>
    <n v="3309732"/>
    <n v="13"/>
    <n v="49457"/>
    <n v="642941"/>
    <n v="17"/>
    <n v="48052"/>
    <n v="816884"/>
    <m/>
    <m/>
    <n v="0"/>
    <m/>
    <m/>
    <n v="0"/>
    <n v="9"/>
    <n v="110167"/>
    <n v="811247.75459999999"/>
    <n v="8"/>
    <n v="109496"/>
    <n v="716717.01760000002"/>
    <n v="3"/>
    <n v="94560"/>
    <n v="232106.97600000002"/>
    <n v="2"/>
    <n v="108882"/>
    <n v="178174.5048"/>
    <n v="2"/>
    <n v="79500"/>
    <n v="130093.8"/>
    <n v="2"/>
    <n v="79500"/>
    <n v="130093.8"/>
    <n v="0"/>
    <m/>
    <n v="0"/>
    <n v="1"/>
    <n v="39500"/>
    <n v="32318.9"/>
    <m/>
    <m/>
    <n v="0"/>
    <m/>
    <m/>
    <n v="0"/>
    <m/>
    <m/>
    <n v="0"/>
    <m/>
    <m/>
    <n v="0"/>
  </r>
  <r>
    <x v="4"/>
    <s v="Valdosta State University "/>
    <n v="141264"/>
    <x v="2"/>
    <n v="116"/>
    <n v="69647"/>
    <n v="8079052"/>
    <n v="116"/>
    <n v="74550"/>
    <n v="8647800"/>
    <n v="99"/>
    <n v="56261"/>
    <n v="5569839"/>
    <n v="98"/>
    <n v="59174"/>
    <n v="5799052"/>
    <n v="114"/>
    <n v="51834"/>
    <n v="5909076"/>
    <n v="118"/>
    <n v="53184"/>
    <n v="6275712"/>
    <n v="15"/>
    <n v="46222"/>
    <n v="693330"/>
    <n v="15"/>
    <n v="47496"/>
    <n v="712440"/>
    <n v="3"/>
    <n v="41167"/>
    <n v="123501"/>
    <n v="24"/>
    <n v="40363"/>
    <n v="968712"/>
    <m/>
    <m/>
    <n v="0"/>
    <m/>
    <m/>
    <n v="0"/>
    <n v="29"/>
    <n v="90034"/>
    <n v="2136308.7452000002"/>
    <n v="26"/>
    <n v="91263"/>
    <n v="1941456.0516000001"/>
    <n v="13"/>
    <n v="70255"/>
    <n v="747274.33299999998"/>
    <n v="13"/>
    <n v="73386"/>
    <n v="780577.52760000003"/>
    <n v="10"/>
    <n v="61907"/>
    <n v="506523.07400000002"/>
    <n v="9"/>
    <n v="64611"/>
    <n v="475782.48180000001"/>
    <n v="16"/>
    <n v="50735"/>
    <n v="664182.03200000001"/>
    <n v="16"/>
    <n v="53076"/>
    <n v="694828.53120000008"/>
    <m/>
    <m/>
    <n v="0"/>
    <m/>
    <m/>
    <n v="0"/>
    <m/>
    <m/>
    <n v="0"/>
    <m/>
    <m/>
    <n v="0"/>
  </r>
  <r>
    <x v="4"/>
    <s v="Albany State University "/>
    <n v="138716"/>
    <x v="3"/>
    <n v="14"/>
    <n v="68890"/>
    <n v="964460"/>
    <n v="14"/>
    <n v="70918"/>
    <n v="992852"/>
    <n v="33"/>
    <n v="58810"/>
    <n v="1940730"/>
    <n v="32"/>
    <n v="61108"/>
    <n v="1955456"/>
    <n v="76"/>
    <n v="50315"/>
    <n v="3823940"/>
    <n v="79"/>
    <n v="51722"/>
    <n v="4086038"/>
    <n v="14"/>
    <n v="45910"/>
    <n v="642740"/>
    <n v="17"/>
    <n v="46510"/>
    <n v="790670"/>
    <m/>
    <m/>
    <n v="0"/>
    <n v="0"/>
    <m/>
    <n v="0"/>
    <m/>
    <m/>
    <n v="0"/>
    <m/>
    <m/>
    <n v="0"/>
    <n v="2"/>
    <n v="90450"/>
    <n v="148012.38"/>
    <n v="3"/>
    <n v="95149"/>
    <n v="233552.73540000001"/>
    <n v="5"/>
    <n v="84739"/>
    <n v="346667.24900000001"/>
    <n v="5"/>
    <n v="85237"/>
    <n v="348704.56700000004"/>
    <n v="3"/>
    <n v="73702"/>
    <n v="180908.92920000001"/>
    <n v="4"/>
    <n v="71010"/>
    <n v="232401.52800000002"/>
    <n v="1"/>
    <n v="58000"/>
    <n v="47455.600000000006"/>
    <n v="0"/>
    <m/>
    <n v="0"/>
    <m/>
    <m/>
    <n v="0"/>
    <m/>
    <m/>
    <n v="0"/>
    <m/>
    <m/>
    <n v="0"/>
    <m/>
    <m/>
    <n v="0"/>
  </r>
  <r>
    <x v="4"/>
    <s v="Armstrong Atlantic State University"/>
    <n v="138789"/>
    <x v="3"/>
    <n v="36"/>
    <n v="70451"/>
    <n v="2536236"/>
    <n v="39"/>
    <n v="80427"/>
    <n v="3136653"/>
    <n v="44"/>
    <n v="55027"/>
    <n v="2421188"/>
    <n v="47"/>
    <n v="59434"/>
    <n v="2793398"/>
    <n v="116"/>
    <n v="49378"/>
    <n v="5727848"/>
    <n v="111"/>
    <n v="50366"/>
    <n v="5590626"/>
    <n v="25"/>
    <n v="39437"/>
    <n v="985925"/>
    <n v="25"/>
    <n v="41592"/>
    <n v="1039800"/>
    <m/>
    <m/>
    <n v="0"/>
    <n v="0"/>
    <m/>
    <n v="0"/>
    <m/>
    <m/>
    <n v="0"/>
    <m/>
    <m/>
    <n v="0"/>
    <n v="14"/>
    <n v="90530"/>
    <n v="1037003.044"/>
    <n v="13"/>
    <n v="94075"/>
    <n v="1000638.145"/>
    <n v="13"/>
    <n v="88191"/>
    <n v="938052.39060000004"/>
    <n v="13"/>
    <n v="93374"/>
    <n v="993181.88840000005"/>
    <n v="12"/>
    <n v="64638"/>
    <n v="634641.73920000007"/>
    <n v="12"/>
    <n v="67443"/>
    <n v="662182.35120000003"/>
    <n v="3"/>
    <n v="54790"/>
    <n v="134487.53400000001"/>
    <n v="2"/>
    <n v="54792"/>
    <n v="89661.628800000006"/>
    <m/>
    <m/>
    <n v="0"/>
    <m/>
    <m/>
    <n v="0"/>
    <m/>
    <m/>
    <n v="0"/>
    <m/>
    <m/>
    <n v="0"/>
  </r>
  <r>
    <x v="4"/>
    <s v="Columbus State University"/>
    <n v="139366"/>
    <x v="3"/>
    <n v="43"/>
    <n v="68345"/>
    <n v="2938835"/>
    <n v="41"/>
    <n v="70247"/>
    <n v="2880127"/>
    <n v="78"/>
    <n v="56908"/>
    <n v="4438824"/>
    <n v="69"/>
    <n v="60466"/>
    <n v="4172154"/>
    <n v="86"/>
    <n v="48135"/>
    <n v="4139610"/>
    <n v="89"/>
    <n v="50941"/>
    <n v="4533749"/>
    <n v="8"/>
    <n v="47991"/>
    <n v="383928"/>
    <n v="6"/>
    <n v="49617"/>
    <n v="297702"/>
    <n v="1"/>
    <n v="55000"/>
    <n v="55000"/>
    <n v="6"/>
    <n v="43983"/>
    <n v="263898"/>
    <m/>
    <m/>
    <n v="0"/>
    <m/>
    <m/>
    <n v="0"/>
    <n v="8"/>
    <n v="101532"/>
    <n v="664587.85920000006"/>
    <n v="9"/>
    <n v="104969"/>
    <n v="772970.72220000008"/>
    <n v="7"/>
    <n v="80602"/>
    <n v="461639.89480000001"/>
    <n v="5"/>
    <n v="77909"/>
    <n v="318725.71900000004"/>
    <n v="8"/>
    <n v="52172"/>
    <n v="341497.04320000001"/>
    <n v="6"/>
    <n v="47219"/>
    <n v="231807.5148"/>
    <n v="1"/>
    <n v="66000"/>
    <n v="54001.200000000004"/>
    <n v="2"/>
    <n v="40000"/>
    <n v="65456"/>
    <m/>
    <m/>
    <n v="0"/>
    <m/>
    <m/>
    <n v="0"/>
    <m/>
    <m/>
    <n v="0"/>
    <m/>
    <m/>
    <n v="0"/>
  </r>
  <r>
    <x v="4"/>
    <s v="Georgia College and State University"/>
    <n v="139861"/>
    <x v="3"/>
    <n v="53"/>
    <n v="63387"/>
    <n v="3359511"/>
    <n v="51"/>
    <n v="67448"/>
    <n v="3439848"/>
    <n v="54"/>
    <n v="54278"/>
    <n v="2931012"/>
    <n v="52"/>
    <n v="55984"/>
    <n v="2911168"/>
    <n v="98"/>
    <n v="51583"/>
    <n v="5055134"/>
    <n v="81"/>
    <n v="52052"/>
    <n v="4216212"/>
    <n v="20"/>
    <n v="39763"/>
    <n v="795260"/>
    <n v="15"/>
    <n v="44829"/>
    <n v="672435"/>
    <n v="6"/>
    <n v="40166"/>
    <n v="240996"/>
    <n v="5"/>
    <n v="40899"/>
    <n v="204495"/>
    <m/>
    <m/>
    <n v="0"/>
    <m/>
    <m/>
    <n v="0"/>
    <n v="19"/>
    <n v="88976"/>
    <n v="1383203.1008000001"/>
    <n v="20"/>
    <n v="89377"/>
    <n v="1462565.2280000001"/>
    <n v="7"/>
    <n v="58792"/>
    <n v="336725.30080000003"/>
    <n v="9"/>
    <n v="64881"/>
    <n v="477770.70780000003"/>
    <n v="3"/>
    <n v="63820"/>
    <n v="156652.57200000001"/>
    <n v="7"/>
    <n v="71929"/>
    <n v="411966.15460000001"/>
    <n v="2"/>
    <n v="50943"/>
    <n v="83363.125200000009"/>
    <n v="2"/>
    <n v="51855"/>
    <n v="84855.521999999997"/>
    <m/>
    <m/>
    <n v="0"/>
    <m/>
    <m/>
    <n v="0"/>
    <m/>
    <m/>
    <n v="0"/>
    <m/>
    <m/>
    <n v="0"/>
  </r>
  <r>
    <x v="4"/>
    <s v="Kennesaw State University"/>
    <n v="140164"/>
    <x v="3"/>
    <n v="109"/>
    <n v="77552"/>
    <n v="8453168"/>
    <n v="104"/>
    <n v="80670"/>
    <n v="8389680"/>
    <n v="129"/>
    <n v="63542"/>
    <n v="8196918"/>
    <n v="137"/>
    <n v="65788"/>
    <n v="9012956"/>
    <n v="235"/>
    <n v="54575"/>
    <n v="12825125"/>
    <n v="236"/>
    <n v="56237"/>
    <n v="13271932"/>
    <n v="57"/>
    <n v="42147"/>
    <n v="2402379"/>
    <n v="12"/>
    <n v="43708"/>
    <n v="524496"/>
    <n v="62"/>
    <n v="44543"/>
    <n v="2761666"/>
    <n v="74"/>
    <n v="46226"/>
    <n v="3420724"/>
    <m/>
    <m/>
    <n v="0"/>
    <m/>
    <m/>
    <n v="0"/>
    <n v="31"/>
    <n v="100149"/>
    <n v="2540199.2658000002"/>
    <n v="45"/>
    <n v="106890"/>
    <n v="3935582.91"/>
    <n v="14"/>
    <n v="83963"/>
    <n v="961779.37239999999"/>
    <n v="19"/>
    <n v="88607"/>
    <n v="1377466.7006000001"/>
    <n v="12"/>
    <n v="83153"/>
    <n v="816429.41520000005"/>
    <n v="15"/>
    <n v="83535"/>
    <n v="1025225.0550000001"/>
    <n v="5"/>
    <n v="56681"/>
    <n v="231881.97100000002"/>
    <n v="2"/>
    <n v="54103"/>
    <n v="88534.1492"/>
    <n v="8"/>
    <n v="66068"/>
    <n v="432454.70079999999"/>
    <n v="10"/>
    <n v="68077"/>
    <n v="557006.01400000008"/>
    <m/>
    <m/>
    <n v="0"/>
    <m/>
    <m/>
    <n v="0"/>
  </r>
  <r>
    <x v="4"/>
    <s v="Augusta State University"/>
    <n v="138983"/>
    <x v="4"/>
    <n v="54"/>
    <n v="72785"/>
    <n v="3930390"/>
    <n v="50"/>
    <n v="75178"/>
    <n v="3758900"/>
    <n v="56"/>
    <n v="57267"/>
    <n v="3206952"/>
    <n v="57"/>
    <n v="58962"/>
    <n v="3360834"/>
    <n v="82"/>
    <n v="49869"/>
    <n v="4089258"/>
    <n v="86"/>
    <n v="52809"/>
    <n v="4541574"/>
    <n v="33"/>
    <n v="41150"/>
    <n v="1357950"/>
    <n v="32"/>
    <n v="38831"/>
    <n v="1242592"/>
    <n v="7"/>
    <n v="37592"/>
    <n v="263144"/>
    <n v="11"/>
    <n v="43830"/>
    <n v="482130"/>
    <m/>
    <m/>
    <n v="0"/>
    <m/>
    <m/>
    <n v="0"/>
    <n v="1"/>
    <n v="83751"/>
    <n v="68525.068200000009"/>
    <n v="1"/>
    <n v="86515"/>
    <n v="70786.573000000004"/>
    <n v="0"/>
    <m/>
    <n v="0"/>
    <n v="1"/>
    <n v="78627"/>
    <n v="64332.611400000002"/>
    <n v="1"/>
    <n v="65000"/>
    <n v="53183"/>
    <n v="0"/>
    <m/>
    <n v="0"/>
    <n v="1"/>
    <n v="65869"/>
    <n v="53894.015800000001"/>
    <n v="1"/>
    <n v="66857"/>
    <n v="54702.397400000002"/>
    <m/>
    <m/>
    <n v="0"/>
    <m/>
    <m/>
    <n v="0"/>
    <m/>
    <m/>
    <n v="0"/>
    <m/>
    <m/>
    <n v="0"/>
  </r>
  <r>
    <x v="4"/>
    <s v="Fort Valley State University"/>
    <n v="139719"/>
    <x v="4"/>
    <n v="11"/>
    <n v="76476"/>
    <n v="841236"/>
    <n v="11"/>
    <n v="76795"/>
    <n v="844745"/>
    <n v="23"/>
    <n v="58842"/>
    <n v="1353366"/>
    <n v="23"/>
    <n v="59993"/>
    <n v="1379839"/>
    <n v="37"/>
    <n v="46383"/>
    <n v="1716171"/>
    <n v="36"/>
    <n v="47824"/>
    <n v="1721664"/>
    <n v="11"/>
    <n v="41455"/>
    <n v="456005"/>
    <n v="12"/>
    <n v="43934"/>
    <n v="527208"/>
    <m/>
    <m/>
    <n v="0"/>
    <n v="0"/>
    <m/>
    <n v="0"/>
    <m/>
    <m/>
    <n v="0"/>
    <m/>
    <m/>
    <n v="0"/>
    <n v="9"/>
    <n v="86772"/>
    <n v="638971.65360000008"/>
    <n v="8"/>
    <n v="95154"/>
    <n v="622840.02240000002"/>
    <n v="6"/>
    <n v="69323"/>
    <n v="340320.47159999999"/>
    <n v="7"/>
    <n v="77806"/>
    <n v="445626.08439999999"/>
    <n v="7"/>
    <n v="64847"/>
    <n v="371404.70780000003"/>
    <n v="10"/>
    <n v="67643"/>
    <n v="553455.02600000007"/>
    <n v="0"/>
    <m/>
    <n v="0"/>
    <n v="0"/>
    <m/>
    <n v="0"/>
    <m/>
    <m/>
    <n v="0"/>
    <m/>
    <m/>
    <n v="0"/>
    <m/>
    <m/>
    <n v="0"/>
    <m/>
    <m/>
    <n v="0"/>
  </r>
  <r>
    <x v="4"/>
    <s v="Georgia Southwestern State University"/>
    <n v="139764"/>
    <x v="4"/>
    <n v="15"/>
    <n v="69854"/>
    <n v="1047810"/>
    <n v="18"/>
    <n v="70185"/>
    <n v="1263330"/>
    <n v="24"/>
    <n v="56177"/>
    <n v="1348248"/>
    <n v="25"/>
    <n v="58228"/>
    <n v="1455700"/>
    <n v="38"/>
    <n v="48592"/>
    <n v="1846496"/>
    <n v="41"/>
    <n v="51186"/>
    <n v="2098626"/>
    <n v="12"/>
    <n v="42174"/>
    <n v="506088"/>
    <n v="11"/>
    <n v="41505"/>
    <n v="456555"/>
    <m/>
    <m/>
    <n v="0"/>
    <n v="0"/>
    <m/>
    <n v="0"/>
    <m/>
    <m/>
    <n v="0"/>
    <m/>
    <m/>
    <n v="0"/>
    <n v="1"/>
    <n v="93555"/>
    <n v="76546.701000000001"/>
    <n v="2"/>
    <n v="86850"/>
    <n v="142121.34"/>
    <n v="2"/>
    <n v="76746"/>
    <n v="125587.1544"/>
    <n v="1"/>
    <n v="81700"/>
    <n v="66846.94"/>
    <n v="0"/>
    <m/>
    <n v="0"/>
    <n v="0"/>
    <m/>
    <n v="0"/>
    <n v="0"/>
    <m/>
    <n v="0"/>
    <n v="0"/>
    <m/>
    <n v="0"/>
    <m/>
    <m/>
    <n v="0"/>
    <m/>
    <m/>
    <n v="0"/>
    <m/>
    <m/>
    <n v="0"/>
    <m/>
    <m/>
    <n v="0"/>
  </r>
  <r>
    <x v="4"/>
    <s v="North Georgia College and State University"/>
    <n v="140669"/>
    <x v="4"/>
    <n v="26"/>
    <n v="68994"/>
    <n v="1793844"/>
    <n v="26"/>
    <n v="70138"/>
    <n v="1823588"/>
    <n v="43"/>
    <n v="64740"/>
    <n v="2783820"/>
    <n v="50"/>
    <n v="63526"/>
    <n v="3176300"/>
    <n v="93"/>
    <n v="48931"/>
    <n v="4550583"/>
    <n v="94"/>
    <n v="50050"/>
    <n v="4704700"/>
    <n v="20"/>
    <n v="37180"/>
    <n v="743600"/>
    <n v="21"/>
    <n v="40579"/>
    <n v="852159"/>
    <m/>
    <m/>
    <n v="0"/>
    <m/>
    <m/>
    <n v="0"/>
    <m/>
    <m/>
    <n v="0"/>
    <m/>
    <m/>
    <n v="0"/>
    <n v="11"/>
    <n v="90750"/>
    <n v="816768.15"/>
    <n v="11"/>
    <n v="93706"/>
    <n v="843372.74120000005"/>
    <n v="3"/>
    <n v="70896"/>
    <n v="174021.3216"/>
    <n v="2"/>
    <n v="82934"/>
    <n v="135713.19760000001"/>
    <n v="6"/>
    <n v="63824"/>
    <n v="313324.78080000001"/>
    <n v="6"/>
    <n v="72499"/>
    <n v="355912.09080000001"/>
    <n v="0"/>
    <m/>
    <n v="0"/>
    <n v="3"/>
    <n v="57200"/>
    <n v="140403.12"/>
    <m/>
    <m/>
    <n v="0"/>
    <m/>
    <m/>
    <n v="0"/>
    <m/>
    <m/>
    <n v="0"/>
    <m/>
    <m/>
    <n v="0"/>
  </r>
  <r>
    <x v="4"/>
    <s v="Savannah State University"/>
    <n v="140960"/>
    <x v="4"/>
    <n v="26"/>
    <n v="66784"/>
    <n v="1736384"/>
    <n v="29"/>
    <n v="72173"/>
    <n v="2093017"/>
    <n v="25"/>
    <n v="58760"/>
    <n v="1469000"/>
    <n v="28"/>
    <n v="62658"/>
    <n v="1754424"/>
    <n v="34"/>
    <n v="52473"/>
    <n v="1784082"/>
    <n v="46"/>
    <n v="52494"/>
    <n v="2414724"/>
    <n v="5"/>
    <n v="45054"/>
    <n v="225270"/>
    <n v="9"/>
    <n v="43836"/>
    <n v="394524"/>
    <n v="5"/>
    <n v="40524"/>
    <n v="202620"/>
    <n v="8"/>
    <n v="40743"/>
    <n v="325944"/>
    <m/>
    <m/>
    <n v="0"/>
    <m/>
    <m/>
    <n v="0"/>
    <n v="1"/>
    <n v="99101"/>
    <n v="81084.438200000004"/>
    <n v="1"/>
    <n v="102075"/>
    <n v="83517.764999999999"/>
    <n v="5"/>
    <n v="80571"/>
    <n v="329615.96100000001"/>
    <n v="1"/>
    <n v="80587"/>
    <n v="65936.2834"/>
    <n v="7"/>
    <n v="58704"/>
    <n v="336221.28960000002"/>
    <n v="10"/>
    <n v="66410"/>
    <n v="543366.62"/>
    <n v="2"/>
    <n v="43528"/>
    <n v="71229.219200000007"/>
    <n v="1"/>
    <n v="41000"/>
    <n v="33546.200000000004"/>
    <m/>
    <m/>
    <n v="0"/>
    <m/>
    <m/>
    <n v="0"/>
    <m/>
    <m/>
    <n v="0"/>
    <m/>
    <m/>
    <n v="0"/>
  </r>
  <r>
    <x v="4"/>
    <s v="Clayton State University"/>
    <n v="139311"/>
    <x v="5"/>
    <n v="14"/>
    <n v="69761"/>
    <n v="976654"/>
    <n v="15"/>
    <n v="75737"/>
    <n v="1136055"/>
    <n v="39"/>
    <n v="63000"/>
    <n v="2457000"/>
    <n v="46"/>
    <n v="63787"/>
    <n v="2934202"/>
    <n v="86"/>
    <n v="51396"/>
    <n v="4420056"/>
    <n v="91"/>
    <n v="53253"/>
    <n v="4846023"/>
    <n v="16"/>
    <n v="43584"/>
    <n v="697344"/>
    <n v="10"/>
    <n v="47547"/>
    <n v="475470"/>
    <n v="1"/>
    <n v="36457"/>
    <n v="36457"/>
    <n v="6"/>
    <n v="45514"/>
    <n v="273084"/>
    <m/>
    <m/>
    <n v="0"/>
    <m/>
    <m/>
    <n v="0"/>
    <n v="12"/>
    <n v="90774"/>
    <n v="891255.44160000002"/>
    <n v="11"/>
    <n v="93828"/>
    <n v="844470.76560000004"/>
    <n v="8"/>
    <n v="86294"/>
    <n v="564846.00640000007"/>
    <n v="7"/>
    <n v="78314"/>
    <n v="448535.60360000003"/>
    <n v="12"/>
    <n v="63104"/>
    <n v="619580.31359999999"/>
    <n v="9"/>
    <n v="65977"/>
    <n v="485841.4326"/>
    <n v="0"/>
    <m/>
    <n v="0"/>
    <n v="0"/>
    <m/>
    <n v="0"/>
    <m/>
    <m/>
    <n v="0"/>
    <m/>
    <m/>
    <n v="0"/>
    <m/>
    <m/>
    <n v="0"/>
    <m/>
    <m/>
    <n v="0"/>
  </r>
  <r>
    <x v="4"/>
    <s v="Macon State College "/>
    <n v="140322"/>
    <x v="5"/>
    <n v="21"/>
    <n v="71306"/>
    <n v="1497426"/>
    <n v="21"/>
    <n v="76242"/>
    <n v="1601082"/>
    <n v="40"/>
    <n v="59609"/>
    <n v="2384360"/>
    <n v="38"/>
    <n v="58807"/>
    <n v="2234666"/>
    <n v="108"/>
    <n v="45761"/>
    <n v="4942188"/>
    <n v="103"/>
    <n v="46553"/>
    <n v="4794959"/>
    <n v="17"/>
    <n v="39399"/>
    <n v="669783"/>
    <n v="15"/>
    <n v="39027"/>
    <n v="585405"/>
    <m/>
    <m/>
    <n v="0"/>
    <n v="0"/>
    <m/>
    <n v="0"/>
    <m/>
    <m/>
    <n v="0"/>
    <m/>
    <m/>
    <n v="0"/>
    <n v="0"/>
    <m/>
    <n v="0"/>
    <n v="1"/>
    <n v="94000"/>
    <n v="76910.8"/>
    <n v="3"/>
    <n v="92121"/>
    <n v="226120.2066"/>
    <n v="8"/>
    <n v="81070"/>
    <n v="530651.79200000002"/>
    <n v="1"/>
    <n v="67913"/>
    <n v="55566.416600000004"/>
    <n v="1"/>
    <n v="70290"/>
    <n v="57511.278000000006"/>
    <n v="0"/>
    <m/>
    <n v="0"/>
    <n v="0"/>
    <m/>
    <n v="0"/>
    <m/>
    <m/>
    <n v="0"/>
    <m/>
    <m/>
    <n v="0"/>
    <m/>
    <m/>
    <n v="0"/>
    <m/>
    <m/>
    <n v="0"/>
  </r>
  <r>
    <x v="4"/>
    <s v="Dalton State College "/>
    <n v="139463"/>
    <x v="11"/>
    <n v="11"/>
    <n v="67429"/>
    <n v="741719"/>
    <n v="13"/>
    <n v="76879"/>
    <n v="999427"/>
    <n v="45"/>
    <n v="55312"/>
    <n v="2489040"/>
    <n v="49"/>
    <n v="56240"/>
    <n v="2755760"/>
    <n v="43"/>
    <n v="45574"/>
    <n v="1959682"/>
    <n v="51"/>
    <n v="47364"/>
    <n v="2415564"/>
    <n v="19"/>
    <n v="40783"/>
    <n v="774877"/>
    <n v="20"/>
    <n v="42172"/>
    <n v="843440"/>
    <m/>
    <m/>
    <n v="0"/>
    <n v="0"/>
    <m/>
    <n v="0"/>
    <m/>
    <m/>
    <n v="0"/>
    <m/>
    <m/>
    <n v="0"/>
    <n v="5"/>
    <n v="75674"/>
    <n v="309582.33400000003"/>
    <n v="4"/>
    <n v="84959"/>
    <n v="278053.81520000001"/>
    <n v="3"/>
    <n v="86591"/>
    <n v="212546.26860000001"/>
    <n v="2"/>
    <n v="93278"/>
    <n v="152640.11920000002"/>
    <n v="0"/>
    <m/>
    <n v="0"/>
    <n v="1"/>
    <n v="65000"/>
    <n v="53183"/>
    <n v="0"/>
    <m/>
    <n v="0"/>
    <n v="0"/>
    <m/>
    <n v="0"/>
    <m/>
    <m/>
    <n v="0"/>
    <m/>
    <m/>
    <n v="0"/>
    <m/>
    <m/>
    <n v="0"/>
    <m/>
    <m/>
    <n v="0"/>
  </r>
  <r>
    <x v="4"/>
    <s v="Georgia Perimeter College "/>
    <n v="244437"/>
    <x v="6"/>
    <n v="35"/>
    <n v="59103"/>
    <n v="2068605"/>
    <n v="37"/>
    <n v="61808"/>
    <n v="2286896"/>
    <n v="119"/>
    <n v="52831"/>
    <n v="6286889"/>
    <n v="121"/>
    <n v="54982"/>
    <n v="6652822"/>
    <n v="67"/>
    <n v="44233"/>
    <n v="2963611"/>
    <n v="97"/>
    <n v="44652"/>
    <n v="4331244"/>
    <n v="203"/>
    <n v="37895"/>
    <n v="7692685"/>
    <n v="184"/>
    <n v="38566"/>
    <n v="7096144"/>
    <m/>
    <m/>
    <n v="0"/>
    <n v="0"/>
    <m/>
    <n v="0"/>
    <m/>
    <m/>
    <n v="0"/>
    <m/>
    <m/>
    <n v="0"/>
    <n v="2"/>
    <n v="82261"/>
    <n v="134611.90040000001"/>
    <n v="3"/>
    <n v="80521"/>
    <n v="197646.84660000002"/>
    <n v="26"/>
    <n v="72701"/>
    <n v="1546582.9132000001"/>
    <n v="21"/>
    <n v="74115"/>
    <n v="1273458.753"/>
    <n v="13"/>
    <n v="60470"/>
    <n v="643195.20200000005"/>
    <n v="12"/>
    <n v="67477"/>
    <n v="662516.17680000002"/>
    <n v="5"/>
    <n v="56733"/>
    <n v="232094.70300000001"/>
    <n v="5"/>
    <n v="54323"/>
    <n v="222235.39300000001"/>
    <m/>
    <m/>
    <n v="0"/>
    <m/>
    <m/>
    <n v="0"/>
    <m/>
    <m/>
    <n v="0"/>
    <m/>
    <m/>
    <n v="0"/>
  </r>
  <r>
    <x v="4"/>
    <s v="Abraham Baldwin Agricultural College "/>
    <n v="138558"/>
    <x v="7"/>
    <n v="5"/>
    <n v="59253"/>
    <n v="296265"/>
    <n v="7"/>
    <n v="52058"/>
    <n v="364406"/>
    <n v="21"/>
    <n v="48230"/>
    <n v="1012830"/>
    <n v="18"/>
    <n v="50568"/>
    <n v="910224"/>
    <n v="34"/>
    <n v="42654"/>
    <n v="1450236"/>
    <n v="33"/>
    <n v="43710"/>
    <n v="1442430"/>
    <n v="28"/>
    <n v="37746"/>
    <n v="1056888"/>
    <n v="26"/>
    <n v="39786"/>
    <n v="1034436"/>
    <m/>
    <m/>
    <n v="0"/>
    <n v="0"/>
    <m/>
    <n v="0"/>
    <m/>
    <m/>
    <n v="0"/>
    <m/>
    <m/>
    <n v="0"/>
    <n v="5"/>
    <n v="85807"/>
    <n v="351036.43700000003"/>
    <n v="5"/>
    <n v="89617"/>
    <n v="366623.147"/>
    <n v="5"/>
    <n v="70434"/>
    <n v="288145.49400000001"/>
    <n v="6"/>
    <n v="72003"/>
    <n v="353477.12760000001"/>
    <n v="6"/>
    <n v="69041"/>
    <n v="338936.0772"/>
    <n v="4"/>
    <n v="69064"/>
    <n v="226032.65920000002"/>
    <n v="1"/>
    <n v="123927"/>
    <n v="101397.0714"/>
    <n v="0"/>
    <m/>
    <n v="0"/>
    <m/>
    <m/>
    <n v="0"/>
    <m/>
    <m/>
    <n v="0"/>
    <m/>
    <m/>
    <n v="0"/>
    <m/>
    <m/>
    <n v="0"/>
  </r>
  <r>
    <x v="4"/>
    <s v="Bainbridge College "/>
    <n v="139010"/>
    <x v="7"/>
    <n v="5"/>
    <n v="59960"/>
    <n v="299800"/>
    <n v="5"/>
    <n v="61657"/>
    <n v="308285"/>
    <n v="11"/>
    <n v="49798"/>
    <n v="547778"/>
    <n v="11"/>
    <n v="51299"/>
    <n v="564289"/>
    <n v="14"/>
    <n v="40698"/>
    <n v="569772"/>
    <n v="11"/>
    <n v="41982"/>
    <n v="461802"/>
    <n v="15"/>
    <n v="37272"/>
    <n v="559080"/>
    <n v="16"/>
    <n v="37528"/>
    <n v="600448"/>
    <m/>
    <m/>
    <n v="0"/>
    <n v="0"/>
    <m/>
    <n v="0"/>
    <m/>
    <m/>
    <n v="0"/>
    <m/>
    <m/>
    <n v="0"/>
    <n v="1"/>
    <n v="78750"/>
    <n v="64433.25"/>
    <n v="1"/>
    <n v="81034"/>
    <n v="66302.018800000005"/>
    <n v="1"/>
    <n v="65000"/>
    <n v="53183"/>
    <n v="1"/>
    <n v="66950"/>
    <n v="54778.490000000005"/>
    <n v="6"/>
    <n v="49529"/>
    <n v="243147.76680000001"/>
    <n v="4"/>
    <n v="54496"/>
    <n v="178354.50880000001"/>
    <n v="4"/>
    <n v="49653"/>
    <n v="162504.33840000001"/>
    <n v="4"/>
    <n v="55074"/>
    <n v="180246.18720000001"/>
    <m/>
    <m/>
    <n v="0"/>
    <m/>
    <m/>
    <n v="0"/>
    <m/>
    <m/>
    <n v="0"/>
    <m/>
    <m/>
    <n v="0"/>
  </r>
  <r>
    <x v="4"/>
    <s v="College of Coastal Georgia "/>
    <n v="139250"/>
    <x v="7"/>
    <n v="5"/>
    <n v="54337"/>
    <n v="271685"/>
    <n v="5"/>
    <n v="56181"/>
    <n v="280905"/>
    <n v="13"/>
    <n v="53395"/>
    <n v="694135"/>
    <n v="12"/>
    <n v="56204"/>
    <n v="674448"/>
    <n v="21"/>
    <n v="44929"/>
    <n v="943509"/>
    <n v="20"/>
    <n v="46975"/>
    <n v="939500"/>
    <n v="16"/>
    <n v="39540"/>
    <n v="632640"/>
    <n v="16"/>
    <n v="40374"/>
    <n v="645984"/>
    <m/>
    <m/>
    <n v="0"/>
    <n v="0"/>
    <m/>
    <n v="0"/>
    <m/>
    <m/>
    <n v="0"/>
    <m/>
    <m/>
    <n v="0"/>
    <n v="1"/>
    <n v="77000"/>
    <n v="63001.4"/>
    <n v="1"/>
    <n v="79310"/>
    <n v="64891.442000000003"/>
    <n v="3"/>
    <n v="85715"/>
    <n v="210396.03900000002"/>
    <n v="2"/>
    <n v="82447"/>
    <n v="134916.2708"/>
    <n v="4"/>
    <n v="61922"/>
    <n v="202658.3216"/>
    <n v="3"/>
    <n v="66620"/>
    <n v="163525.45200000002"/>
    <n v="1"/>
    <n v="51839"/>
    <n v="42414.669800000003"/>
    <n v="1"/>
    <n v="53602"/>
    <n v="43857.1564"/>
    <m/>
    <m/>
    <n v="0"/>
    <m/>
    <m/>
    <n v="0"/>
    <m/>
    <m/>
    <n v="0"/>
    <m/>
    <m/>
    <n v="0"/>
  </r>
  <r>
    <x v="4"/>
    <s v="Darton College "/>
    <n v="138691"/>
    <x v="7"/>
    <n v="3"/>
    <n v="57759"/>
    <n v="173277"/>
    <n v="3"/>
    <n v="59490"/>
    <n v="178470"/>
    <n v="7"/>
    <n v="50874"/>
    <n v="356118"/>
    <n v="6"/>
    <n v="52972"/>
    <n v="317832"/>
    <n v="41"/>
    <n v="44147"/>
    <n v="1810027"/>
    <n v="46"/>
    <n v="45398"/>
    <n v="2088308"/>
    <n v="35"/>
    <n v="42251"/>
    <n v="1478785"/>
    <n v="33"/>
    <n v="42908"/>
    <n v="1415964"/>
    <m/>
    <m/>
    <n v="0"/>
    <n v="0"/>
    <m/>
    <n v="0"/>
    <m/>
    <m/>
    <n v="0"/>
    <m/>
    <m/>
    <n v="0"/>
    <n v="1"/>
    <n v="81419"/>
    <n v="66617.025800000003"/>
    <n v="1"/>
    <n v="83868"/>
    <n v="68620.797600000005"/>
    <n v="0"/>
    <m/>
    <n v="0"/>
    <n v="0"/>
    <m/>
    <n v="0"/>
    <n v="8"/>
    <n v="64599"/>
    <n v="422839.2144"/>
    <n v="9"/>
    <n v="66515"/>
    <n v="489803.15700000001"/>
    <n v="14"/>
    <n v="47862"/>
    <n v="548249.63760000002"/>
    <n v="16"/>
    <n v="46340"/>
    <n v="606646.20799999998"/>
    <m/>
    <m/>
    <n v="0"/>
    <m/>
    <m/>
    <n v="0"/>
    <m/>
    <m/>
    <n v="0"/>
    <m/>
    <m/>
    <n v="0"/>
  </r>
  <r>
    <x v="4"/>
    <s v="Gainesville State College "/>
    <n v="139773"/>
    <x v="7"/>
    <n v="24"/>
    <n v="57460"/>
    <n v="1379040"/>
    <n v="26"/>
    <n v="58886"/>
    <n v="1531036"/>
    <n v="34"/>
    <n v="47414"/>
    <n v="1612076"/>
    <n v="34"/>
    <n v="48512"/>
    <n v="1649408"/>
    <n v="53"/>
    <n v="39093"/>
    <n v="2071929"/>
    <n v="77"/>
    <n v="39547"/>
    <n v="3045119"/>
    <n v="17"/>
    <n v="35458"/>
    <n v="602786"/>
    <n v="17"/>
    <n v="35687"/>
    <n v="606679"/>
    <m/>
    <m/>
    <n v="0"/>
    <n v="0"/>
    <m/>
    <n v="0"/>
    <m/>
    <m/>
    <n v="0"/>
    <m/>
    <m/>
    <n v="0"/>
    <n v="6"/>
    <n v="84114"/>
    <n v="412932.44880000001"/>
    <n v="6"/>
    <n v="86727"/>
    <n v="425760.18840000004"/>
    <n v="3"/>
    <n v="70491"/>
    <n v="173027.20860000001"/>
    <n v="4"/>
    <n v="66533"/>
    <n v="217749.20240000001"/>
    <n v="4"/>
    <n v="55526"/>
    <n v="181725.49280000001"/>
    <n v="5"/>
    <n v="54528"/>
    <n v="223074.04800000001"/>
    <n v="2"/>
    <n v="47413"/>
    <n v="77586.633199999997"/>
    <n v="1"/>
    <n v="36040"/>
    <n v="29487.928"/>
    <m/>
    <m/>
    <n v="0"/>
    <m/>
    <m/>
    <n v="0"/>
    <m/>
    <m/>
    <n v="0"/>
    <m/>
    <m/>
    <n v="0"/>
  </r>
  <r>
    <x v="4"/>
    <s v="Georgia Highlands College "/>
    <n v="139700"/>
    <x v="7"/>
    <n v="15"/>
    <n v="54588"/>
    <n v="818820"/>
    <n v="17"/>
    <n v="58772"/>
    <n v="999124"/>
    <n v="22"/>
    <n v="49776"/>
    <n v="1095072"/>
    <n v="22"/>
    <n v="50692"/>
    <n v="1115224"/>
    <n v="19"/>
    <n v="42001"/>
    <n v="798019"/>
    <n v="21"/>
    <n v="43273"/>
    <n v="908733"/>
    <n v="26"/>
    <n v="38812"/>
    <n v="1009112"/>
    <n v="27"/>
    <n v="40473"/>
    <n v="1092771"/>
    <m/>
    <m/>
    <n v="0"/>
    <n v="0"/>
    <m/>
    <n v="0"/>
    <m/>
    <m/>
    <n v="0"/>
    <m/>
    <m/>
    <n v="0"/>
    <n v="5"/>
    <n v="85799"/>
    <n v="351003.70900000003"/>
    <n v="5"/>
    <n v="89763"/>
    <n v="367220.43300000002"/>
    <n v="3"/>
    <n v="72167"/>
    <n v="177141.1182"/>
    <n v="3"/>
    <n v="74270"/>
    <n v="182303.14200000002"/>
    <n v="0"/>
    <m/>
    <n v="0"/>
    <n v="0"/>
    <m/>
    <n v="0"/>
    <n v="0"/>
    <m/>
    <n v="0"/>
    <n v="0"/>
    <m/>
    <n v="0"/>
    <m/>
    <m/>
    <n v="0"/>
    <m/>
    <m/>
    <n v="0"/>
    <m/>
    <m/>
    <n v="0"/>
    <m/>
    <m/>
    <n v="0"/>
  </r>
  <r>
    <x v="4"/>
    <s v="Gordon College "/>
    <n v="139968"/>
    <x v="7"/>
    <n v="18"/>
    <n v="60805"/>
    <n v="1094490"/>
    <n v="20"/>
    <n v="59716"/>
    <n v="1194320"/>
    <n v="32"/>
    <n v="50673"/>
    <n v="1621536"/>
    <n v="35"/>
    <n v="51270"/>
    <n v="1794450"/>
    <n v="40"/>
    <n v="46282"/>
    <n v="1851280"/>
    <n v="40"/>
    <n v="47391"/>
    <n v="1895640"/>
    <n v="8"/>
    <n v="42427"/>
    <n v="339416"/>
    <n v="7"/>
    <n v="40107"/>
    <n v="280749"/>
    <m/>
    <m/>
    <n v="0"/>
    <n v="0"/>
    <m/>
    <n v="0"/>
    <m/>
    <m/>
    <n v="0"/>
    <m/>
    <m/>
    <n v="0"/>
    <n v="1"/>
    <n v="84076"/>
    <n v="68790.983200000002"/>
    <n v="1"/>
    <n v="86598"/>
    <n v="70854.483600000007"/>
    <n v="2"/>
    <n v="84952"/>
    <n v="139015.4528"/>
    <n v="3"/>
    <n v="85825"/>
    <n v="210666.04500000001"/>
    <n v="2"/>
    <n v="84760"/>
    <n v="138701.264"/>
    <n v="1"/>
    <n v="92208"/>
    <n v="75444.585600000006"/>
    <n v="0"/>
    <m/>
    <n v="0"/>
    <n v="0"/>
    <m/>
    <n v="0"/>
    <m/>
    <m/>
    <n v="0"/>
    <m/>
    <m/>
    <n v="0"/>
    <m/>
    <m/>
    <n v="0"/>
    <m/>
    <m/>
    <n v="0"/>
  </r>
  <r>
    <x v="4"/>
    <s v="Middle Georgia College "/>
    <n v="140483"/>
    <x v="7"/>
    <n v="10"/>
    <n v="62512"/>
    <n v="625120"/>
    <n v="14"/>
    <n v="60238"/>
    <n v="843332"/>
    <n v="19"/>
    <n v="49593"/>
    <n v="942267"/>
    <n v="19"/>
    <n v="48944"/>
    <n v="929936"/>
    <n v="50"/>
    <n v="41108"/>
    <n v="2055400"/>
    <n v="51"/>
    <n v="41021"/>
    <n v="2092071"/>
    <n v="11"/>
    <n v="40252"/>
    <n v="442772"/>
    <n v="11"/>
    <n v="41888"/>
    <n v="460768"/>
    <m/>
    <m/>
    <n v="0"/>
    <n v="0"/>
    <m/>
    <n v="0"/>
    <m/>
    <m/>
    <n v="0"/>
    <m/>
    <m/>
    <n v="0"/>
    <n v="3"/>
    <n v="93179"/>
    <n v="228717.1734"/>
    <n v="3"/>
    <n v="94047"/>
    <n v="230847.76620000001"/>
    <n v="2"/>
    <n v="79529"/>
    <n v="130141.2556"/>
    <n v="3"/>
    <n v="74933"/>
    <n v="183930.54180000001"/>
    <n v="3"/>
    <n v="65000"/>
    <n v="159549"/>
    <n v="4"/>
    <n v="68858"/>
    <n v="225358.46240000002"/>
    <n v="22"/>
    <n v="44554"/>
    <n v="801989.82160000002"/>
    <n v="16"/>
    <n v="50175"/>
    <n v="656850.96000000008"/>
    <m/>
    <m/>
    <n v="0"/>
    <m/>
    <m/>
    <n v="0"/>
    <m/>
    <m/>
    <n v="0"/>
    <m/>
    <m/>
    <n v="0"/>
  </r>
  <r>
    <x v="4"/>
    <s v="Atlanta Metropolitan College"/>
    <n v="138901"/>
    <x v="8"/>
    <n v="5"/>
    <n v="60550"/>
    <n v="302750"/>
    <n v="4"/>
    <n v="59359"/>
    <n v="237436"/>
    <n v="14"/>
    <n v="53949"/>
    <n v="755286"/>
    <n v="14"/>
    <n v="54979"/>
    <n v="769706"/>
    <n v="20"/>
    <n v="46025"/>
    <n v="920500"/>
    <n v="19"/>
    <n v="45367"/>
    <n v="861973"/>
    <n v="4"/>
    <n v="38250"/>
    <n v="153000"/>
    <n v="4"/>
    <n v="43250"/>
    <n v="173000"/>
    <m/>
    <m/>
    <n v="0"/>
    <n v="0"/>
    <m/>
    <n v="0"/>
    <m/>
    <m/>
    <n v="0"/>
    <m/>
    <m/>
    <n v="0"/>
    <n v="3"/>
    <n v="83387"/>
    <n v="204681.73020000002"/>
    <n v="4"/>
    <n v="83212"/>
    <n v="272336.23360000004"/>
    <n v="0"/>
    <m/>
    <n v="0"/>
    <n v="0"/>
    <m/>
    <n v="0"/>
    <n v="1"/>
    <n v="59091"/>
    <n v="48348.256200000003"/>
    <n v="0"/>
    <m/>
    <n v="0"/>
    <n v="3"/>
    <n v="39539"/>
    <n v="97052.429400000008"/>
    <n v="1"/>
    <n v="40675"/>
    <n v="33280.285000000003"/>
    <m/>
    <m/>
    <n v="0"/>
    <m/>
    <m/>
    <n v="0"/>
    <m/>
    <m/>
    <n v="0"/>
    <m/>
    <m/>
    <n v="0"/>
  </r>
  <r>
    <x v="4"/>
    <s v="East Georgia College"/>
    <n v="139621"/>
    <x v="8"/>
    <n v="1"/>
    <n v="60037"/>
    <n v="60037"/>
    <n v="1"/>
    <n v="61838"/>
    <n v="61838"/>
    <n v="7"/>
    <n v="47877"/>
    <n v="335139"/>
    <n v="7"/>
    <n v="49477"/>
    <n v="346339"/>
    <n v="12"/>
    <n v="42853"/>
    <n v="514236"/>
    <n v="14"/>
    <n v="45309"/>
    <n v="634326"/>
    <n v="17"/>
    <n v="36878"/>
    <n v="626926"/>
    <n v="22"/>
    <n v="37081"/>
    <n v="815782"/>
    <m/>
    <m/>
    <n v="0"/>
    <n v="0"/>
    <m/>
    <n v="0"/>
    <m/>
    <m/>
    <n v="0"/>
    <m/>
    <m/>
    <n v="0"/>
    <n v="1"/>
    <n v="88140"/>
    <n v="72116.148000000001"/>
    <n v="1"/>
    <n v="88140"/>
    <n v="72116.148000000001"/>
    <n v="3"/>
    <n v="69210"/>
    <n v="169882.86600000001"/>
    <n v="3"/>
    <n v="70663"/>
    <n v="173449.39980000001"/>
    <n v="0"/>
    <m/>
    <n v="0"/>
    <n v="0"/>
    <m/>
    <n v="0"/>
    <n v="1"/>
    <n v="48290"/>
    <n v="39510.878000000004"/>
    <n v="1"/>
    <n v="49980"/>
    <n v="40893.635999999999"/>
    <m/>
    <m/>
    <n v="0"/>
    <m/>
    <m/>
    <n v="0"/>
    <m/>
    <m/>
    <n v="0"/>
    <m/>
    <m/>
    <n v="0"/>
  </r>
  <r>
    <x v="4"/>
    <s v="South Georgia College "/>
    <n v="140997"/>
    <x v="8"/>
    <n v="2"/>
    <n v="53750"/>
    <n v="107500"/>
    <n v="4"/>
    <n v="52571"/>
    <n v="210284"/>
    <n v="7"/>
    <n v="46012"/>
    <n v="322084"/>
    <n v="8"/>
    <n v="46375"/>
    <n v="371000"/>
    <n v="16"/>
    <n v="42527"/>
    <n v="680432"/>
    <n v="17"/>
    <n v="42334"/>
    <n v="719678"/>
    <n v="11"/>
    <n v="39818"/>
    <n v="437998"/>
    <n v="10"/>
    <n v="40020"/>
    <n v="400200"/>
    <m/>
    <m/>
    <n v="0"/>
    <n v="0"/>
    <m/>
    <n v="0"/>
    <m/>
    <m/>
    <n v="0"/>
    <m/>
    <m/>
    <n v="0"/>
    <n v="1"/>
    <n v="74800"/>
    <n v="61201.36"/>
    <n v="1"/>
    <n v="77050"/>
    <n v="63042.310000000005"/>
    <n v="4"/>
    <n v="67287"/>
    <n v="220216.89360000001"/>
    <n v="4"/>
    <n v="69303"/>
    <n v="226814.8584"/>
    <n v="2"/>
    <n v="80575"/>
    <n v="131852.93"/>
    <n v="2"/>
    <n v="101418"/>
    <n v="165960.41520000002"/>
    <n v="1"/>
    <n v="55750"/>
    <n v="45614.65"/>
    <n v="1"/>
    <n v="57420"/>
    <n v="46981.044000000002"/>
    <m/>
    <m/>
    <n v="0"/>
    <m/>
    <m/>
    <n v="0"/>
    <m/>
    <m/>
    <n v="0"/>
    <m/>
    <m/>
    <n v="0"/>
  </r>
  <r>
    <x v="4"/>
    <s v="Waycross College "/>
    <n v="141307"/>
    <x v="8"/>
    <n v="2"/>
    <n v="53375"/>
    <n v="106750"/>
    <n v="2"/>
    <n v="55220"/>
    <n v="110440"/>
    <n v="1"/>
    <n v="47230"/>
    <n v="47230"/>
    <n v="5"/>
    <n v="44262"/>
    <n v="221310"/>
    <n v="6"/>
    <n v="40637"/>
    <n v="243822"/>
    <n v="4"/>
    <n v="38070"/>
    <n v="152280"/>
    <n v="10"/>
    <n v="35819"/>
    <n v="358190"/>
    <n v="10"/>
    <n v="36922"/>
    <n v="369220"/>
    <m/>
    <m/>
    <n v="0"/>
    <n v="0"/>
    <m/>
    <n v="0"/>
    <m/>
    <m/>
    <n v="0"/>
    <m/>
    <m/>
    <n v="0"/>
    <n v="1"/>
    <n v="79090"/>
    <n v="64711.438000000002"/>
    <n v="1"/>
    <n v="81540"/>
    <n v="66716.028000000006"/>
    <n v="1"/>
    <n v="71010"/>
    <n v="58100.382000000005"/>
    <n v="1"/>
    <n v="73210"/>
    <n v="59900.422000000006"/>
    <n v="0"/>
    <m/>
    <n v="0"/>
    <n v="0"/>
    <m/>
    <n v="0"/>
    <n v="0"/>
    <m/>
    <n v="0"/>
    <n v="0"/>
    <m/>
    <n v="0"/>
    <m/>
    <m/>
    <n v="0"/>
    <m/>
    <m/>
    <n v="0"/>
    <m/>
    <m/>
    <n v="0"/>
    <m/>
    <m/>
    <n v="0"/>
  </r>
  <r>
    <x v="4"/>
    <s v="Albany Technical College"/>
    <n v="138682"/>
    <x v="9"/>
    <m/>
    <m/>
    <n v="0"/>
    <m/>
    <m/>
    <n v="0"/>
    <m/>
    <m/>
    <n v="0"/>
    <m/>
    <m/>
    <n v="0"/>
    <m/>
    <m/>
    <n v="0"/>
    <m/>
    <m/>
    <n v="0"/>
    <m/>
    <m/>
    <n v="0"/>
    <m/>
    <m/>
    <n v="0"/>
    <m/>
    <m/>
    <n v="0"/>
    <m/>
    <m/>
    <n v="0"/>
    <m/>
    <m/>
    <n v="0"/>
    <m/>
    <m/>
    <n v="0"/>
    <m/>
    <m/>
    <n v="0"/>
    <m/>
    <m/>
    <n v="0"/>
    <m/>
    <m/>
    <n v="0"/>
    <m/>
    <m/>
    <n v="0"/>
    <m/>
    <m/>
    <n v="0"/>
    <m/>
    <m/>
    <n v="0"/>
    <m/>
    <m/>
    <n v="0"/>
    <m/>
    <m/>
    <n v="0"/>
    <m/>
    <m/>
    <n v="0"/>
    <m/>
    <m/>
    <n v="0"/>
    <n v="78"/>
    <n v="51755"/>
    <n v="3302983.398"/>
    <n v="73"/>
    <n v="52467"/>
    <n v="3133780.4562000004"/>
  </r>
  <r>
    <x v="4"/>
    <s v="Athens Technical College"/>
    <n v="246813"/>
    <x v="9"/>
    <m/>
    <m/>
    <n v="0"/>
    <m/>
    <m/>
    <n v="0"/>
    <m/>
    <m/>
    <n v="0"/>
    <m/>
    <m/>
    <n v="0"/>
    <m/>
    <m/>
    <n v="0"/>
    <m/>
    <m/>
    <n v="0"/>
    <m/>
    <m/>
    <n v="0"/>
    <m/>
    <m/>
    <n v="0"/>
    <m/>
    <m/>
    <n v="0"/>
    <m/>
    <m/>
    <n v="0"/>
    <n v="17"/>
    <n v="55725"/>
    <n v="947325"/>
    <n v="16"/>
    <n v="56814"/>
    <n v="909024"/>
    <m/>
    <m/>
    <n v="0"/>
    <m/>
    <m/>
    <n v="0"/>
    <m/>
    <m/>
    <n v="0"/>
    <m/>
    <m/>
    <n v="0"/>
    <m/>
    <m/>
    <n v="0"/>
    <m/>
    <m/>
    <n v="0"/>
    <m/>
    <m/>
    <n v="0"/>
    <m/>
    <m/>
    <n v="0"/>
    <m/>
    <m/>
    <n v="0"/>
    <m/>
    <m/>
    <n v="0"/>
    <n v="66"/>
    <n v="63448"/>
    <n v="3426268.1376"/>
    <n v="73"/>
    <n v="58913"/>
    <n v="3518791.0118"/>
  </r>
  <r>
    <x v="4"/>
    <s v="Atlanta Technical College"/>
    <n v="138840"/>
    <x v="9"/>
    <m/>
    <m/>
    <n v="0"/>
    <m/>
    <m/>
    <n v="0"/>
    <m/>
    <m/>
    <n v="0"/>
    <m/>
    <m/>
    <n v="0"/>
    <m/>
    <m/>
    <n v="0"/>
    <m/>
    <m/>
    <n v="0"/>
    <m/>
    <m/>
    <n v="0"/>
    <m/>
    <m/>
    <n v="0"/>
    <m/>
    <m/>
    <n v="0"/>
    <m/>
    <m/>
    <n v="0"/>
    <n v="2"/>
    <n v="48742"/>
    <n v="97484"/>
    <n v="2"/>
    <n v="25113"/>
    <n v="50226"/>
    <m/>
    <m/>
    <n v="0"/>
    <m/>
    <m/>
    <n v="0"/>
    <m/>
    <m/>
    <n v="0"/>
    <m/>
    <m/>
    <n v="0"/>
    <m/>
    <m/>
    <n v="0"/>
    <m/>
    <m/>
    <n v="0"/>
    <m/>
    <m/>
    <n v="0"/>
    <m/>
    <m/>
    <n v="0"/>
    <m/>
    <m/>
    <n v="0"/>
    <m/>
    <m/>
    <n v="0"/>
    <n v="81"/>
    <n v="55526"/>
    <n v="3679941.2291999999"/>
    <n v="87"/>
    <n v="53758"/>
    <n v="3826677.2172000003"/>
  </r>
  <r>
    <x v="4"/>
    <s v="Augusta Technical College"/>
    <n v="138956"/>
    <x v="9"/>
    <m/>
    <m/>
    <n v="0"/>
    <m/>
    <m/>
    <n v="0"/>
    <m/>
    <m/>
    <n v="0"/>
    <m/>
    <m/>
    <n v="0"/>
    <m/>
    <m/>
    <n v="0"/>
    <m/>
    <m/>
    <n v="0"/>
    <m/>
    <m/>
    <n v="0"/>
    <m/>
    <m/>
    <n v="0"/>
    <m/>
    <m/>
    <n v="0"/>
    <m/>
    <m/>
    <n v="0"/>
    <m/>
    <m/>
    <n v="0"/>
    <m/>
    <m/>
    <n v="0"/>
    <m/>
    <m/>
    <n v="0"/>
    <m/>
    <m/>
    <n v="0"/>
    <m/>
    <m/>
    <n v="0"/>
    <m/>
    <m/>
    <n v="0"/>
    <m/>
    <m/>
    <n v="0"/>
    <m/>
    <m/>
    <n v="0"/>
    <m/>
    <m/>
    <n v="0"/>
    <m/>
    <m/>
    <n v="0"/>
    <m/>
    <m/>
    <n v="0"/>
    <m/>
    <m/>
    <n v="0"/>
    <n v="136"/>
    <n v="56880"/>
    <n v="6329333.3760000002"/>
    <n v="133"/>
    <n v="58016"/>
    <n v="6313335.9296000004"/>
  </r>
  <r>
    <x v="4"/>
    <s v="Central Georgia Technical College"/>
    <n v="140304"/>
    <x v="9"/>
    <m/>
    <m/>
    <n v="0"/>
    <m/>
    <m/>
    <n v="0"/>
    <m/>
    <m/>
    <n v="0"/>
    <m/>
    <m/>
    <n v="0"/>
    <m/>
    <m/>
    <n v="0"/>
    <m/>
    <m/>
    <n v="0"/>
    <m/>
    <m/>
    <n v="0"/>
    <m/>
    <m/>
    <n v="0"/>
    <m/>
    <m/>
    <n v="0"/>
    <m/>
    <m/>
    <n v="0"/>
    <n v="2"/>
    <n v="50147"/>
    <n v="100294"/>
    <n v="1"/>
    <n v="47548"/>
    <n v="47548"/>
    <m/>
    <m/>
    <n v="0"/>
    <m/>
    <m/>
    <n v="0"/>
    <m/>
    <m/>
    <n v="0"/>
    <m/>
    <m/>
    <n v="0"/>
    <m/>
    <m/>
    <n v="0"/>
    <m/>
    <m/>
    <n v="0"/>
    <m/>
    <m/>
    <n v="0"/>
    <m/>
    <m/>
    <n v="0"/>
    <m/>
    <m/>
    <n v="0"/>
    <m/>
    <m/>
    <n v="0"/>
    <n v="109"/>
    <n v="62130"/>
    <n v="5540989.4939999999"/>
    <n v="114"/>
    <n v="65746"/>
    <n v="6132445.0008000005"/>
  </r>
  <r>
    <x v="4"/>
    <s v="Chattahoochee Technical College"/>
    <n v="140331"/>
    <x v="9"/>
    <m/>
    <m/>
    <n v="0"/>
    <m/>
    <m/>
    <n v="0"/>
    <m/>
    <m/>
    <n v="0"/>
    <m/>
    <m/>
    <n v="0"/>
    <m/>
    <m/>
    <n v="0"/>
    <m/>
    <m/>
    <n v="0"/>
    <m/>
    <m/>
    <n v="0"/>
    <m/>
    <m/>
    <n v="0"/>
    <m/>
    <m/>
    <n v="0"/>
    <m/>
    <m/>
    <n v="0"/>
    <n v="2"/>
    <n v="42744"/>
    <n v="85488"/>
    <n v="2"/>
    <n v="44028"/>
    <n v="88056"/>
    <m/>
    <m/>
    <n v="0"/>
    <m/>
    <m/>
    <n v="0"/>
    <m/>
    <m/>
    <n v="0"/>
    <m/>
    <m/>
    <n v="0"/>
    <m/>
    <m/>
    <n v="0"/>
    <m/>
    <m/>
    <n v="0"/>
    <m/>
    <m/>
    <n v="0"/>
    <m/>
    <m/>
    <n v="0"/>
    <m/>
    <m/>
    <n v="0"/>
    <m/>
    <m/>
    <n v="0"/>
    <n v="63"/>
    <n v="59659"/>
    <n v="3075218.6094"/>
    <n v="70"/>
    <n v="60422"/>
    <n v="3460609.628"/>
  </r>
  <r>
    <x v="4"/>
    <s v="Columbus Technical College"/>
    <n v="139357"/>
    <x v="9"/>
    <m/>
    <m/>
    <n v="0"/>
    <m/>
    <m/>
    <n v="0"/>
    <m/>
    <m/>
    <n v="0"/>
    <m/>
    <m/>
    <n v="0"/>
    <m/>
    <m/>
    <n v="0"/>
    <m/>
    <m/>
    <n v="0"/>
    <m/>
    <m/>
    <n v="0"/>
    <m/>
    <m/>
    <n v="0"/>
    <m/>
    <m/>
    <n v="0"/>
    <m/>
    <m/>
    <n v="0"/>
    <m/>
    <m/>
    <n v="0"/>
    <m/>
    <m/>
    <n v="0"/>
    <m/>
    <m/>
    <n v="0"/>
    <m/>
    <m/>
    <n v="0"/>
    <m/>
    <m/>
    <n v="0"/>
    <m/>
    <m/>
    <n v="0"/>
    <m/>
    <m/>
    <n v="0"/>
    <m/>
    <m/>
    <n v="0"/>
    <m/>
    <m/>
    <n v="0"/>
    <m/>
    <m/>
    <n v="0"/>
    <m/>
    <m/>
    <n v="0"/>
    <m/>
    <m/>
    <n v="0"/>
    <n v="76"/>
    <n v="54923"/>
    <n v="3415287.8936000001"/>
    <n v="81"/>
    <n v="54774"/>
    <n v="3630103.0308000003"/>
  </r>
  <r>
    <x v="4"/>
    <s v="Coosa Valley Technical College"/>
    <n v="139384"/>
    <x v="9"/>
    <m/>
    <m/>
    <n v="0"/>
    <m/>
    <m/>
    <n v="0"/>
    <m/>
    <m/>
    <n v="0"/>
    <m/>
    <m/>
    <n v="0"/>
    <m/>
    <m/>
    <n v="0"/>
    <m/>
    <m/>
    <n v="0"/>
    <m/>
    <m/>
    <n v="0"/>
    <m/>
    <m/>
    <n v="0"/>
    <m/>
    <m/>
    <n v="0"/>
    <m/>
    <m/>
    <n v="0"/>
    <n v="1"/>
    <n v="54983"/>
    <n v="54983"/>
    <n v="1"/>
    <n v="56358"/>
    <n v="56358"/>
    <m/>
    <m/>
    <n v="0"/>
    <m/>
    <m/>
    <n v="0"/>
    <m/>
    <m/>
    <n v="0"/>
    <m/>
    <m/>
    <n v="0"/>
    <m/>
    <m/>
    <n v="0"/>
    <m/>
    <m/>
    <n v="0"/>
    <m/>
    <m/>
    <n v="0"/>
    <m/>
    <m/>
    <n v="0"/>
    <m/>
    <m/>
    <n v="0"/>
    <m/>
    <m/>
    <n v="0"/>
    <n v="76"/>
    <n v="53077"/>
    <n v="3300497.7064"/>
    <n v="79"/>
    <n v="54086"/>
    <n v="3496000.0508000003"/>
  </r>
  <r>
    <x v="4"/>
    <s v="DeKalb Technical College"/>
    <n v="244446"/>
    <x v="9"/>
    <m/>
    <m/>
    <n v="0"/>
    <m/>
    <m/>
    <n v="0"/>
    <m/>
    <m/>
    <n v="0"/>
    <m/>
    <m/>
    <n v="0"/>
    <m/>
    <m/>
    <n v="0"/>
    <m/>
    <m/>
    <n v="0"/>
    <m/>
    <m/>
    <n v="0"/>
    <m/>
    <m/>
    <n v="0"/>
    <m/>
    <m/>
    <n v="0"/>
    <m/>
    <m/>
    <n v="0"/>
    <m/>
    <m/>
    <n v="0"/>
    <m/>
    <m/>
    <n v="0"/>
    <m/>
    <m/>
    <n v="0"/>
    <m/>
    <m/>
    <n v="0"/>
    <m/>
    <m/>
    <n v="0"/>
    <m/>
    <m/>
    <n v="0"/>
    <m/>
    <m/>
    <n v="0"/>
    <m/>
    <m/>
    <n v="0"/>
    <m/>
    <m/>
    <n v="0"/>
    <m/>
    <m/>
    <n v="0"/>
    <m/>
    <m/>
    <n v="0"/>
    <m/>
    <m/>
    <n v="0"/>
    <n v="101"/>
    <n v="59727"/>
    <n v="4935731.7714"/>
    <n v="100"/>
    <n v="59939"/>
    <n v="4904208.9800000004"/>
  </r>
  <r>
    <x v="4"/>
    <s v="East Central Technical College"/>
    <n v="139126"/>
    <x v="9"/>
    <m/>
    <m/>
    <n v="0"/>
    <m/>
    <m/>
    <n v="0"/>
    <m/>
    <m/>
    <n v="0"/>
    <m/>
    <m/>
    <n v="0"/>
    <m/>
    <m/>
    <n v="0"/>
    <m/>
    <m/>
    <n v="0"/>
    <m/>
    <m/>
    <n v="0"/>
    <m/>
    <m/>
    <n v="0"/>
    <m/>
    <m/>
    <n v="0"/>
    <m/>
    <m/>
    <n v="0"/>
    <n v="2"/>
    <n v="33186"/>
    <n v="66372"/>
    <n v="3"/>
    <n v="30328"/>
    <n v="90984"/>
    <m/>
    <m/>
    <n v="0"/>
    <m/>
    <m/>
    <n v="0"/>
    <m/>
    <m/>
    <n v="0"/>
    <m/>
    <m/>
    <n v="0"/>
    <m/>
    <m/>
    <n v="0"/>
    <m/>
    <m/>
    <n v="0"/>
    <m/>
    <m/>
    <n v="0"/>
    <m/>
    <m/>
    <n v="0"/>
    <m/>
    <m/>
    <n v="0"/>
    <m/>
    <m/>
    <n v="0"/>
    <n v="38"/>
    <n v="44959"/>
    <n v="1397847.2444"/>
    <n v="48"/>
    <n v="42778"/>
    <n v="1680046.0608000001"/>
  </r>
  <r>
    <x v="4"/>
    <s v="Griffin Technical College"/>
    <n v="139986"/>
    <x v="9"/>
    <m/>
    <m/>
    <n v="0"/>
    <m/>
    <m/>
    <n v="0"/>
    <m/>
    <m/>
    <n v="0"/>
    <m/>
    <m/>
    <n v="0"/>
    <m/>
    <m/>
    <n v="0"/>
    <m/>
    <m/>
    <n v="0"/>
    <m/>
    <m/>
    <n v="0"/>
    <m/>
    <m/>
    <n v="0"/>
    <m/>
    <m/>
    <n v="0"/>
    <m/>
    <m/>
    <n v="0"/>
    <m/>
    <m/>
    <n v="0"/>
    <m/>
    <m/>
    <n v="0"/>
    <m/>
    <m/>
    <n v="0"/>
    <m/>
    <m/>
    <n v="0"/>
    <m/>
    <m/>
    <n v="0"/>
    <m/>
    <m/>
    <n v="0"/>
    <m/>
    <m/>
    <n v="0"/>
    <m/>
    <m/>
    <n v="0"/>
    <m/>
    <m/>
    <n v="0"/>
    <m/>
    <m/>
    <n v="0"/>
    <m/>
    <m/>
    <n v="0"/>
    <m/>
    <m/>
    <n v="0"/>
    <n v="76"/>
    <n v="51946"/>
    <n v="3230168.5072000003"/>
    <n v="73"/>
    <n v="52013"/>
    <n v="3106663.6718000001"/>
  </r>
  <r>
    <x v="4"/>
    <s v="Gwinnett Technical College"/>
    <n v="140012"/>
    <x v="9"/>
    <m/>
    <m/>
    <n v="0"/>
    <m/>
    <m/>
    <n v="0"/>
    <m/>
    <m/>
    <n v="0"/>
    <m/>
    <m/>
    <n v="0"/>
    <m/>
    <m/>
    <n v="0"/>
    <m/>
    <m/>
    <n v="0"/>
    <m/>
    <m/>
    <n v="0"/>
    <m/>
    <m/>
    <n v="0"/>
    <m/>
    <m/>
    <n v="0"/>
    <m/>
    <m/>
    <n v="0"/>
    <m/>
    <m/>
    <n v="0"/>
    <m/>
    <m/>
    <n v="0"/>
    <m/>
    <m/>
    <n v="0"/>
    <m/>
    <m/>
    <n v="0"/>
    <m/>
    <m/>
    <n v="0"/>
    <m/>
    <m/>
    <n v="0"/>
    <m/>
    <m/>
    <n v="0"/>
    <m/>
    <m/>
    <n v="0"/>
    <m/>
    <m/>
    <n v="0"/>
    <m/>
    <m/>
    <n v="0"/>
    <m/>
    <m/>
    <n v="0"/>
    <m/>
    <m/>
    <n v="0"/>
    <n v="80"/>
    <n v="69681"/>
    <n v="4561039.5360000003"/>
    <n v="87"/>
    <n v="68729"/>
    <n v="4892363.8986"/>
  </r>
  <r>
    <x v="4"/>
    <s v="Heart of Georgia Technical College"/>
    <n v="140076"/>
    <x v="9"/>
    <m/>
    <m/>
    <n v="0"/>
    <m/>
    <m/>
    <n v="0"/>
    <m/>
    <m/>
    <n v="0"/>
    <m/>
    <m/>
    <n v="0"/>
    <m/>
    <m/>
    <n v="0"/>
    <m/>
    <m/>
    <n v="0"/>
    <m/>
    <m/>
    <n v="0"/>
    <m/>
    <m/>
    <n v="0"/>
    <m/>
    <m/>
    <n v="0"/>
    <m/>
    <m/>
    <n v="0"/>
    <n v="2"/>
    <n v="22451"/>
    <n v="44902"/>
    <m/>
    <m/>
    <n v="0"/>
    <m/>
    <m/>
    <n v="0"/>
    <m/>
    <m/>
    <n v="0"/>
    <m/>
    <m/>
    <n v="0"/>
    <m/>
    <m/>
    <n v="0"/>
    <m/>
    <m/>
    <n v="0"/>
    <m/>
    <m/>
    <n v="0"/>
    <m/>
    <m/>
    <n v="0"/>
    <m/>
    <m/>
    <n v="0"/>
    <m/>
    <m/>
    <n v="0"/>
    <m/>
    <m/>
    <n v="0"/>
    <n v="56"/>
    <n v="51911"/>
    <n v="2378520.4912"/>
    <n v="56"/>
    <n v="49615"/>
    <n v="2273319.608"/>
  </r>
  <r>
    <x v="4"/>
    <s v="Lanier Technical College"/>
    <n v="140243"/>
    <x v="9"/>
    <m/>
    <m/>
    <n v="0"/>
    <m/>
    <m/>
    <n v="0"/>
    <m/>
    <m/>
    <n v="0"/>
    <m/>
    <m/>
    <n v="0"/>
    <m/>
    <m/>
    <n v="0"/>
    <m/>
    <m/>
    <n v="0"/>
    <m/>
    <m/>
    <n v="0"/>
    <m/>
    <m/>
    <n v="0"/>
    <m/>
    <m/>
    <n v="0"/>
    <m/>
    <m/>
    <n v="0"/>
    <n v="1"/>
    <n v="40797"/>
    <n v="40797"/>
    <n v="1"/>
    <n v="42371"/>
    <n v="42371"/>
    <m/>
    <m/>
    <n v="0"/>
    <m/>
    <m/>
    <n v="0"/>
    <m/>
    <m/>
    <n v="0"/>
    <m/>
    <m/>
    <n v="0"/>
    <m/>
    <m/>
    <n v="0"/>
    <m/>
    <m/>
    <n v="0"/>
    <m/>
    <m/>
    <n v="0"/>
    <m/>
    <m/>
    <n v="0"/>
    <m/>
    <m/>
    <n v="0"/>
    <m/>
    <m/>
    <n v="0"/>
    <n v="77"/>
    <n v="53580"/>
    <n v="3375615.0120000001"/>
    <n v="75"/>
    <n v="54543"/>
    <n v="3347031.1950000003"/>
  </r>
  <r>
    <x v="4"/>
    <s v="Middle Georgia Technical College"/>
    <n v="140085"/>
    <x v="9"/>
    <m/>
    <m/>
    <n v="0"/>
    <m/>
    <m/>
    <n v="0"/>
    <m/>
    <m/>
    <n v="0"/>
    <m/>
    <m/>
    <n v="0"/>
    <m/>
    <m/>
    <n v="0"/>
    <m/>
    <m/>
    <n v="0"/>
    <m/>
    <m/>
    <n v="0"/>
    <m/>
    <m/>
    <n v="0"/>
    <m/>
    <m/>
    <n v="0"/>
    <m/>
    <m/>
    <n v="0"/>
    <m/>
    <m/>
    <n v="0"/>
    <m/>
    <m/>
    <n v="0"/>
    <m/>
    <m/>
    <n v="0"/>
    <m/>
    <m/>
    <n v="0"/>
    <m/>
    <m/>
    <n v="0"/>
    <m/>
    <m/>
    <n v="0"/>
    <m/>
    <m/>
    <n v="0"/>
    <m/>
    <m/>
    <n v="0"/>
    <m/>
    <m/>
    <n v="0"/>
    <m/>
    <m/>
    <n v="0"/>
    <m/>
    <m/>
    <n v="0"/>
    <m/>
    <m/>
    <n v="0"/>
    <n v="88"/>
    <n v="47363"/>
    <n v="3410211.7808000003"/>
    <n v="98"/>
    <n v="50472"/>
    <n v="4047026.6592000001"/>
  </r>
  <r>
    <x v="4"/>
    <s v="Moultrie Technical College"/>
    <n v="140599"/>
    <x v="9"/>
    <m/>
    <m/>
    <n v="0"/>
    <m/>
    <m/>
    <n v="0"/>
    <m/>
    <m/>
    <n v="0"/>
    <m/>
    <m/>
    <n v="0"/>
    <m/>
    <m/>
    <n v="0"/>
    <m/>
    <m/>
    <n v="0"/>
    <m/>
    <m/>
    <n v="0"/>
    <m/>
    <m/>
    <n v="0"/>
    <m/>
    <m/>
    <n v="0"/>
    <m/>
    <m/>
    <n v="0"/>
    <m/>
    <m/>
    <n v="0"/>
    <m/>
    <m/>
    <n v="0"/>
    <m/>
    <m/>
    <n v="0"/>
    <m/>
    <m/>
    <n v="0"/>
    <m/>
    <m/>
    <n v="0"/>
    <m/>
    <m/>
    <n v="0"/>
    <m/>
    <m/>
    <n v="0"/>
    <m/>
    <m/>
    <n v="0"/>
    <m/>
    <m/>
    <n v="0"/>
    <m/>
    <m/>
    <n v="0"/>
    <m/>
    <m/>
    <n v="0"/>
    <m/>
    <m/>
    <n v="0"/>
    <n v="56"/>
    <n v="49862"/>
    <n v="2284636.9504"/>
    <n v="54"/>
    <n v="50961"/>
    <n v="2251599.6708"/>
  </r>
  <r>
    <x v="4"/>
    <s v="North Georgia Technical College"/>
    <n v="140678"/>
    <x v="9"/>
    <m/>
    <m/>
    <n v="0"/>
    <m/>
    <m/>
    <n v="0"/>
    <m/>
    <m/>
    <n v="0"/>
    <m/>
    <m/>
    <n v="0"/>
    <m/>
    <m/>
    <n v="0"/>
    <m/>
    <m/>
    <n v="0"/>
    <m/>
    <m/>
    <n v="0"/>
    <m/>
    <m/>
    <n v="0"/>
    <m/>
    <m/>
    <n v="0"/>
    <m/>
    <m/>
    <n v="0"/>
    <n v="2"/>
    <n v="38548"/>
    <n v="77096"/>
    <n v="1"/>
    <n v="38147"/>
    <n v="38147"/>
    <m/>
    <m/>
    <n v="0"/>
    <m/>
    <m/>
    <n v="0"/>
    <m/>
    <m/>
    <n v="0"/>
    <m/>
    <m/>
    <n v="0"/>
    <m/>
    <m/>
    <n v="0"/>
    <m/>
    <m/>
    <n v="0"/>
    <m/>
    <m/>
    <n v="0"/>
    <m/>
    <m/>
    <n v="0"/>
    <m/>
    <m/>
    <n v="0"/>
    <m/>
    <m/>
    <n v="0"/>
    <n v="69"/>
    <n v="46427"/>
    <n v="2621073.4266000004"/>
    <n v="71"/>
    <n v="46809"/>
    <n v="2719237.7897999999"/>
  </r>
  <r>
    <x v="4"/>
    <s v="North Metro Technical College"/>
    <n v="366456"/>
    <x v="9"/>
    <m/>
    <m/>
    <n v="0"/>
    <m/>
    <m/>
    <n v="0"/>
    <m/>
    <m/>
    <n v="0"/>
    <m/>
    <m/>
    <n v="0"/>
    <m/>
    <m/>
    <n v="0"/>
    <m/>
    <m/>
    <n v="0"/>
    <m/>
    <m/>
    <n v="0"/>
    <m/>
    <m/>
    <n v="0"/>
    <m/>
    <m/>
    <n v="0"/>
    <m/>
    <m/>
    <n v="0"/>
    <m/>
    <m/>
    <n v="0"/>
    <m/>
    <m/>
    <n v="0"/>
    <m/>
    <m/>
    <n v="0"/>
    <m/>
    <m/>
    <n v="0"/>
    <m/>
    <m/>
    <n v="0"/>
    <m/>
    <m/>
    <n v="0"/>
    <m/>
    <m/>
    <n v="0"/>
    <m/>
    <m/>
    <n v="0"/>
    <m/>
    <m/>
    <n v="0"/>
    <m/>
    <m/>
    <n v="0"/>
    <m/>
    <m/>
    <n v="0"/>
    <m/>
    <m/>
    <n v="0"/>
    <n v="40"/>
    <n v="55207"/>
    <n v="1806814.696"/>
    <n v="42"/>
    <n v="56963"/>
    <n v="1957499.3172000002"/>
  </r>
  <r>
    <x v="4"/>
    <s v="Northwestern Technical College"/>
    <n v="141273"/>
    <x v="9"/>
    <m/>
    <m/>
    <n v="0"/>
    <m/>
    <m/>
    <n v="0"/>
    <m/>
    <m/>
    <n v="0"/>
    <m/>
    <m/>
    <n v="0"/>
    <m/>
    <m/>
    <n v="0"/>
    <m/>
    <m/>
    <n v="0"/>
    <m/>
    <m/>
    <n v="0"/>
    <m/>
    <m/>
    <n v="0"/>
    <m/>
    <m/>
    <n v="0"/>
    <m/>
    <m/>
    <n v="0"/>
    <n v="11"/>
    <n v="46611"/>
    <n v="512721"/>
    <n v="6"/>
    <n v="58958"/>
    <n v="353748"/>
    <m/>
    <m/>
    <n v="0"/>
    <m/>
    <m/>
    <n v="0"/>
    <m/>
    <m/>
    <n v="0"/>
    <m/>
    <m/>
    <n v="0"/>
    <m/>
    <m/>
    <n v="0"/>
    <m/>
    <m/>
    <n v="0"/>
    <m/>
    <m/>
    <n v="0"/>
    <m/>
    <m/>
    <n v="0"/>
    <m/>
    <m/>
    <n v="0"/>
    <m/>
    <m/>
    <n v="0"/>
    <n v="46"/>
    <n v="52216"/>
    <n v="1965264.0352"/>
    <n v="48"/>
    <n v="48537"/>
    <n v="1906222.7232000001"/>
  </r>
  <r>
    <x v="4"/>
    <s v="Ogeechee Technical College"/>
    <n v="366465"/>
    <x v="9"/>
    <m/>
    <m/>
    <n v="0"/>
    <m/>
    <m/>
    <n v="0"/>
    <m/>
    <m/>
    <n v="0"/>
    <m/>
    <m/>
    <n v="0"/>
    <m/>
    <m/>
    <n v="0"/>
    <m/>
    <m/>
    <n v="0"/>
    <m/>
    <m/>
    <n v="0"/>
    <m/>
    <m/>
    <n v="0"/>
    <m/>
    <m/>
    <n v="0"/>
    <m/>
    <m/>
    <n v="0"/>
    <m/>
    <m/>
    <n v="0"/>
    <m/>
    <m/>
    <n v="0"/>
    <m/>
    <m/>
    <n v="0"/>
    <m/>
    <m/>
    <n v="0"/>
    <m/>
    <m/>
    <n v="0"/>
    <m/>
    <m/>
    <n v="0"/>
    <m/>
    <m/>
    <n v="0"/>
    <m/>
    <m/>
    <n v="0"/>
    <m/>
    <m/>
    <n v="0"/>
    <m/>
    <m/>
    <n v="0"/>
    <m/>
    <m/>
    <n v="0"/>
    <m/>
    <m/>
    <n v="0"/>
    <n v="68"/>
    <n v="50351"/>
    <n v="2801408.7976000002"/>
    <n v="67"/>
    <n v="48757"/>
    <n v="2672829.4857999999"/>
  </r>
  <r>
    <x v="4"/>
    <s v="Okefenokee Technical College"/>
    <n v="248776"/>
    <x v="9"/>
    <m/>
    <m/>
    <n v="0"/>
    <m/>
    <m/>
    <n v="0"/>
    <m/>
    <m/>
    <n v="0"/>
    <m/>
    <m/>
    <n v="0"/>
    <m/>
    <m/>
    <n v="0"/>
    <m/>
    <m/>
    <n v="0"/>
    <m/>
    <m/>
    <n v="0"/>
    <m/>
    <m/>
    <n v="0"/>
    <m/>
    <m/>
    <n v="0"/>
    <m/>
    <m/>
    <n v="0"/>
    <n v="4"/>
    <n v="35526"/>
    <n v="142104"/>
    <n v="6"/>
    <n v="36910"/>
    <n v="221460"/>
    <m/>
    <m/>
    <n v="0"/>
    <m/>
    <m/>
    <n v="0"/>
    <m/>
    <m/>
    <n v="0"/>
    <m/>
    <m/>
    <n v="0"/>
    <m/>
    <m/>
    <n v="0"/>
    <m/>
    <m/>
    <n v="0"/>
    <m/>
    <m/>
    <n v="0"/>
    <m/>
    <m/>
    <n v="0"/>
    <m/>
    <m/>
    <n v="0"/>
    <m/>
    <m/>
    <n v="0"/>
    <n v="45"/>
    <n v="46318"/>
    <n v="1705382.442"/>
    <n v="49"/>
    <n v="47747"/>
    <n v="1914263.1746"/>
  </r>
  <r>
    <x v="4"/>
    <s v="Savannah Technical College"/>
    <n v="140942"/>
    <x v="9"/>
    <m/>
    <m/>
    <n v="0"/>
    <m/>
    <m/>
    <n v="0"/>
    <m/>
    <m/>
    <n v="0"/>
    <m/>
    <m/>
    <n v="0"/>
    <m/>
    <m/>
    <n v="0"/>
    <m/>
    <m/>
    <n v="0"/>
    <m/>
    <m/>
    <n v="0"/>
    <m/>
    <m/>
    <n v="0"/>
    <m/>
    <m/>
    <n v="0"/>
    <m/>
    <m/>
    <n v="0"/>
    <n v="2"/>
    <n v="39149"/>
    <n v="78298"/>
    <n v="3"/>
    <n v="34376"/>
    <n v="103128"/>
    <m/>
    <m/>
    <n v="0"/>
    <m/>
    <m/>
    <n v="0"/>
    <m/>
    <m/>
    <n v="0"/>
    <m/>
    <m/>
    <n v="0"/>
    <m/>
    <m/>
    <n v="0"/>
    <m/>
    <m/>
    <n v="0"/>
    <m/>
    <m/>
    <n v="0"/>
    <m/>
    <m/>
    <n v="0"/>
    <m/>
    <m/>
    <n v="0"/>
    <m/>
    <m/>
    <n v="0"/>
    <n v="83"/>
    <n v="53937"/>
    <n v="3662894.0322000002"/>
    <n v="79"/>
    <n v="54663"/>
    <n v="3533296.0614"/>
  </r>
  <r>
    <x v="4"/>
    <s v="South Georgia Technical College"/>
    <n v="141006"/>
    <x v="9"/>
    <m/>
    <m/>
    <n v="0"/>
    <m/>
    <m/>
    <n v="0"/>
    <m/>
    <m/>
    <n v="0"/>
    <m/>
    <m/>
    <n v="0"/>
    <m/>
    <m/>
    <n v="0"/>
    <m/>
    <m/>
    <n v="0"/>
    <m/>
    <m/>
    <n v="0"/>
    <m/>
    <m/>
    <n v="0"/>
    <m/>
    <m/>
    <n v="0"/>
    <m/>
    <m/>
    <n v="0"/>
    <m/>
    <m/>
    <n v="0"/>
    <m/>
    <m/>
    <n v="0"/>
    <m/>
    <m/>
    <n v="0"/>
    <m/>
    <m/>
    <n v="0"/>
    <m/>
    <m/>
    <n v="0"/>
    <m/>
    <m/>
    <n v="0"/>
    <m/>
    <m/>
    <n v="0"/>
    <m/>
    <m/>
    <n v="0"/>
    <m/>
    <m/>
    <n v="0"/>
    <m/>
    <m/>
    <n v="0"/>
    <m/>
    <m/>
    <n v="0"/>
    <m/>
    <m/>
    <n v="0"/>
    <n v="60"/>
    <n v="50991"/>
    <n v="2503250.1720000003"/>
    <n v="63"/>
    <n v="52074"/>
    <n v="2684237.6484000003"/>
  </r>
  <r>
    <x v="4"/>
    <s v="Southwest Georgia Technical College"/>
    <n v="141158"/>
    <x v="9"/>
    <m/>
    <m/>
    <n v="0"/>
    <m/>
    <m/>
    <n v="0"/>
    <m/>
    <m/>
    <n v="0"/>
    <m/>
    <m/>
    <n v="0"/>
    <m/>
    <m/>
    <n v="0"/>
    <m/>
    <m/>
    <n v="0"/>
    <m/>
    <m/>
    <n v="0"/>
    <m/>
    <m/>
    <n v="0"/>
    <m/>
    <m/>
    <n v="0"/>
    <m/>
    <m/>
    <n v="0"/>
    <m/>
    <m/>
    <n v="0"/>
    <m/>
    <m/>
    <n v="0"/>
    <m/>
    <m/>
    <n v="0"/>
    <m/>
    <m/>
    <n v="0"/>
    <m/>
    <m/>
    <n v="0"/>
    <m/>
    <m/>
    <n v="0"/>
    <m/>
    <m/>
    <n v="0"/>
    <m/>
    <m/>
    <n v="0"/>
    <m/>
    <m/>
    <n v="0"/>
    <m/>
    <m/>
    <n v="0"/>
    <m/>
    <m/>
    <n v="0"/>
    <m/>
    <m/>
    <n v="0"/>
    <n v="55"/>
    <n v="55526"/>
    <n v="2498725.5260000001"/>
    <n v="54"/>
    <n v="55539"/>
    <n v="2453868.5292000002"/>
  </r>
  <r>
    <x v="4"/>
    <s v="Valdosta Technical College"/>
    <n v="141255"/>
    <x v="9"/>
    <m/>
    <m/>
    <n v="0"/>
    <m/>
    <m/>
    <n v="0"/>
    <m/>
    <m/>
    <n v="0"/>
    <m/>
    <m/>
    <n v="0"/>
    <m/>
    <m/>
    <n v="0"/>
    <m/>
    <m/>
    <n v="0"/>
    <m/>
    <m/>
    <n v="0"/>
    <m/>
    <m/>
    <n v="0"/>
    <m/>
    <m/>
    <n v="0"/>
    <m/>
    <m/>
    <n v="0"/>
    <m/>
    <m/>
    <n v="0"/>
    <m/>
    <m/>
    <n v="0"/>
    <m/>
    <m/>
    <n v="0"/>
    <m/>
    <m/>
    <n v="0"/>
    <m/>
    <m/>
    <n v="0"/>
    <m/>
    <m/>
    <n v="0"/>
    <m/>
    <m/>
    <n v="0"/>
    <m/>
    <m/>
    <n v="0"/>
    <m/>
    <m/>
    <n v="0"/>
    <m/>
    <m/>
    <n v="0"/>
    <m/>
    <m/>
    <n v="0"/>
    <m/>
    <m/>
    <n v="0"/>
    <n v="65"/>
    <n v="50353"/>
    <n v="2677923.5989999999"/>
    <n v="69"/>
    <n v="50717"/>
    <n v="2863268.8086000001"/>
  </r>
  <r>
    <x v="4"/>
    <s v="West Central Technical College"/>
    <n v="139278"/>
    <x v="9"/>
    <m/>
    <m/>
    <n v="0"/>
    <m/>
    <m/>
    <n v="0"/>
    <m/>
    <m/>
    <n v="0"/>
    <m/>
    <m/>
    <n v="0"/>
    <m/>
    <m/>
    <n v="0"/>
    <m/>
    <m/>
    <n v="0"/>
    <m/>
    <m/>
    <n v="0"/>
    <m/>
    <m/>
    <n v="0"/>
    <m/>
    <m/>
    <n v="0"/>
    <m/>
    <m/>
    <n v="0"/>
    <n v="2"/>
    <n v="36825"/>
    <n v="73650"/>
    <m/>
    <m/>
    <n v="0"/>
    <m/>
    <m/>
    <n v="0"/>
    <m/>
    <m/>
    <n v="0"/>
    <m/>
    <m/>
    <n v="0"/>
    <m/>
    <m/>
    <n v="0"/>
    <m/>
    <m/>
    <n v="0"/>
    <m/>
    <m/>
    <n v="0"/>
    <m/>
    <m/>
    <n v="0"/>
    <m/>
    <m/>
    <n v="0"/>
    <m/>
    <m/>
    <n v="0"/>
    <m/>
    <m/>
    <n v="0"/>
    <n v="77"/>
    <n v="48323"/>
    <n v="3044416.6522000004"/>
    <n v="84"/>
    <n v="48037"/>
    <n v="3301525.3656000001"/>
  </r>
  <r>
    <x v="4"/>
    <s v="West Georgia Technical College"/>
    <n v="141228"/>
    <x v="9"/>
    <m/>
    <m/>
    <n v="0"/>
    <m/>
    <m/>
    <n v="0"/>
    <m/>
    <m/>
    <n v="0"/>
    <m/>
    <m/>
    <n v="0"/>
    <m/>
    <m/>
    <n v="0"/>
    <m/>
    <m/>
    <n v="0"/>
    <m/>
    <m/>
    <n v="0"/>
    <m/>
    <m/>
    <n v="0"/>
    <m/>
    <m/>
    <n v="0"/>
    <m/>
    <m/>
    <n v="0"/>
    <m/>
    <m/>
    <n v="0"/>
    <m/>
    <m/>
    <n v="0"/>
    <m/>
    <m/>
    <n v="0"/>
    <m/>
    <m/>
    <n v="0"/>
    <m/>
    <m/>
    <n v="0"/>
    <m/>
    <m/>
    <n v="0"/>
    <m/>
    <m/>
    <n v="0"/>
    <m/>
    <m/>
    <n v="0"/>
    <m/>
    <m/>
    <n v="0"/>
    <m/>
    <m/>
    <n v="0"/>
    <m/>
    <m/>
    <n v="0"/>
    <m/>
    <m/>
    <n v="0"/>
    <n v="49"/>
    <n v="48742"/>
    <n v="1954154.5156"/>
    <n v="48"/>
    <n v="54235"/>
    <n v="2130003.696"/>
  </r>
  <r>
    <x v="4"/>
    <s v="Altamaha Technical College"/>
    <n v="366447"/>
    <x v="10"/>
    <m/>
    <m/>
    <n v="0"/>
    <m/>
    <m/>
    <n v="0"/>
    <m/>
    <m/>
    <n v="0"/>
    <m/>
    <m/>
    <n v="0"/>
    <m/>
    <m/>
    <n v="0"/>
    <m/>
    <m/>
    <n v="0"/>
    <m/>
    <m/>
    <n v="0"/>
    <m/>
    <m/>
    <n v="0"/>
    <m/>
    <m/>
    <n v="0"/>
    <m/>
    <m/>
    <n v="0"/>
    <m/>
    <m/>
    <n v="0"/>
    <m/>
    <m/>
    <n v="0"/>
    <m/>
    <m/>
    <n v="0"/>
    <m/>
    <m/>
    <n v="0"/>
    <m/>
    <m/>
    <n v="0"/>
    <m/>
    <m/>
    <n v="0"/>
    <m/>
    <m/>
    <n v="0"/>
    <m/>
    <m/>
    <n v="0"/>
    <m/>
    <m/>
    <n v="0"/>
    <m/>
    <m/>
    <n v="0"/>
    <m/>
    <m/>
    <n v="0"/>
    <m/>
    <m/>
    <n v="0"/>
    <n v="42"/>
    <n v="46593"/>
    <n v="1601140.4892000002"/>
    <n v="39"/>
    <n v="49016"/>
    <n v="1564090.7568000001"/>
  </r>
  <r>
    <x v="4"/>
    <s v="Appalachian Technical College"/>
    <n v="140809"/>
    <x v="10"/>
    <m/>
    <m/>
    <n v="0"/>
    <m/>
    <m/>
    <n v="0"/>
    <m/>
    <m/>
    <n v="0"/>
    <m/>
    <m/>
    <n v="0"/>
    <m/>
    <m/>
    <n v="0"/>
    <m/>
    <m/>
    <n v="0"/>
    <m/>
    <m/>
    <n v="0"/>
    <m/>
    <m/>
    <n v="0"/>
    <m/>
    <m/>
    <n v="0"/>
    <m/>
    <m/>
    <n v="0"/>
    <m/>
    <m/>
    <n v="0"/>
    <m/>
    <m/>
    <n v="0"/>
    <m/>
    <m/>
    <n v="0"/>
    <m/>
    <m/>
    <n v="0"/>
    <m/>
    <m/>
    <n v="0"/>
    <m/>
    <m/>
    <n v="0"/>
    <m/>
    <m/>
    <n v="0"/>
    <m/>
    <m/>
    <n v="0"/>
    <m/>
    <m/>
    <n v="0"/>
    <m/>
    <m/>
    <n v="0"/>
    <m/>
    <m/>
    <n v="0"/>
    <m/>
    <m/>
    <n v="0"/>
    <n v="30"/>
    <n v="46836"/>
    <n v="1149636.456"/>
    <n v="25"/>
    <n v="50082"/>
    <n v="1024427.31"/>
  </r>
  <r>
    <x v="4"/>
    <s v="Flint River Technical College"/>
    <n v="248794"/>
    <x v="10"/>
    <m/>
    <m/>
    <n v="0"/>
    <m/>
    <m/>
    <n v="0"/>
    <m/>
    <m/>
    <n v="0"/>
    <m/>
    <m/>
    <n v="0"/>
    <m/>
    <m/>
    <n v="0"/>
    <m/>
    <m/>
    <n v="0"/>
    <m/>
    <m/>
    <n v="0"/>
    <m/>
    <m/>
    <n v="0"/>
    <m/>
    <m/>
    <n v="0"/>
    <m/>
    <m/>
    <n v="0"/>
    <m/>
    <m/>
    <n v="0"/>
    <m/>
    <m/>
    <n v="0"/>
    <m/>
    <m/>
    <n v="0"/>
    <m/>
    <m/>
    <n v="0"/>
    <m/>
    <m/>
    <n v="0"/>
    <m/>
    <m/>
    <n v="0"/>
    <m/>
    <m/>
    <n v="0"/>
    <m/>
    <m/>
    <n v="0"/>
    <m/>
    <m/>
    <n v="0"/>
    <m/>
    <m/>
    <n v="0"/>
    <m/>
    <m/>
    <n v="0"/>
    <m/>
    <m/>
    <n v="0"/>
    <n v="30"/>
    <n v="46404"/>
    <n v="1139032.584"/>
    <n v="31"/>
    <n v="46547"/>
    <n v="1180627.4174000002"/>
  </r>
  <r>
    <x v="4"/>
    <s v="Sandersville Technical College"/>
    <n v="420431"/>
    <x v="10"/>
    <m/>
    <m/>
    <n v="0"/>
    <m/>
    <m/>
    <n v="0"/>
    <m/>
    <m/>
    <n v="0"/>
    <m/>
    <m/>
    <n v="0"/>
    <m/>
    <m/>
    <n v="0"/>
    <m/>
    <m/>
    <n v="0"/>
    <m/>
    <m/>
    <n v="0"/>
    <m/>
    <m/>
    <n v="0"/>
    <m/>
    <m/>
    <n v="0"/>
    <m/>
    <m/>
    <n v="0"/>
    <n v="1"/>
    <n v="32800"/>
    <n v="32800"/>
    <n v="1"/>
    <n v="25700"/>
    <n v="25700"/>
    <m/>
    <m/>
    <n v="0"/>
    <m/>
    <m/>
    <n v="0"/>
    <m/>
    <m/>
    <n v="0"/>
    <m/>
    <m/>
    <n v="0"/>
    <m/>
    <m/>
    <n v="0"/>
    <m/>
    <m/>
    <n v="0"/>
    <m/>
    <m/>
    <n v="0"/>
    <m/>
    <m/>
    <n v="0"/>
    <m/>
    <m/>
    <n v="0"/>
    <m/>
    <m/>
    <n v="0"/>
    <n v="29"/>
    <n v="44597"/>
    <n v="1058188.6966000001"/>
    <n v="30"/>
    <n v="44413"/>
    <n v="1090161.4980000001"/>
  </r>
  <r>
    <x v="4"/>
    <s v="Southeastern Technical College"/>
    <n v="368911"/>
    <x v="10"/>
    <m/>
    <m/>
    <n v="0"/>
    <m/>
    <m/>
    <n v="0"/>
    <m/>
    <m/>
    <n v="0"/>
    <m/>
    <m/>
    <n v="0"/>
    <m/>
    <m/>
    <n v="0"/>
    <m/>
    <m/>
    <n v="0"/>
    <m/>
    <m/>
    <n v="0"/>
    <m/>
    <m/>
    <n v="0"/>
    <m/>
    <m/>
    <n v="0"/>
    <m/>
    <m/>
    <n v="0"/>
    <m/>
    <m/>
    <n v="0"/>
    <m/>
    <m/>
    <n v="0"/>
    <m/>
    <m/>
    <n v="0"/>
    <m/>
    <m/>
    <n v="0"/>
    <m/>
    <m/>
    <n v="0"/>
    <m/>
    <m/>
    <n v="0"/>
    <m/>
    <m/>
    <n v="0"/>
    <m/>
    <m/>
    <n v="0"/>
    <m/>
    <m/>
    <n v="0"/>
    <m/>
    <m/>
    <n v="0"/>
    <m/>
    <m/>
    <n v="0"/>
    <m/>
    <m/>
    <n v="0"/>
    <n v="41"/>
    <n v="49360"/>
    <n v="1655840.432"/>
    <n v="40"/>
    <n v="51394"/>
    <n v="1682022.8320000002"/>
  </r>
  <r>
    <x v="4"/>
    <s v="Swainsboro Technical College"/>
    <n v="141121"/>
    <x v="10"/>
    <m/>
    <m/>
    <n v="0"/>
    <m/>
    <m/>
    <n v="0"/>
    <m/>
    <m/>
    <n v="0"/>
    <m/>
    <m/>
    <n v="0"/>
    <m/>
    <m/>
    <n v="0"/>
    <m/>
    <m/>
    <n v="0"/>
    <m/>
    <m/>
    <n v="0"/>
    <m/>
    <m/>
    <n v="0"/>
    <m/>
    <m/>
    <n v="0"/>
    <m/>
    <m/>
    <n v="0"/>
    <m/>
    <m/>
    <n v="0"/>
    <m/>
    <m/>
    <n v="0"/>
    <m/>
    <m/>
    <n v="0"/>
    <m/>
    <m/>
    <n v="0"/>
    <m/>
    <m/>
    <n v="0"/>
    <m/>
    <m/>
    <n v="0"/>
    <m/>
    <m/>
    <n v="0"/>
    <m/>
    <m/>
    <n v="0"/>
    <m/>
    <m/>
    <n v="0"/>
    <m/>
    <m/>
    <n v="0"/>
    <m/>
    <m/>
    <n v="0"/>
    <m/>
    <m/>
    <n v="0"/>
    <n v="36"/>
    <n v="47709"/>
    <n v="1405278.1368"/>
    <n v="41"/>
    <n v="48358"/>
    <n v="1622227.1396000001"/>
  </r>
  <r>
    <x v="5"/>
    <s v="University of Kentucky"/>
    <n v="157085"/>
    <x v="0"/>
    <n v="307"/>
    <n v="102433.42019543974"/>
    <n v="31447060"/>
    <n v="299"/>
    <n v="104950.9331103679"/>
    <n v="31380329.000000004"/>
    <n v="295"/>
    <n v="72035.542372881362"/>
    <n v="21250485"/>
    <n v="285"/>
    <n v="73628.84561403509"/>
    <n v="20984221"/>
    <n v="202"/>
    <n v="65102.930693069306"/>
    <n v="13150792"/>
    <n v="207"/>
    <n v="67632.280193236715"/>
    <n v="13999882"/>
    <n v="3"/>
    <n v="35800"/>
    <n v="107400"/>
    <n v="4"/>
    <n v="55382.5"/>
    <n v="221530"/>
    <n v="88"/>
    <n v="44743.022727272728"/>
    <n v="3937386"/>
    <n v="96"/>
    <n v="44729.677083333336"/>
    <n v="4294049"/>
    <m/>
    <m/>
    <n v="0"/>
    <m/>
    <m/>
    <n v="0"/>
    <n v="132"/>
    <n v="122777.66666666667"/>
    <n v="13260282.6664"/>
    <n v="135"/>
    <n v="124999.77777777778"/>
    <n v="13807100.454"/>
    <n v="131"/>
    <n v="93159.366412213742"/>
    <n v="9985212.1613999996"/>
    <n v="125"/>
    <n v="94984.008000000002"/>
    <n v="9714489.4182000011"/>
    <n v="77"/>
    <n v="80932.376623376622"/>
    <n v="5098853.0326000005"/>
    <n v="86"/>
    <n v="81663.604651162794"/>
    <n v="5746275.8739999998"/>
    <n v="2"/>
    <n v="32760"/>
    <n v="53608.464"/>
    <m/>
    <m/>
    <n v="0"/>
    <n v="14"/>
    <n v="60374.285714285717"/>
    <n v="691575.36800000002"/>
    <n v="8"/>
    <n v="70991.375"/>
    <n v="464681.14420000004"/>
    <m/>
    <m/>
    <n v="0"/>
    <m/>
    <m/>
    <n v="0"/>
  </r>
  <r>
    <x v="5"/>
    <s v="University of Louisville"/>
    <n v="157289"/>
    <x v="0"/>
    <n v="172"/>
    <n v="102345.08139534884"/>
    <n v="17603354"/>
    <n v="174"/>
    <n v="100559.72988505747"/>
    <n v="17497393"/>
    <n v="167"/>
    <n v="75422.365269461079"/>
    <n v="12595535"/>
    <n v="162"/>
    <n v="74879.376543209873"/>
    <n v="12130459"/>
    <n v="160"/>
    <n v="56576.45"/>
    <n v="9052232"/>
    <n v="157"/>
    <n v="58377.942675159233"/>
    <n v="9165337"/>
    <n v="70"/>
    <n v="47382.37142857143"/>
    <n v="3316766"/>
    <n v="55"/>
    <n v="48411.672727272729"/>
    <n v="2662642"/>
    <n v="1"/>
    <n v="146760"/>
    <n v="146760"/>
    <n v="3"/>
    <n v="98586.666666666672"/>
    <n v="295760"/>
    <m/>
    <m/>
    <n v="0"/>
    <m/>
    <m/>
    <n v="0"/>
    <n v="130"/>
    <n v="126444.56153846154"/>
    <n v="13449402.2326"/>
    <n v="129"/>
    <n v="125029.78294573643"/>
    <n v="13196618.524400001"/>
    <n v="57"/>
    <n v="101602.73684210527"/>
    <n v="4738487.4791999999"/>
    <n v="65"/>
    <n v="100466.73846153847"/>
    <n v="5343122.5515999999"/>
    <n v="75"/>
    <n v="72515.28"/>
    <n v="4449900.1572000002"/>
    <n v="83"/>
    <n v="72966.240963855424"/>
    <n v="4955181.2036000006"/>
    <n v="28"/>
    <n v="54936.178571428572"/>
    <n v="1258565.8766000001"/>
    <n v="34"/>
    <n v="56188.323529411762"/>
    <n v="1563091.7346000001"/>
    <n v="1"/>
    <n v="90177"/>
    <n v="73782.821400000001"/>
    <m/>
    <m/>
    <n v="0"/>
    <m/>
    <m/>
    <n v="0"/>
    <m/>
    <m/>
    <n v="0"/>
  </r>
  <r>
    <x v="5"/>
    <s v="Eastern Kentucky University "/>
    <n v="156620"/>
    <x v="2"/>
    <n v="116"/>
    <n v="82033.568965517246"/>
    <n v="9515894"/>
    <n v="101"/>
    <n v="83478.188118811886"/>
    <n v="8431297"/>
    <n v="139"/>
    <n v="63772.230215827338"/>
    <n v="8864340"/>
    <n v="128"/>
    <n v="65925.2734375"/>
    <n v="8438435"/>
    <n v="183"/>
    <n v="53841.78142076503"/>
    <n v="9853046"/>
    <n v="162"/>
    <n v="56073.037037037036"/>
    <n v="9083832"/>
    <n v="54"/>
    <n v="49956.314814814818"/>
    <n v="2697641"/>
    <n v="56"/>
    <n v="50759.803571428572"/>
    <n v="2842549"/>
    <n v="117"/>
    <n v="47281.820512820515"/>
    <n v="5531973"/>
    <n v="153"/>
    <n v="49526.836601307186"/>
    <n v="7577605.9999999991"/>
    <m/>
    <m/>
    <n v="0"/>
    <m/>
    <m/>
    <n v="0"/>
    <n v="12"/>
    <n v="98024.916666666672"/>
    <n v="962447.84180000005"/>
    <n v="15"/>
    <n v="100227.73333333334"/>
    <n v="1230094.9712"/>
    <n v="14"/>
    <n v="77936"/>
    <n v="892741.29280000005"/>
    <n v="13"/>
    <n v="80763.230769230766"/>
    <n v="859046.18040000007"/>
    <n v="3"/>
    <n v="59563.666666666664"/>
    <n v="146204.9762"/>
    <n v="4"/>
    <n v="63803.25"/>
    <n v="208815.27660000001"/>
    <m/>
    <m/>
    <n v="0"/>
    <m/>
    <m/>
    <n v="0"/>
    <n v="3"/>
    <n v="75750.666666666672"/>
    <n v="185937.5864"/>
    <n v="3"/>
    <n v="99657"/>
    <n v="244618.07220000002"/>
    <m/>
    <m/>
    <n v="0"/>
    <m/>
    <m/>
    <n v="0"/>
  </r>
  <r>
    <x v="5"/>
    <s v="Murray State University "/>
    <n v="157401"/>
    <x v="2"/>
    <n v="75"/>
    <n v="80421.133333333331"/>
    <n v="6031585"/>
    <n v="79"/>
    <n v="80195.987341772154"/>
    <n v="6335483"/>
    <n v="93"/>
    <n v="64010.731182795702"/>
    <n v="5952998"/>
    <n v="81"/>
    <n v="62857.666666666664"/>
    <n v="5091471"/>
    <n v="98"/>
    <n v="54431.693877551021"/>
    <n v="5334306"/>
    <n v="113"/>
    <n v="52740.24778761062"/>
    <n v="5959648"/>
    <n v="1"/>
    <n v="38415"/>
    <n v="38415"/>
    <n v="1"/>
    <n v="39415"/>
    <n v="39415"/>
    <n v="71"/>
    <n v="43418.295774647886"/>
    <n v="3082699"/>
    <n v="71"/>
    <n v="44670.183098591551"/>
    <n v="3171583"/>
    <m/>
    <m/>
    <n v="0"/>
    <m/>
    <m/>
    <n v="0"/>
    <n v="23"/>
    <n v="95805"/>
    <n v="1802915.973"/>
    <n v="22"/>
    <n v="95616.227272727279"/>
    <n v="1721130.3374000001"/>
    <n v="15"/>
    <n v="84746.333333333328"/>
    <n v="1040091.7490000001"/>
    <n v="14"/>
    <n v="87968.78571428571"/>
    <n v="1007664.8466"/>
    <n v="1"/>
    <n v="94117"/>
    <n v="77006.529399999999"/>
    <m/>
    <m/>
    <n v="0"/>
    <m/>
    <m/>
    <n v="0"/>
    <m/>
    <m/>
    <n v="0"/>
    <n v="18"/>
    <n v="52792.5"/>
    <n v="777506.82300000009"/>
    <n v="17"/>
    <n v="54269.529411764706"/>
    <n v="754856.59240000008"/>
    <m/>
    <m/>
    <n v="0"/>
    <m/>
    <m/>
    <n v="0"/>
  </r>
  <r>
    <x v="5"/>
    <s v="Western Kentucky University "/>
    <n v="157951"/>
    <x v="2"/>
    <n v="122"/>
    <n v="81360.688524590165"/>
    <n v="9926004"/>
    <n v="129"/>
    <n v="82975.255813953481"/>
    <n v="10703808"/>
    <n v="154"/>
    <n v="64274.564935064933"/>
    <n v="9898283"/>
    <n v="160"/>
    <n v="63809.162499999999"/>
    <n v="10209466"/>
    <n v="250"/>
    <n v="53374.031999999999"/>
    <n v="13343508"/>
    <n v="230"/>
    <n v="54249.18260869565"/>
    <n v="12477312"/>
    <n v="132"/>
    <n v="39295.719696969696"/>
    <n v="5187035"/>
    <n v="143"/>
    <n v="40096.685314685317"/>
    <n v="5733826"/>
    <n v="16"/>
    <n v="48285"/>
    <n v="772560"/>
    <n v="13"/>
    <n v="50453.538461538461"/>
    <n v="655896"/>
    <m/>
    <m/>
    <n v="0"/>
    <m/>
    <m/>
    <n v="0"/>
    <n v="22"/>
    <n v="103684.90909090909"/>
    <n v="1866369.8376000002"/>
    <n v="21"/>
    <n v="105872.57142857143"/>
    <n v="1819123.6968"/>
    <n v="17"/>
    <n v="91632"/>
    <n v="1274546.1408000002"/>
    <n v="16"/>
    <n v="92883.75"/>
    <n v="1215959.7480000001"/>
    <n v="1"/>
    <n v="75600"/>
    <n v="61855.920000000006"/>
    <n v="1"/>
    <n v="74328"/>
    <n v="60815.169600000001"/>
    <n v="5"/>
    <n v="58185.599999999999"/>
    <n v="238037.28960000002"/>
    <n v="6"/>
    <n v="59074"/>
    <n v="290006.0808"/>
    <m/>
    <m/>
    <n v="0"/>
    <m/>
    <m/>
    <n v="0"/>
    <m/>
    <m/>
    <n v="0"/>
    <m/>
    <m/>
    <n v="0"/>
  </r>
  <r>
    <x v="5"/>
    <s v="Morehead State University "/>
    <n v="157386"/>
    <x v="3"/>
    <n v="48"/>
    <n v="73466.25"/>
    <n v="3526380"/>
    <n v="49"/>
    <n v="73309.367346938772"/>
    <n v="3592159"/>
    <n v="124"/>
    <n v="59651.120967741932"/>
    <n v="7396739"/>
    <n v="124"/>
    <n v="61342.822580645159"/>
    <n v="7606510"/>
    <n v="118"/>
    <n v="50607.805084745763"/>
    <n v="5971721"/>
    <n v="103"/>
    <n v="51264.834951456309"/>
    <n v="5280278"/>
    <n v="65"/>
    <n v="35934.338461538464"/>
    <n v="2335732"/>
    <n v="66"/>
    <n v="37284.257575757576"/>
    <n v="2460761"/>
    <m/>
    <m/>
    <n v="0"/>
    <m/>
    <m/>
    <n v="0"/>
    <m/>
    <m/>
    <n v="0"/>
    <m/>
    <m/>
    <n v="0"/>
    <n v="13"/>
    <n v="105495"/>
    <n v="1122108.1170000001"/>
    <n v="13"/>
    <n v="106639.92307692308"/>
    <n v="1134286.2058000001"/>
    <n v="6"/>
    <n v="97930.833333333328"/>
    <n v="480762.04700000002"/>
    <n v="8"/>
    <n v="91014.375"/>
    <n v="595743.69299999997"/>
    <n v="2"/>
    <n v="70108.5"/>
    <n v="114725.5494"/>
    <n v="2"/>
    <n v="70539"/>
    <n v="115430.0196"/>
    <n v="3"/>
    <n v="45321"/>
    <n v="111244.92660000001"/>
    <n v="4"/>
    <n v="54178"/>
    <n v="177313.75840000002"/>
    <m/>
    <m/>
    <n v="0"/>
    <m/>
    <m/>
    <n v="0"/>
    <m/>
    <m/>
    <n v="0"/>
    <m/>
    <m/>
    <n v="0"/>
  </r>
  <r>
    <x v="5"/>
    <s v="Northern Kentucky University "/>
    <n v="157447"/>
    <x v="3"/>
    <n v="90"/>
    <n v="88452"/>
    <n v="7960680"/>
    <n v="82"/>
    <n v="90580.158536585368"/>
    <n v="7427573"/>
    <n v="115"/>
    <n v="68118.756521739124"/>
    <n v="7833656.9999999991"/>
    <n v="117"/>
    <n v="70464.487179487172"/>
    <n v="8244344.9999999991"/>
    <n v="136"/>
    <n v="59103.11029411765"/>
    <n v="8038023"/>
    <n v="144"/>
    <n v="61873.631944444445"/>
    <n v="8909803"/>
    <n v="1"/>
    <n v="49034"/>
    <n v="49034"/>
    <n v="1"/>
    <n v="50351"/>
    <n v="50351"/>
    <n v="138"/>
    <n v="41603.920289855072"/>
    <n v="5741341"/>
    <n v="152"/>
    <n v="43014.230263157893"/>
    <n v="6538163"/>
    <m/>
    <m/>
    <n v="0"/>
    <m/>
    <m/>
    <n v="0"/>
    <n v="4"/>
    <n v="91327"/>
    <n v="298895.00560000003"/>
    <n v="9"/>
    <n v="110809.11111111111"/>
    <n v="815976.1324"/>
    <n v="7"/>
    <n v="75518.571428571435"/>
    <n v="432525.06599999999"/>
    <n v="7"/>
    <n v="88870.571428571435"/>
    <n v="508997.31080000004"/>
    <n v="3"/>
    <n v="69177"/>
    <n v="169801.86420000001"/>
    <n v="1"/>
    <n v="75867"/>
    <n v="62074.379400000005"/>
    <n v="1"/>
    <n v="81309"/>
    <n v="66527.02380000001"/>
    <n v="1"/>
    <n v="84396"/>
    <n v="69052.80720000001"/>
    <n v="17"/>
    <n v="51573.705882352944"/>
    <n v="717359.30460000003"/>
    <n v="21"/>
    <n v="50082"/>
    <n v="860518.94040000008"/>
    <m/>
    <m/>
    <n v="0"/>
    <m/>
    <m/>
    <n v="0"/>
  </r>
  <r>
    <x v="5"/>
    <s v="Kentucky State University "/>
    <n v="157058"/>
    <x v="4"/>
    <n v="19"/>
    <n v="70115.263157894733"/>
    <n v="1332190"/>
    <n v="21"/>
    <n v="72790.428571428565"/>
    <n v="1528598.9999999998"/>
    <n v="34"/>
    <n v="57700.382352941175"/>
    <n v="1961813"/>
    <n v="30"/>
    <n v="58402.433333333334"/>
    <n v="1752073"/>
    <n v="55"/>
    <n v="47956.509090909094"/>
    <n v="2637608"/>
    <n v="51"/>
    <n v="49960.490196078434"/>
    <n v="2547985"/>
    <n v="17"/>
    <n v="36720.647058823532"/>
    <n v="624251"/>
    <n v="14"/>
    <n v="39318.642857142855"/>
    <n v="550461"/>
    <m/>
    <m/>
    <n v="0"/>
    <m/>
    <m/>
    <n v="0"/>
    <m/>
    <m/>
    <n v="0"/>
    <m/>
    <m/>
    <n v="0"/>
    <n v="4"/>
    <n v="84850.25"/>
    <n v="277697.8982"/>
    <n v="4"/>
    <n v="84001.75"/>
    <n v="274920.92739999999"/>
    <n v="7"/>
    <n v="73352.571428571435"/>
    <n v="420119.51760000008"/>
    <n v="8"/>
    <n v="81128.875"/>
    <n v="531037.1642"/>
    <n v="2"/>
    <n v="69490.5"/>
    <n v="113714.25420000001"/>
    <n v="1"/>
    <n v="50568"/>
    <n v="41374.7376"/>
    <n v="1"/>
    <n v="62456"/>
    <n v="51101.499200000006"/>
    <n v="2"/>
    <n v="61586"/>
    <n v="100779.33040000001"/>
    <m/>
    <m/>
    <n v="0"/>
    <m/>
    <m/>
    <n v="0"/>
    <m/>
    <m/>
    <n v="0"/>
    <m/>
    <m/>
    <n v="0"/>
  </r>
  <r>
    <x v="5"/>
    <s v="Bluegrass Community and Technical College"/>
    <n v="157173"/>
    <x v="6"/>
    <n v="45"/>
    <n v="60768.755555555559"/>
    <n v="2734594"/>
    <n v="44"/>
    <n v="58464.704545454544"/>
    <n v="2572447"/>
    <n v="106"/>
    <n v="51856.07547169811"/>
    <n v="5496744"/>
    <n v="105"/>
    <n v="51139.514285714286"/>
    <n v="5369649"/>
    <n v="40"/>
    <n v="41778.925000000003"/>
    <n v="1671157"/>
    <n v="45"/>
    <n v="41144.933333333334"/>
    <n v="1851522"/>
    <n v="37"/>
    <n v="38271.891891891893"/>
    <n v="1416060"/>
    <n v="24"/>
    <n v="38494.541666666664"/>
    <n v="923869"/>
    <m/>
    <m/>
    <n v="0"/>
    <m/>
    <m/>
    <n v="0"/>
    <m/>
    <m/>
    <n v="0"/>
    <m/>
    <m/>
    <n v="0"/>
    <n v="5"/>
    <n v="68709.8"/>
    <n v="281091.79180000001"/>
    <n v="4"/>
    <n v="69532"/>
    <n v="227564.3296"/>
    <n v="8"/>
    <n v="60227.75"/>
    <n v="394226.76040000003"/>
    <n v="7"/>
    <n v="59936.142857142855"/>
    <n v="343278.26459999999"/>
    <n v="13"/>
    <n v="48987.769230769234"/>
    <n v="521063.30620000005"/>
    <n v="11"/>
    <n v="49080.36363636364"/>
    <n v="441733.08880000003"/>
    <n v="6"/>
    <n v="42786.5"/>
    <n v="210047.48580000002"/>
    <n v="6"/>
    <n v="42685.333333333336"/>
    <n v="209550.83840000001"/>
    <m/>
    <m/>
    <n v="0"/>
    <m/>
    <m/>
    <n v="0"/>
    <m/>
    <m/>
    <n v="0"/>
    <m/>
    <m/>
    <n v="0"/>
  </r>
  <r>
    <x v="5"/>
    <s v="Jefferson Community and Technical College "/>
    <n v="156921"/>
    <x v="6"/>
    <n v="83"/>
    <n v="58156.951807228914"/>
    <n v="4827027"/>
    <n v="81"/>
    <n v="58377.629629629628"/>
    <n v="4728588"/>
    <n v="90"/>
    <n v="49802.355555555558"/>
    <n v="4482212"/>
    <n v="87"/>
    <n v="49760.643678160923"/>
    <n v="4329176"/>
    <n v="44"/>
    <n v="44713.659090909088"/>
    <n v="1967401"/>
    <n v="40"/>
    <n v="44756.5"/>
    <n v="1790260"/>
    <n v="38"/>
    <n v="42891.710526315786"/>
    <n v="1629885"/>
    <n v="26"/>
    <n v="42709.423076923078"/>
    <n v="1110445"/>
    <m/>
    <m/>
    <n v="0"/>
    <m/>
    <m/>
    <n v="0"/>
    <m/>
    <m/>
    <n v="0"/>
    <m/>
    <m/>
    <n v="0"/>
    <n v="12"/>
    <n v="75282.083333333328"/>
    <n v="739149.60700000008"/>
    <n v="15"/>
    <n v="74541.399999999994"/>
    <n v="914846.60220000008"/>
    <n v="11"/>
    <n v="58354.272727272728"/>
    <n v="525200.12540000002"/>
    <n v="16"/>
    <n v="57678.9375"/>
    <n v="755086.50660000008"/>
    <n v="13"/>
    <n v="51535.923076923078"/>
    <n v="548166.99939999997"/>
    <n v="15"/>
    <n v="51298.6"/>
    <n v="629587.71779999998"/>
    <n v="3"/>
    <n v="44514.333333333336"/>
    <n v="109264.88260000001"/>
    <n v="9"/>
    <n v="48049.222222222219"/>
    <n v="353824.86259999999"/>
    <m/>
    <m/>
    <n v="0"/>
    <m/>
    <m/>
    <n v="0"/>
    <m/>
    <m/>
    <n v="0"/>
    <m/>
    <m/>
    <n v="0"/>
  </r>
  <r>
    <x v="5"/>
    <s v="Ashland Community and Technical College"/>
    <n v="156231"/>
    <x v="7"/>
    <n v="27"/>
    <n v="61321.185185185182"/>
    <n v="1655672"/>
    <n v="26"/>
    <n v="61405.538461538461"/>
    <n v="1596544"/>
    <n v="17"/>
    <n v="50921.588235294119"/>
    <n v="865667"/>
    <n v="23"/>
    <n v="49140.565217391304"/>
    <n v="1130233"/>
    <n v="22"/>
    <n v="41098.909090909088"/>
    <n v="904176"/>
    <n v="15"/>
    <n v="41218"/>
    <n v="618270"/>
    <n v="16"/>
    <n v="38452.9375"/>
    <n v="615247"/>
    <n v="17"/>
    <n v="38163.058823529413"/>
    <n v="648772"/>
    <m/>
    <m/>
    <n v="0"/>
    <m/>
    <m/>
    <n v="0"/>
    <m/>
    <m/>
    <n v="0"/>
    <m/>
    <m/>
    <n v="0"/>
    <n v="4"/>
    <n v="74348.25"/>
    <n v="243326.95260000002"/>
    <n v="4"/>
    <n v="74348.25"/>
    <n v="243326.95260000002"/>
    <n v="7"/>
    <n v="59643.285714285717"/>
    <n v="341600.9546"/>
    <n v="7"/>
    <n v="59643.285714285717"/>
    <n v="341600.9546"/>
    <n v="3"/>
    <n v="49396.666666666664"/>
    <n v="121249.058"/>
    <n v="2"/>
    <n v="50084"/>
    <n v="81957.457600000009"/>
    <m/>
    <m/>
    <n v="0"/>
    <n v="1"/>
    <n v="37000"/>
    <n v="30273.4"/>
    <m/>
    <m/>
    <n v="0"/>
    <m/>
    <m/>
    <n v="0"/>
    <m/>
    <m/>
    <n v="0"/>
    <m/>
    <m/>
    <n v="0"/>
  </r>
  <r>
    <x v="5"/>
    <s v="Big Sandy Community and Technical College "/>
    <n v="157553"/>
    <x v="7"/>
    <n v="31"/>
    <n v="58650.806451612902"/>
    <n v="1818175"/>
    <n v="31"/>
    <n v="56722.967741935485"/>
    <n v="1758412"/>
    <n v="26"/>
    <n v="47013.423076923078"/>
    <n v="1222349"/>
    <n v="23"/>
    <n v="46425.782608695656"/>
    <n v="1067793"/>
    <n v="10"/>
    <n v="39027.4"/>
    <n v="390274"/>
    <n v="13"/>
    <n v="38780.923076923078"/>
    <n v="504152"/>
    <n v="22"/>
    <n v="35490.545454545456"/>
    <n v="780792"/>
    <n v="22"/>
    <n v="35228"/>
    <n v="775016"/>
    <m/>
    <m/>
    <n v="0"/>
    <m/>
    <m/>
    <n v="0"/>
    <m/>
    <m/>
    <n v="0"/>
    <m/>
    <m/>
    <n v="0"/>
    <n v="12"/>
    <n v="67410.083333333328"/>
    <n v="661859.16220000002"/>
    <n v="12"/>
    <n v="68876"/>
    <n v="676252.11840000004"/>
    <n v="4"/>
    <n v="63674.5"/>
    <n v="208393.90360000002"/>
    <n v="3"/>
    <n v="65890"/>
    <n v="161733.59400000001"/>
    <n v="5"/>
    <n v="57532.800000000003"/>
    <n v="235366.68480000002"/>
    <n v="2"/>
    <n v="55848.5"/>
    <n v="91390.485400000005"/>
    <n v="2"/>
    <n v="44529.5"/>
    <n v="72868.073799999998"/>
    <n v="2"/>
    <n v="44529.5"/>
    <n v="72868.073799999998"/>
    <m/>
    <m/>
    <n v="0"/>
    <m/>
    <m/>
    <n v="0"/>
    <m/>
    <m/>
    <n v="0"/>
    <m/>
    <m/>
    <n v="0"/>
  </r>
  <r>
    <x v="5"/>
    <s v="Elizabethtown Community and Technical College "/>
    <n v="156648"/>
    <x v="7"/>
    <n v="36"/>
    <n v="59913.722222222219"/>
    <n v="2156894"/>
    <n v="37"/>
    <n v="58676.351351351354"/>
    <n v="2171025"/>
    <n v="41"/>
    <n v="47037.878048780491"/>
    <n v="1928553"/>
    <n v="39"/>
    <n v="48185.076923076922"/>
    <n v="1879218"/>
    <n v="20"/>
    <n v="40294.75"/>
    <n v="805895"/>
    <n v="17"/>
    <n v="40261.705882352944"/>
    <n v="684449"/>
    <n v="21"/>
    <n v="35683.190476190473"/>
    <n v="749347"/>
    <n v="21"/>
    <n v="35217.523809523809"/>
    <n v="739568"/>
    <m/>
    <m/>
    <n v="0"/>
    <m/>
    <m/>
    <n v="0"/>
    <m/>
    <m/>
    <n v="0"/>
    <m/>
    <m/>
    <n v="0"/>
    <n v="3"/>
    <n v="72338.333333333328"/>
    <n v="177561.67300000001"/>
    <n v="3"/>
    <n v="73171.666666666672"/>
    <n v="179607.17300000001"/>
    <n v="3"/>
    <n v="56680.333333333336"/>
    <n v="139127.54620000001"/>
    <n v="2"/>
    <n v="56245.5"/>
    <n v="92040.136200000008"/>
    <m/>
    <m/>
    <n v="0"/>
    <m/>
    <m/>
    <n v="0"/>
    <m/>
    <m/>
    <n v="0"/>
    <m/>
    <m/>
    <n v="0"/>
    <m/>
    <m/>
    <n v="0"/>
    <m/>
    <m/>
    <n v="0"/>
    <m/>
    <m/>
    <n v="0"/>
    <m/>
    <m/>
    <n v="0"/>
  </r>
  <r>
    <x v="5"/>
    <s v="Madisonville Community College"/>
    <n v="157304"/>
    <x v="7"/>
    <n v="28"/>
    <n v="60116.321428571428"/>
    <n v="1683257"/>
    <n v="30"/>
    <n v="59631.23333333333"/>
    <n v="1788937"/>
    <n v="25"/>
    <n v="49152.639999999999"/>
    <n v="1228816"/>
    <n v="27"/>
    <n v="49111.962962962964"/>
    <n v="1326023"/>
    <n v="24"/>
    <n v="41789.625"/>
    <n v="1002951"/>
    <n v="16"/>
    <n v="41875.3125"/>
    <n v="670005"/>
    <n v="17"/>
    <n v="36370.176470588238"/>
    <n v="618293"/>
    <n v="18"/>
    <n v="36030.166666666664"/>
    <n v="648543"/>
    <m/>
    <m/>
    <n v="0"/>
    <m/>
    <m/>
    <n v="0"/>
    <m/>
    <m/>
    <n v="0"/>
    <m/>
    <m/>
    <n v="0"/>
    <n v="5"/>
    <n v="79687.600000000006"/>
    <n v="326001.97159999999"/>
    <n v="5"/>
    <n v="79687.600000000006"/>
    <n v="326001.97159999999"/>
    <n v="5"/>
    <n v="54620.4"/>
    <n v="223452.0564"/>
    <n v="5"/>
    <n v="54279.6"/>
    <n v="222057.84360000002"/>
    <n v="2"/>
    <n v="51483"/>
    <n v="84246.781199999998"/>
    <n v="1"/>
    <n v="56043"/>
    <n v="45854.382600000004"/>
    <n v="4"/>
    <n v="45306.5"/>
    <n v="148279.11319999999"/>
    <n v="6"/>
    <n v="43562.666666666664"/>
    <n v="213857.8432"/>
    <m/>
    <m/>
    <n v="0"/>
    <m/>
    <m/>
    <n v="0"/>
    <m/>
    <m/>
    <n v="0"/>
    <m/>
    <m/>
    <n v="0"/>
  </r>
  <r>
    <x v="5"/>
    <s v="Maysville Community and Technical College "/>
    <n v="157331"/>
    <x v="7"/>
    <n v="23"/>
    <n v="58967.260869565216"/>
    <n v="1356247"/>
    <n v="23"/>
    <n v="59989.695652173912"/>
    <n v="1379763"/>
    <n v="20"/>
    <n v="48274.7"/>
    <n v="965494"/>
    <n v="24"/>
    <n v="47312.125"/>
    <n v="1135491"/>
    <n v="17"/>
    <n v="41412.117647058825"/>
    <n v="704006"/>
    <n v="19"/>
    <n v="41807.684210526313"/>
    <n v="794346"/>
    <n v="18"/>
    <n v="38948.555555555555"/>
    <n v="701074"/>
    <n v="14"/>
    <n v="37515.071428571428"/>
    <n v="525211"/>
    <m/>
    <m/>
    <n v="0"/>
    <m/>
    <m/>
    <n v="0"/>
    <m/>
    <m/>
    <n v="0"/>
    <m/>
    <m/>
    <n v="0"/>
    <n v="4"/>
    <n v="66122"/>
    <n v="216404.0816"/>
    <n v="5"/>
    <n v="65579.199999999997"/>
    <n v="268284.50719999999"/>
    <n v="6"/>
    <n v="54711.333333333336"/>
    <n v="268588.87760000001"/>
    <n v="5"/>
    <n v="54489.2"/>
    <n v="222915.31720000002"/>
    <n v="1"/>
    <n v="47377"/>
    <n v="38763.861400000002"/>
    <m/>
    <m/>
    <n v="0"/>
    <m/>
    <m/>
    <n v="0"/>
    <m/>
    <m/>
    <n v="0"/>
    <m/>
    <m/>
    <n v="0"/>
    <m/>
    <m/>
    <n v="0"/>
    <m/>
    <m/>
    <n v="0"/>
    <m/>
    <m/>
    <n v="0"/>
  </r>
  <r>
    <x v="5"/>
    <s v="Owensboro Community and Technical College "/>
    <n v="247940"/>
    <x v="7"/>
    <n v="22"/>
    <n v="58299.13636363636"/>
    <n v="1282581"/>
    <n v="22"/>
    <n v="58299.13636363636"/>
    <n v="1282581"/>
    <n v="33"/>
    <n v="51122.242424242424"/>
    <n v="1687034"/>
    <n v="33"/>
    <n v="50326.515151515152"/>
    <n v="1660775"/>
    <n v="17"/>
    <n v="42106.823529411762"/>
    <n v="715816"/>
    <n v="13"/>
    <n v="41431.307692307695"/>
    <n v="538607"/>
    <n v="18"/>
    <n v="37379.722222222219"/>
    <n v="672835"/>
    <n v="22"/>
    <n v="37623.227272727272"/>
    <n v="827711"/>
    <m/>
    <m/>
    <n v="0"/>
    <m/>
    <m/>
    <n v="0"/>
    <m/>
    <m/>
    <n v="0"/>
    <m/>
    <m/>
    <n v="0"/>
    <n v="1"/>
    <n v="65421"/>
    <n v="53527.462200000002"/>
    <n v="1"/>
    <n v="65421"/>
    <n v="53527.462200000002"/>
    <n v="3"/>
    <n v="57481.333333333336"/>
    <n v="141093.6808"/>
    <n v="3"/>
    <n v="57481.333333333336"/>
    <n v="141093.6808"/>
    <n v="2"/>
    <n v="53512"/>
    <n v="87567.036800000002"/>
    <n v="4"/>
    <n v="51991.5"/>
    <n v="170157.7812"/>
    <n v="3"/>
    <n v="43488"/>
    <n v="106745.64480000001"/>
    <n v="4"/>
    <n v="41000.75"/>
    <n v="134187.25460000001"/>
    <m/>
    <m/>
    <n v="0"/>
    <m/>
    <m/>
    <n v="0"/>
    <m/>
    <m/>
    <n v="0"/>
    <m/>
    <m/>
    <n v="0"/>
  </r>
  <r>
    <x v="5"/>
    <s v="Somerset Community and Technical College "/>
    <n v="157711"/>
    <x v="7"/>
    <n v="48"/>
    <n v="58754.4375"/>
    <n v="2820213"/>
    <n v="47"/>
    <n v="59122.808510638301"/>
    <n v="2778772"/>
    <n v="33"/>
    <n v="48538.21212121212"/>
    <n v="1601761"/>
    <n v="34"/>
    <n v="48319.617647058825"/>
    <n v="1642867"/>
    <n v="34"/>
    <n v="40680.441176470587"/>
    <n v="1383135"/>
    <n v="28"/>
    <n v="39768.785714285717"/>
    <n v="1113526"/>
    <n v="21"/>
    <n v="35917.476190476191"/>
    <n v="754267"/>
    <n v="19"/>
    <n v="35438"/>
    <n v="673322"/>
    <m/>
    <m/>
    <n v="0"/>
    <m/>
    <m/>
    <n v="0"/>
    <m/>
    <m/>
    <n v="0"/>
    <m/>
    <m/>
    <n v="0"/>
    <n v="7"/>
    <n v="73396.71428571429"/>
    <n v="420372.34140000003"/>
    <n v="7"/>
    <n v="73396.71428571429"/>
    <n v="420372.34140000003"/>
    <n v="1"/>
    <n v="66396"/>
    <n v="54325.207200000004"/>
    <m/>
    <m/>
    <n v="0"/>
    <n v="5"/>
    <n v="67227.199999999997"/>
    <n v="275026.47519999999"/>
    <n v="6"/>
    <n v="64993.166666666664"/>
    <n v="319064.45380000002"/>
    <n v="1"/>
    <n v="43128"/>
    <n v="35287.329600000005"/>
    <n v="4"/>
    <n v="41697"/>
    <n v="136465.94160000002"/>
    <m/>
    <m/>
    <n v="0"/>
    <m/>
    <m/>
    <n v="0"/>
    <m/>
    <m/>
    <n v="0"/>
    <m/>
    <m/>
    <n v="0"/>
  </r>
  <r>
    <x v="5"/>
    <s v="Southeast Kentucky Community and Technical College"/>
    <n v="157739"/>
    <x v="7"/>
    <n v="47"/>
    <n v="58944.723404255317"/>
    <n v="2770402"/>
    <n v="43"/>
    <n v="59411.372093023259"/>
    <n v="2554689"/>
    <n v="24"/>
    <n v="46302.541666666664"/>
    <n v="1111261"/>
    <n v="23"/>
    <n v="47135.391304347824"/>
    <n v="1084114"/>
    <n v="9"/>
    <n v="42944.555555555555"/>
    <n v="386501"/>
    <n v="5"/>
    <n v="44844.6"/>
    <n v="224223"/>
    <n v="6"/>
    <n v="35891"/>
    <n v="215346"/>
    <n v="10"/>
    <n v="37150"/>
    <n v="371500"/>
    <m/>
    <m/>
    <n v="0"/>
    <m/>
    <m/>
    <n v="0"/>
    <m/>
    <m/>
    <n v="0"/>
    <m/>
    <m/>
    <n v="0"/>
    <n v="9"/>
    <n v="67258.333333333328"/>
    <n v="495276.91500000004"/>
    <n v="9"/>
    <n v="67258.333333333328"/>
    <n v="495276.91500000004"/>
    <n v="6"/>
    <n v="61626.166666666664"/>
    <n v="302535.17739999999"/>
    <n v="7"/>
    <n v="57001.857142857145"/>
    <n v="326472.43660000002"/>
    <n v="3"/>
    <n v="47090.666666666664"/>
    <n v="115588.7504"/>
    <n v="2"/>
    <n v="43860.5"/>
    <n v="71773.32220000001"/>
    <n v="2"/>
    <n v="40132"/>
    <n v="65672.00480000001"/>
    <n v="1"/>
    <n v="42024"/>
    <n v="34384.036800000002"/>
    <m/>
    <m/>
    <n v="0"/>
    <m/>
    <m/>
    <n v="0"/>
    <m/>
    <m/>
    <n v="0"/>
    <m/>
    <m/>
    <n v="0"/>
  </r>
  <r>
    <x v="5"/>
    <s v="West Kentucky Community and Technical College"/>
    <n v="157483"/>
    <x v="7"/>
    <n v="45"/>
    <n v="60268.37777777778"/>
    <n v="2712077"/>
    <n v="42"/>
    <n v="59011.571428571428"/>
    <n v="2478486"/>
    <n v="26"/>
    <n v="47462.961538461539"/>
    <n v="1234037"/>
    <n v="28"/>
    <n v="46761.5"/>
    <n v="1309322"/>
    <n v="14"/>
    <n v="41175.071428571428"/>
    <n v="576451"/>
    <n v="17"/>
    <n v="41493.23529411765"/>
    <n v="705385"/>
    <n v="17"/>
    <n v="37811.882352941175"/>
    <n v="642802"/>
    <n v="18"/>
    <n v="37300.277777777781"/>
    <n v="671405"/>
    <m/>
    <m/>
    <n v="0"/>
    <m/>
    <m/>
    <n v="0"/>
    <m/>
    <m/>
    <n v="0"/>
    <m/>
    <m/>
    <n v="0"/>
    <n v="2"/>
    <n v="78405"/>
    <n v="128301.94200000001"/>
    <n v="6"/>
    <n v="72221.5"/>
    <n v="354549.78779999999"/>
    <n v="11"/>
    <n v="56429.090909090912"/>
    <n v="507873.10400000005"/>
    <n v="10"/>
    <n v="54966.3"/>
    <n v="449734.26660000003"/>
    <n v="6"/>
    <n v="53168"/>
    <n v="261012.3456"/>
    <n v="5"/>
    <n v="54197"/>
    <n v="221719.927"/>
    <n v="5"/>
    <n v="45650.400000000001"/>
    <n v="186755.78640000001"/>
    <n v="6"/>
    <n v="43138.666666666664"/>
    <n v="211776.34240000002"/>
    <m/>
    <m/>
    <n v="0"/>
    <m/>
    <m/>
    <n v="0"/>
    <m/>
    <m/>
    <n v="0"/>
    <m/>
    <m/>
    <n v="0"/>
  </r>
  <r>
    <x v="5"/>
    <s v="Hazard Community and Technical College"/>
    <n v="156790"/>
    <x v="8"/>
    <n v="34"/>
    <n v="58738.117647058825"/>
    <n v="1997096"/>
    <n v="36"/>
    <n v="57883.111111111109"/>
    <n v="2083792"/>
    <n v="32"/>
    <n v="48805.90625"/>
    <n v="1561789"/>
    <n v="30"/>
    <n v="49192.666666666664"/>
    <n v="1475780"/>
    <n v="15"/>
    <n v="42019.666666666664"/>
    <n v="630295"/>
    <n v="8"/>
    <n v="40977.5"/>
    <n v="327820"/>
    <n v="18"/>
    <n v="38580.944444444445"/>
    <n v="694457"/>
    <n v="9"/>
    <n v="38851.111111111109"/>
    <n v="349660"/>
    <m/>
    <m/>
    <n v="0"/>
    <m/>
    <m/>
    <n v="0"/>
    <m/>
    <m/>
    <n v="0"/>
    <m/>
    <m/>
    <n v="0"/>
    <n v="8"/>
    <n v="72158.5"/>
    <n v="472320.6776"/>
    <n v="9"/>
    <n v="71409.888888888891"/>
    <n v="525848.1398"/>
    <n v="4"/>
    <n v="65713"/>
    <n v="215065.50640000001"/>
    <n v="6"/>
    <n v="62808.166666666664"/>
    <n v="308337.8518"/>
    <n v="4"/>
    <n v="54150"/>
    <n v="177222.12"/>
    <n v="3"/>
    <n v="56407.666666666664"/>
    <n v="138458.2586"/>
    <n v="3"/>
    <n v="52637.333333333336"/>
    <n v="129203.5984"/>
    <n v="3"/>
    <n v="52637.333333333336"/>
    <n v="129203.5984"/>
    <m/>
    <m/>
    <n v="0"/>
    <m/>
    <m/>
    <n v="0"/>
    <m/>
    <m/>
    <n v="0"/>
    <m/>
    <m/>
    <n v="0"/>
  </r>
  <r>
    <x v="5"/>
    <s v="Henderson Community College "/>
    <n v="156851"/>
    <x v="8"/>
    <n v="22"/>
    <n v="58878.36363636364"/>
    <n v="1295324"/>
    <n v="22"/>
    <n v="58105.681818181816"/>
    <n v="1278325"/>
    <n v="16"/>
    <n v="49330.125"/>
    <n v="789282"/>
    <n v="14"/>
    <n v="48523.571428571428"/>
    <n v="679330"/>
    <n v="2"/>
    <n v="41419"/>
    <n v="82838"/>
    <n v="4"/>
    <n v="41302"/>
    <n v="165208"/>
    <n v="7"/>
    <n v="37093.285714285717"/>
    <n v="259653.00000000003"/>
    <n v="3"/>
    <n v="37500"/>
    <n v="112500"/>
    <m/>
    <m/>
    <n v="0"/>
    <m/>
    <m/>
    <n v="0"/>
    <m/>
    <m/>
    <n v="0"/>
    <m/>
    <m/>
    <n v="0"/>
    <n v="2"/>
    <n v="77792"/>
    <n v="127298.8288"/>
    <n v="3"/>
    <n v="77340.333333333328"/>
    <n v="189839.5822"/>
    <n v="1"/>
    <n v="74637"/>
    <n v="61067.993399999999"/>
    <m/>
    <m/>
    <n v="0"/>
    <n v="1"/>
    <n v="47506"/>
    <n v="38869.409200000002"/>
    <m/>
    <m/>
    <n v="0"/>
    <m/>
    <m/>
    <n v="0"/>
    <n v="1"/>
    <n v="45000"/>
    <n v="36819"/>
    <m/>
    <m/>
    <n v="0"/>
    <m/>
    <m/>
    <n v="0"/>
    <m/>
    <m/>
    <n v="0"/>
    <m/>
    <m/>
    <n v="0"/>
  </r>
  <r>
    <x v="5"/>
    <s v="Hopkinsville Community College "/>
    <n v="156860"/>
    <x v="8"/>
    <n v="16"/>
    <n v="58323.875"/>
    <n v="933182"/>
    <n v="14"/>
    <n v="59597.214285714283"/>
    <n v="834361"/>
    <n v="19"/>
    <n v="46421.84210526316"/>
    <n v="882015"/>
    <n v="20"/>
    <n v="45343.65"/>
    <n v="906873"/>
    <n v="9"/>
    <n v="39102.777777777781"/>
    <n v="351925"/>
    <n v="6"/>
    <n v="38680.833333333336"/>
    <n v="232085"/>
    <n v="12"/>
    <n v="37230.583333333336"/>
    <n v="446767"/>
    <n v="14"/>
    <n v="36686.857142857145"/>
    <n v="513616"/>
    <m/>
    <m/>
    <n v="0"/>
    <m/>
    <m/>
    <n v="0"/>
    <m/>
    <m/>
    <n v="0"/>
    <m/>
    <m/>
    <n v="0"/>
    <n v="3"/>
    <n v="70621"/>
    <n v="173346.30660000001"/>
    <n v="3"/>
    <n v="70621"/>
    <n v="173346.30660000001"/>
    <n v="6"/>
    <n v="54602.166666666664"/>
    <n v="268052.95660000003"/>
    <n v="4"/>
    <n v="55369.75"/>
    <n v="181214.11780000001"/>
    <n v="1"/>
    <n v="42493"/>
    <n v="34767.772600000004"/>
    <n v="1"/>
    <n v="42493"/>
    <n v="34767.772600000004"/>
    <n v="3"/>
    <n v="40820"/>
    <n v="100196.77200000001"/>
    <n v="3"/>
    <n v="40820"/>
    <n v="100196.77200000001"/>
    <m/>
    <m/>
    <n v="0"/>
    <m/>
    <m/>
    <n v="0"/>
    <m/>
    <m/>
    <n v="0"/>
    <m/>
    <m/>
    <n v="0"/>
  </r>
  <r>
    <x v="5"/>
    <s v="Bowling Green Technical College"/>
    <n v="156338"/>
    <x v="9"/>
    <n v="3"/>
    <n v="63172.666666666664"/>
    <n v="189518"/>
    <n v="3"/>
    <n v="63172.666666666664"/>
    <n v="189518"/>
    <n v="9"/>
    <n v="49447.777777777781"/>
    <n v="445030"/>
    <n v="11"/>
    <n v="48566.36363636364"/>
    <n v="534230"/>
    <n v="8"/>
    <n v="44721.75"/>
    <n v="357774"/>
    <n v="11"/>
    <n v="42807.818181818184"/>
    <n v="470886"/>
    <n v="17"/>
    <n v="36656.76470588235"/>
    <n v="623165"/>
    <n v="14"/>
    <n v="37808.785714285717"/>
    <n v="529323"/>
    <m/>
    <m/>
    <n v="0"/>
    <m/>
    <m/>
    <n v="0"/>
    <m/>
    <m/>
    <n v="0"/>
    <m/>
    <m/>
    <n v="0"/>
    <n v="1"/>
    <n v="66041"/>
    <n v="54034.746200000001"/>
    <n v="2"/>
    <n v="64724.5"/>
    <n v="105915.17180000001"/>
    <n v="5"/>
    <n v="57080"/>
    <n v="233514.28"/>
    <n v="3"/>
    <n v="54960.666666666664"/>
    <n v="134906.45240000001"/>
    <n v="6"/>
    <n v="48702.5"/>
    <n v="239090.31300000002"/>
    <n v="4"/>
    <n v="46413.25"/>
    <n v="151901.28460000001"/>
    <n v="13"/>
    <n v="42989.230769230766"/>
    <n v="457259.25200000004"/>
    <n v="15"/>
    <n v="42252.73333333333"/>
    <n v="518567.79620000004"/>
    <m/>
    <m/>
    <n v="0"/>
    <m/>
    <m/>
    <n v="0"/>
    <m/>
    <m/>
    <n v="0"/>
    <m/>
    <m/>
    <n v="0"/>
  </r>
  <r>
    <x v="5"/>
    <s v="Gateway Community and Technical College"/>
    <n v="157438"/>
    <x v="9"/>
    <n v="4"/>
    <n v="64790.25"/>
    <n v="259161"/>
    <n v="3"/>
    <n v="70176.666666666672"/>
    <n v="210530"/>
    <n v="12"/>
    <n v="51611.25"/>
    <n v="619335"/>
    <n v="14"/>
    <n v="51186.071428571428"/>
    <n v="716605"/>
    <n v="17"/>
    <n v="48157.705882352944"/>
    <n v="818681"/>
    <n v="17"/>
    <n v="48453"/>
    <n v="823701"/>
    <n v="13"/>
    <n v="43703.384615384617"/>
    <n v="568144"/>
    <n v="12"/>
    <n v="43096.416666666664"/>
    <n v="517157"/>
    <m/>
    <m/>
    <n v="0"/>
    <m/>
    <m/>
    <n v="0"/>
    <m/>
    <m/>
    <n v="0"/>
    <m/>
    <m/>
    <n v="0"/>
    <m/>
    <m/>
    <n v="0"/>
    <m/>
    <m/>
    <n v="0"/>
    <n v="3"/>
    <n v="71863"/>
    <n v="176394.9198"/>
    <n v="5"/>
    <n v="66117.8"/>
    <n v="270487.91980000003"/>
    <n v="6"/>
    <n v="53434.166666666664"/>
    <n v="262319.011"/>
    <n v="7"/>
    <n v="51608.571428571428"/>
    <n v="295582.93200000003"/>
    <n v="12"/>
    <n v="44668.833333333336"/>
    <n v="438576.47320000001"/>
    <n v="14"/>
    <n v="44671.357142857145"/>
    <n v="511701.46180000005"/>
    <m/>
    <m/>
    <n v="0"/>
    <m/>
    <m/>
    <n v="0"/>
    <m/>
    <m/>
    <n v="0"/>
    <m/>
    <m/>
    <n v="0"/>
  </r>
  <r>
    <x v="6"/>
    <s v="Louisiana State University and A&amp;M College"/>
    <n v="159391"/>
    <x v="0"/>
    <n v="355"/>
    <n v="107596"/>
    <n v="38196580"/>
    <n v="367"/>
    <n v="111964"/>
    <n v="41090788"/>
    <n v="239"/>
    <n v="76132"/>
    <n v="18195548"/>
    <n v="257"/>
    <n v="80228"/>
    <n v="20618596"/>
    <n v="273"/>
    <n v="65661"/>
    <n v="17925453"/>
    <n v="299"/>
    <n v="67635"/>
    <n v="20222865"/>
    <n v="240"/>
    <n v="41279"/>
    <n v="9906960"/>
    <n v="230"/>
    <n v="43184"/>
    <n v="9932320"/>
    <n v="14"/>
    <n v="51210"/>
    <n v="716940"/>
    <n v="17"/>
    <n v="56079"/>
    <n v="953343"/>
    <n v="0"/>
    <n v="0"/>
    <n v="0"/>
    <n v="0"/>
    <n v="0"/>
    <n v="0"/>
    <n v="69"/>
    <n v="121697"/>
    <n v="6870501.4926000005"/>
    <n v="69"/>
    <n v="126568"/>
    <n v="7145497.6944000004"/>
    <n v="29"/>
    <n v="95296"/>
    <n v="2261164.4287999999"/>
    <n v="31"/>
    <n v="95424"/>
    <n v="2420353.4208"/>
    <n v="26"/>
    <n v="89110"/>
    <n v="1895654.8520000002"/>
    <n v="28"/>
    <n v="97479"/>
    <n v="2233204.8984000003"/>
    <n v="17"/>
    <n v="56630"/>
    <n v="787689.32200000004"/>
    <n v="17"/>
    <n v="57127"/>
    <n v="794602.29379999998"/>
    <n v="5"/>
    <n v="60637"/>
    <n v="248065.967"/>
    <n v="4"/>
    <n v="57366"/>
    <n v="187747.4448"/>
    <n v="0"/>
    <n v="0"/>
    <n v="0"/>
    <n v="0"/>
    <n v="0"/>
    <n v="0"/>
  </r>
  <r>
    <x v="6"/>
    <s v="Louisiana Tech University "/>
    <n v="159647"/>
    <x v="1"/>
    <n v="53"/>
    <n v="74638"/>
    <n v="3955814"/>
    <n v="45"/>
    <n v="77473"/>
    <n v="3486285"/>
    <n v="77"/>
    <n v="65823"/>
    <n v="5068371"/>
    <n v="80"/>
    <n v="67832"/>
    <n v="5426560"/>
    <n v="143"/>
    <n v="57009"/>
    <n v="8152287"/>
    <n v="143"/>
    <n v="58133"/>
    <n v="8313019"/>
    <n v="53"/>
    <n v="37694"/>
    <n v="1997782"/>
    <n v="48"/>
    <n v="39103"/>
    <n v="1876944"/>
    <n v="29"/>
    <n v="51001.413793103449"/>
    <n v="1479041"/>
    <n v="35"/>
    <n v="51447.428571428572"/>
    <n v="1800660"/>
    <m/>
    <m/>
    <n v="0"/>
    <m/>
    <m/>
    <n v="0"/>
    <n v="31"/>
    <n v="111791"/>
    <n v="2835489.2822000002"/>
    <n v="33"/>
    <n v="117125"/>
    <n v="3162445.2750000004"/>
    <n v="16"/>
    <n v="90630"/>
    <n v="1186455.456"/>
    <n v="18"/>
    <n v="92568"/>
    <n v="1363304.4768000001"/>
    <n v="11"/>
    <n v="78304"/>
    <n v="704751.66080000007"/>
    <n v="9"/>
    <n v="80428"/>
    <n v="592255.70640000002"/>
    <n v="14"/>
    <n v="46161"/>
    <n v="528765.02280000004"/>
    <n v="11"/>
    <n v="51886"/>
    <n v="466984.37720000005"/>
    <n v="5"/>
    <n v="42901"/>
    <n v="175507.99100000001"/>
    <n v="12"/>
    <n v="41289"/>
    <n v="405391.91760000004"/>
    <m/>
    <m/>
    <n v="0"/>
    <m/>
    <m/>
    <n v="0"/>
  </r>
  <r>
    <x v="6"/>
    <s v="University of Louisiana at Lafayette"/>
    <n v="160658"/>
    <x v="1"/>
    <n v="144"/>
    <n v="100558"/>
    <n v="14480352"/>
    <n v="143"/>
    <n v="106498"/>
    <n v="15229214"/>
    <n v="125"/>
    <n v="73022"/>
    <n v="9127750"/>
    <n v="125"/>
    <n v="78540"/>
    <n v="9817500"/>
    <n v="153"/>
    <n v="59247"/>
    <n v="9064791"/>
    <n v="159"/>
    <n v="63167"/>
    <n v="10043553"/>
    <n v="147"/>
    <n v="42784"/>
    <n v="6289248"/>
    <n v="160"/>
    <n v="43986"/>
    <n v="7037760"/>
    <n v="3"/>
    <n v="42745"/>
    <n v="128235"/>
    <n v="0"/>
    <m/>
    <n v="0"/>
    <n v="0"/>
    <n v="0"/>
    <n v="0"/>
    <n v="0"/>
    <n v="0"/>
    <n v="0"/>
    <n v="0"/>
    <n v="0"/>
    <n v="0"/>
    <n v="0"/>
    <n v="0"/>
    <n v="0"/>
    <n v="1"/>
    <n v="98721"/>
    <n v="80773.522200000007"/>
    <n v="1"/>
    <n v="106619"/>
    <n v="87235.665800000002"/>
    <n v="1"/>
    <n v="53370"/>
    <n v="43667.334000000003"/>
    <n v="1"/>
    <n v="51970"/>
    <n v="42521.853999999999"/>
    <n v="2"/>
    <n v="55098"/>
    <n v="90162.367200000008"/>
    <n v="2"/>
    <n v="51369"/>
    <n v="84060.231599999999"/>
    <n v="0"/>
    <n v="0"/>
    <n v="0"/>
    <n v="0"/>
    <n v="0"/>
    <n v="0"/>
    <n v="0"/>
    <n v="0"/>
    <n v="0"/>
    <n v="0"/>
    <n v="0"/>
    <n v="0"/>
  </r>
  <r>
    <x v="6"/>
    <s v="University of New Orleans"/>
    <n v="159939"/>
    <x v="1"/>
    <n v="143"/>
    <n v="85451"/>
    <n v="12219493"/>
    <n v="133"/>
    <n v="87505"/>
    <n v="11638165"/>
    <n v="86"/>
    <n v="67704"/>
    <n v="5822544"/>
    <n v="84"/>
    <n v="66274"/>
    <n v="5567016"/>
    <n v="75"/>
    <n v="59509"/>
    <n v="4463175"/>
    <n v="97"/>
    <n v="62549"/>
    <n v="6067253"/>
    <n v="116"/>
    <n v="40333"/>
    <n v="4678628"/>
    <n v="122"/>
    <n v="42165"/>
    <n v="5144130"/>
    <n v="0"/>
    <n v="0"/>
    <n v="0"/>
    <n v="0"/>
    <n v="0"/>
    <n v="0"/>
    <n v="0"/>
    <n v="0"/>
    <n v="0"/>
    <n v="0"/>
    <n v="0"/>
    <n v="0"/>
    <n v="7"/>
    <n v="104975"/>
    <n v="601233.81500000006"/>
    <n v="6"/>
    <n v="118935"/>
    <n v="583875.70200000005"/>
    <n v="7"/>
    <n v="64847"/>
    <n v="371404.70780000003"/>
    <n v="10"/>
    <n v="63435"/>
    <n v="519025.17000000004"/>
    <n v="10"/>
    <n v="62048"/>
    <n v="507676.73600000003"/>
    <n v="6"/>
    <n v="46143"/>
    <n v="226525.21560000003"/>
    <n v="1"/>
    <n v="62350"/>
    <n v="51014.770000000004"/>
    <n v="1"/>
    <n v="62350"/>
    <n v="51014.770000000004"/>
    <n v="0"/>
    <n v="0"/>
    <n v="0"/>
    <n v="0"/>
    <n v="0"/>
    <n v="0"/>
    <n v="0"/>
    <n v="0"/>
    <n v="0"/>
    <n v="0"/>
    <n v="0"/>
    <n v="0"/>
  </r>
  <r>
    <x v="6"/>
    <s v="Southeastern Louisiana University "/>
    <n v="160612"/>
    <x v="2"/>
    <n v="82"/>
    <n v="73062"/>
    <n v="5991084"/>
    <n v="86"/>
    <n v="78794"/>
    <n v="6776284"/>
    <n v="105"/>
    <n v="63092"/>
    <n v="6624660"/>
    <n v="106"/>
    <n v="66982"/>
    <n v="7100092"/>
    <n v="118"/>
    <n v="54569"/>
    <n v="6439142"/>
    <n v="113"/>
    <n v="58241"/>
    <n v="6581233"/>
    <n v="203"/>
    <n v="41680"/>
    <n v="8461040"/>
    <n v="214"/>
    <n v="44317"/>
    <n v="9483838"/>
    <n v="0"/>
    <n v="0"/>
    <n v="0"/>
    <n v="0"/>
    <n v="0"/>
    <n v="0"/>
    <n v="0"/>
    <n v="0"/>
    <n v="0"/>
    <n v="0"/>
    <n v="0"/>
    <n v="0"/>
    <n v="13"/>
    <n v="102525"/>
    <n v="1090517.415"/>
    <n v="12"/>
    <n v="107955"/>
    <n v="1059945.372"/>
    <n v="6"/>
    <n v="102824"/>
    <n v="504783.5808"/>
    <n v="7"/>
    <n v="110994"/>
    <n v="635707.03560000006"/>
    <n v="1"/>
    <n v="79710"/>
    <n v="65218.722000000002"/>
    <n v="1"/>
    <n v="84710"/>
    <n v="69309.722000000009"/>
    <n v="0"/>
    <n v="0"/>
    <n v="0"/>
    <n v="1"/>
    <n v="59271"/>
    <n v="48495.532200000001"/>
    <n v="0"/>
    <n v="0"/>
    <n v="0"/>
    <n v="0"/>
    <n v="0"/>
    <n v="0"/>
    <n v="0"/>
    <n v="0"/>
    <n v="0"/>
    <n v="0"/>
    <n v="0"/>
    <n v="0"/>
  </r>
  <r>
    <x v="6"/>
    <s v="Southern University and A&amp;M College at Baton Rouge "/>
    <n v="160621"/>
    <x v="2"/>
    <n v="112"/>
    <n v="76744"/>
    <n v="8595328"/>
    <n v="115"/>
    <n v="77552"/>
    <n v="8918480"/>
    <n v="84"/>
    <n v="63389"/>
    <n v="5324676"/>
    <n v="82"/>
    <n v="62655"/>
    <n v="5137710"/>
    <n v="156"/>
    <n v="56371"/>
    <n v="8793876"/>
    <n v="164"/>
    <n v="54728"/>
    <n v="8975392"/>
    <n v="99"/>
    <n v="39864"/>
    <n v="3946536"/>
    <n v="82"/>
    <n v="42910"/>
    <n v="3518620"/>
    <n v="0"/>
    <n v="0"/>
    <n v="0"/>
    <n v="29"/>
    <n v="28968"/>
    <n v="840072"/>
    <m/>
    <m/>
    <n v="0"/>
    <m/>
    <m/>
    <n v="0"/>
    <n v="1"/>
    <n v="108218"/>
    <n v="88543.967600000004"/>
    <n v="12"/>
    <n v="95886"/>
    <n v="941447.10240000009"/>
    <n v="0"/>
    <n v="0"/>
    <n v="0"/>
    <n v="1"/>
    <n v="70907"/>
    <n v="58016.107400000001"/>
    <n v="0"/>
    <n v="0"/>
    <n v="0"/>
    <n v="4"/>
    <n v="72659"/>
    <n v="237798.37520000001"/>
    <n v="0"/>
    <n v="0"/>
    <n v="0"/>
    <n v="1"/>
    <n v="49349"/>
    <n v="40377.351800000004"/>
    <n v="0"/>
    <n v="0"/>
    <n v="0"/>
    <n v="0"/>
    <n v="0"/>
    <n v="0"/>
    <n v="0"/>
    <n v="0"/>
    <n v="0"/>
    <n v="0"/>
    <n v="0"/>
    <n v="0"/>
  </r>
  <r>
    <x v="6"/>
    <s v="University of Louisiana at Monroe"/>
    <n v="159993"/>
    <x v="2"/>
    <n v="54"/>
    <n v="69527"/>
    <n v="3754458"/>
    <n v="49"/>
    <n v="72389"/>
    <n v="3547061"/>
    <n v="75"/>
    <n v="60562"/>
    <n v="4542150"/>
    <n v="67"/>
    <n v="63258"/>
    <n v="4238286"/>
    <n v="119"/>
    <n v="50396"/>
    <n v="5997124"/>
    <n v="121"/>
    <n v="51555"/>
    <n v="6238155"/>
    <n v="63"/>
    <n v="38498"/>
    <n v="2425374"/>
    <n v="72"/>
    <n v="39598"/>
    <n v="2851056"/>
    <n v="0"/>
    <n v="0"/>
    <n v="0"/>
    <n v="0"/>
    <m/>
    <n v="0"/>
    <n v="0"/>
    <n v="0"/>
    <n v="0"/>
    <n v="0"/>
    <n v="0"/>
    <n v="0"/>
    <n v="5"/>
    <n v="107019"/>
    <n v="437814.72899999999"/>
    <n v="3"/>
    <n v="120751"/>
    <n v="296395.40460000001"/>
    <n v="11"/>
    <n v="98926"/>
    <n v="890353.78520000004"/>
    <n v="13"/>
    <n v="99584"/>
    <n v="1059235.1744000001"/>
    <n v="28"/>
    <n v="91530"/>
    <n v="2096915.6880000001"/>
    <n v="38"/>
    <n v="90773"/>
    <n v="2822277.8067999999"/>
    <n v="3"/>
    <n v="51691"/>
    <n v="126880.7286"/>
    <n v="7"/>
    <n v="60715"/>
    <n v="347739.09100000001"/>
    <n v="0"/>
    <n v="0"/>
    <n v="0"/>
    <n v="0"/>
    <n v="0"/>
    <n v="0"/>
    <n v="0"/>
    <n v="0"/>
    <n v="0"/>
    <n v="0"/>
    <n v="0"/>
    <n v="0"/>
  </r>
  <r>
    <x v="6"/>
    <s v="Grambling State University"/>
    <n v="159009"/>
    <x v="3"/>
    <n v="52"/>
    <n v="70328"/>
    <n v="3657056"/>
    <n v="52"/>
    <n v="70726"/>
    <n v="3677752"/>
    <n v="44"/>
    <n v="58965"/>
    <n v="2594460"/>
    <n v="36"/>
    <n v="58932"/>
    <n v="2121552"/>
    <n v="81"/>
    <n v="51178"/>
    <n v="4145418"/>
    <n v="83"/>
    <n v="50937"/>
    <n v="4227771"/>
    <n v="28"/>
    <n v="40932"/>
    <n v="1146096"/>
    <n v="25"/>
    <n v="42048"/>
    <n v="1051200"/>
    <n v="0"/>
    <n v="0"/>
    <n v="0"/>
    <n v="13"/>
    <n v="43561"/>
    <n v="566293"/>
    <n v="0"/>
    <n v="0"/>
    <n v="0"/>
    <n v="0"/>
    <n v="0"/>
    <n v="0"/>
    <n v="12"/>
    <n v="87528"/>
    <n v="859384.91520000005"/>
    <n v="7"/>
    <n v="87430"/>
    <n v="500746.58199999999"/>
    <n v="12"/>
    <n v="72754"/>
    <n v="714327.87360000005"/>
    <n v="13"/>
    <n v="74313"/>
    <n v="790437.65580000007"/>
    <n v="13"/>
    <n v="68278"/>
    <n v="726245.77480000001"/>
    <n v="19"/>
    <n v="63085"/>
    <n v="980706.79300000006"/>
    <n v="7"/>
    <n v="43256"/>
    <n v="247744.41440000001"/>
    <n v="9"/>
    <n v="44819"/>
    <n v="330038.15220000001"/>
    <n v="0"/>
    <n v="0"/>
    <n v="0"/>
    <n v="1"/>
    <n v="69644"/>
    <n v="56982.720800000003"/>
    <n v="0"/>
    <n v="0"/>
    <n v="0"/>
    <n v="0"/>
    <n v="0"/>
    <n v="0"/>
  </r>
  <r>
    <x v="6"/>
    <s v="Louisiana State University in Shreveport"/>
    <n v="159416"/>
    <x v="3"/>
    <n v="45"/>
    <n v="67524"/>
    <n v="3038580"/>
    <n v="33"/>
    <n v="65966"/>
    <n v="2176878"/>
    <n v="33"/>
    <n v="57498"/>
    <n v="1897434"/>
    <n v="31"/>
    <n v="58495"/>
    <n v="1813345"/>
    <n v="33"/>
    <n v="53901"/>
    <n v="1778733"/>
    <n v="37"/>
    <n v="54037"/>
    <n v="1999369"/>
    <n v="20"/>
    <n v="36772"/>
    <n v="735440"/>
    <n v="27"/>
    <n v="37177"/>
    <n v="1003779"/>
    <n v="0"/>
    <n v="0"/>
    <n v="0"/>
    <n v="0"/>
    <n v="0"/>
    <n v="0"/>
    <n v="0"/>
    <n v="0"/>
    <n v="0"/>
    <n v="0"/>
    <n v="0"/>
    <n v="0"/>
    <n v="1"/>
    <n v="79668"/>
    <n v="65184.357600000003"/>
    <n v="1"/>
    <n v="55917"/>
    <n v="45751.289400000001"/>
    <n v="0"/>
    <n v="0"/>
    <n v="0"/>
    <n v="1"/>
    <n v="98000"/>
    <n v="80183.600000000006"/>
    <n v="1"/>
    <n v="39640"/>
    <n v="32433.448"/>
    <n v="0"/>
    <n v="0"/>
    <n v="0"/>
    <n v="3"/>
    <n v="54121"/>
    <n v="132845.40660000002"/>
    <n v="4"/>
    <n v="58231"/>
    <n v="190578.41680000001"/>
    <n v="0"/>
    <n v="0"/>
    <n v="0"/>
    <n v="3"/>
    <n v="33333"/>
    <n v="81819.181800000006"/>
    <n v="0"/>
    <n v="0"/>
    <n v="0"/>
    <m/>
    <m/>
    <n v="0"/>
  </r>
  <r>
    <x v="6"/>
    <s v="McNeese State University"/>
    <n v="159717"/>
    <x v="3"/>
    <n v="63"/>
    <n v="77994"/>
    <n v="4913622"/>
    <n v="64"/>
    <n v="81114"/>
    <n v="5191296"/>
    <n v="56"/>
    <n v="62366"/>
    <n v="3492496"/>
    <n v="49"/>
    <n v="65542"/>
    <n v="3211558"/>
    <n v="135"/>
    <n v="53531"/>
    <n v="7226685"/>
    <n v="143"/>
    <n v="55584"/>
    <n v="7948512"/>
    <n v="56"/>
    <n v="40607"/>
    <n v="2273992"/>
    <n v="61"/>
    <n v="42138"/>
    <n v="2570418"/>
    <n v="0"/>
    <n v="0"/>
    <n v="0"/>
    <n v="0"/>
    <n v="0"/>
    <n v="0"/>
    <n v="0"/>
    <n v="0"/>
    <n v="0"/>
    <n v="0"/>
    <n v="0"/>
    <n v="0"/>
    <n v="0"/>
    <n v="0"/>
    <n v="0"/>
    <n v="0"/>
    <n v="0"/>
    <n v="0"/>
    <n v="0"/>
    <n v="0"/>
    <n v="0"/>
    <n v="0"/>
    <n v="0"/>
    <n v="0"/>
    <n v="5"/>
    <n v="56793"/>
    <n v="232340.163"/>
    <n v="5"/>
    <n v="59557"/>
    <n v="243647.68700000001"/>
    <n v="0"/>
    <n v="0"/>
    <n v="0"/>
    <n v="0"/>
    <n v="0"/>
    <n v="0"/>
    <n v="0"/>
    <n v="0"/>
    <n v="0"/>
    <n v="0"/>
    <n v="0"/>
    <n v="0"/>
    <n v="0"/>
    <n v="0"/>
    <n v="0"/>
    <n v="0"/>
    <n v="0"/>
    <n v="0"/>
  </r>
  <r>
    <x v="6"/>
    <s v="Nicholls State University "/>
    <n v="159966"/>
    <x v="3"/>
    <n v="39"/>
    <n v="74879"/>
    <n v="2920281"/>
    <n v="35"/>
    <n v="73016"/>
    <n v="2555560"/>
    <n v="60"/>
    <n v="59604"/>
    <n v="3576240"/>
    <n v="57"/>
    <n v="58128"/>
    <n v="3313296"/>
    <n v="95"/>
    <n v="50345"/>
    <n v="4782775"/>
    <n v="93"/>
    <n v="51339"/>
    <n v="4774527"/>
    <n v="74"/>
    <n v="38498"/>
    <n v="2848852"/>
    <n v="79"/>
    <n v="38188"/>
    <n v="3016852"/>
    <n v="4"/>
    <n v="29323.25"/>
    <n v="117293"/>
    <n v="3"/>
    <n v="25671"/>
    <n v="77013"/>
    <m/>
    <m/>
    <n v="0"/>
    <m/>
    <m/>
    <n v="0"/>
    <n v="2"/>
    <n v="77596"/>
    <n v="126978.0944"/>
    <n v="7"/>
    <n v="90291"/>
    <n v="517132.67340000003"/>
    <n v="2"/>
    <n v="66259"/>
    <n v="108426.2276"/>
    <n v="7"/>
    <n v="66840"/>
    <n v="382819.41600000003"/>
    <n v="11"/>
    <n v="50989"/>
    <n v="458911.19780000002"/>
    <n v="12"/>
    <n v="53696"/>
    <n v="527208.8064"/>
    <n v="1"/>
    <n v="38179"/>
    <n v="31238.057800000002"/>
    <n v="3"/>
    <n v="55585"/>
    <n v="136438.94100000002"/>
    <n v="0"/>
    <n v="0"/>
    <n v="0"/>
    <n v="1"/>
    <n v="30943"/>
    <n v="25317.562600000001"/>
    <n v="0"/>
    <n v="0"/>
    <n v="0"/>
    <m/>
    <m/>
    <n v="0"/>
  </r>
  <r>
    <x v="6"/>
    <s v="Northwestern State University"/>
    <n v="160038"/>
    <x v="3"/>
    <n v="43"/>
    <n v="75709"/>
    <n v="3255487"/>
    <n v="47"/>
    <n v="76012"/>
    <n v="3572564"/>
    <n v="63"/>
    <n v="62080"/>
    <n v="3911040"/>
    <n v="60"/>
    <n v="62937"/>
    <n v="3776220"/>
    <n v="121"/>
    <n v="48913"/>
    <n v="5918473"/>
    <n v="135"/>
    <n v="50006"/>
    <n v="6750810"/>
    <n v="56"/>
    <n v="39760"/>
    <n v="2226560"/>
    <n v="59"/>
    <n v="39772"/>
    <n v="2346548"/>
    <n v="0"/>
    <m/>
    <n v="0"/>
    <n v="0"/>
    <m/>
    <n v="0"/>
    <n v="0"/>
    <n v="0"/>
    <n v="0"/>
    <n v="0"/>
    <n v="0"/>
    <n v="0"/>
    <n v="6"/>
    <n v="92499"/>
    <n v="454096.09080000001"/>
    <n v="8"/>
    <n v="95499"/>
    <n v="625098.25439999998"/>
    <n v="16"/>
    <n v="83853"/>
    <n v="1097736.3936000001"/>
    <n v="16"/>
    <n v="82322"/>
    <n v="1077693.7664000001"/>
    <n v="12"/>
    <n v="64917"/>
    <n v="637381.07280000008"/>
    <n v="12"/>
    <n v="67201"/>
    <n v="659806.29840000009"/>
    <n v="4"/>
    <n v="57041"/>
    <n v="186683.78480000002"/>
    <n v="4"/>
    <n v="58291"/>
    <n v="190774.78480000002"/>
    <n v="0"/>
    <n v="0"/>
    <n v="0"/>
    <n v="0"/>
    <n v="0"/>
    <n v="0"/>
    <n v="0"/>
    <n v="0"/>
    <n v="0"/>
    <n v="0"/>
    <n v="0"/>
    <n v="0"/>
  </r>
  <r>
    <x v="6"/>
    <s v="Southern University at New Orleans"/>
    <n v="160630"/>
    <x v="4"/>
    <n v="12"/>
    <n v="59010"/>
    <n v="708120"/>
    <n v="12"/>
    <n v="67394"/>
    <n v="808728"/>
    <n v="23"/>
    <n v="55436"/>
    <n v="1275028"/>
    <n v="24"/>
    <n v="55734"/>
    <n v="1337616"/>
    <n v="40"/>
    <n v="43603"/>
    <n v="1744120"/>
    <n v="49"/>
    <n v="46902"/>
    <n v="2298198"/>
    <n v="1"/>
    <n v="18000"/>
    <n v="18000"/>
    <n v="3"/>
    <n v="36740"/>
    <n v="110220"/>
    <n v="0"/>
    <n v="0"/>
    <n v="0"/>
    <n v="0"/>
    <n v="0"/>
    <n v="0"/>
    <n v="0"/>
    <n v="0"/>
    <n v="0"/>
    <n v="0"/>
    <n v="0"/>
    <n v="0"/>
    <n v="2"/>
    <n v="37939"/>
    <n v="62083.3796"/>
    <n v="1"/>
    <n v="86882"/>
    <n v="71086.852400000003"/>
    <n v="5"/>
    <n v="49438"/>
    <n v="202250.85800000001"/>
    <n v="5"/>
    <n v="60760"/>
    <n v="248569.16"/>
    <n v="4"/>
    <n v="66338"/>
    <n v="217111.00640000001"/>
    <n v="4"/>
    <n v="58559"/>
    <n v="191651.8952"/>
    <n v="1"/>
    <n v="36500"/>
    <n v="29864.300000000003"/>
    <n v="1"/>
    <n v="36500"/>
    <n v="29864.300000000003"/>
    <n v="0"/>
    <n v="0"/>
    <n v="0"/>
    <n v="0"/>
    <n v="0"/>
    <n v="0"/>
    <n v="0"/>
    <n v="0"/>
    <n v="0"/>
    <n v="0"/>
    <n v="0"/>
    <n v="0"/>
  </r>
  <r>
    <x v="6"/>
    <s v="Louisiana State University at Alexandria"/>
    <n v="159382"/>
    <x v="11"/>
    <n v="17"/>
    <n v="63168"/>
    <n v="1073856"/>
    <n v="17"/>
    <n v="61123"/>
    <n v="1039091"/>
    <n v="17"/>
    <n v="49791"/>
    <n v="846447"/>
    <n v="20"/>
    <n v="48958"/>
    <n v="979160"/>
    <n v="40"/>
    <n v="44698"/>
    <n v="1787920"/>
    <n v="42"/>
    <n v="44826"/>
    <n v="1882692"/>
    <n v="17"/>
    <n v="37663"/>
    <n v="640271"/>
    <n v="17"/>
    <n v="35273"/>
    <n v="599641"/>
    <n v="0"/>
    <n v="0"/>
    <n v="0"/>
    <n v="0"/>
    <n v="0"/>
    <n v="0"/>
    <n v="0"/>
    <n v="0"/>
    <n v="0"/>
    <n v="0"/>
    <n v="0"/>
    <n v="0"/>
    <n v="6"/>
    <n v="80330"/>
    <n v="394356.03600000002"/>
    <n v="6"/>
    <n v="78198"/>
    <n v="383889.62160000001"/>
    <n v="2"/>
    <n v="66560"/>
    <n v="108918.784"/>
    <n v="5"/>
    <n v="68276"/>
    <n v="279317.11600000004"/>
    <n v="4"/>
    <n v="52157"/>
    <n v="170699.4296"/>
    <n v="4"/>
    <n v="44109"/>
    <n v="144359.93520000001"/>
    <n v="2"/>
    <n v="37321"/>
    <n v="61072.0844"/>
    <n v="0"/>
    <n v="0"/>
    <n v="0"/>
    <n v="5"/>
    <n v="50656"/>
    <n v="207233.696"/>
    <n v="0"/>
    <n v="0"/>
    <n v="0"/>
    <m/>
    <m/>
    <n v="0"/>
    <m/>
    <m/>
    <n v="0"/>
  </r>
  <r>
    <x v="6"/>
    <s v="Delgado Community College "/>
    <n v="158662"/>
    <x v="6"/>
    <n v="56"/>
    <n v="79990"/>
    <n v="4479440"/>
    <n v="72"/>
    <n v="81870"/>
    <n v="5894640"/>
    <n v="60"/>
    <n v="70316"/>
    <n v="4218960"/>
    <n v="51"/>
    <n v="75165"/>
    <n v="3833415"/>
    <n v="61"/>
    <n v="64045"/>
    <n v="3906745"/>
    <n v="80"/>
    <n v="63780"/>
    <n v="5102400"/>
    <n v="146"/>
    <n v="52300"/>
    <n v="7635800"/>
    <n v="134"/>
    <n v="55532"/>
    <n v="7441288"/>
    <n v="0"/>
    <n v="0"/>
    <n v="0"/>
    <n v="118"/>
    <n v="40168.889830508473"/>
    <n v="4739929"/>
    <m/>
    <m/>
    <n v="0"/>
    <m/>
    <m/>
    <n v="0"/>
    <n v="7"/>
    <n v="90198"/>
    <n v="516600.02520000003"/>
    <n v="5"/>
    <n v="98214"/>
    <n v="401793.47400000005"/>
    <n v="1"/>
    <n v="100540"/>
    <n v="82261.828000000009"/>
    <n v="2"/>
    <n v="94138"/>
    <n v="154047.42320000002"/>
    <n v="3"/>
    <n v="79371"/>
    <n v="194824.05660000001"/>
    <n v="5"/>
    <n v="76158"/>
    <n v="311562.37800000003"/>
    <n v="7"/>
    <n v="57176"/>
    <n v="327469.8224"/>
    <n v="5"/>
    <n v="55668"/>
    <n v="227737.788"/>
    <n v="4"/>
    <n v="39691"/>
    <n v="129900.70480000001"/>
    <n v="4"/>
    <n v="42273"/>
    <n v="138351.07440000001"/>
    <m/>
    <m/>
    <n v="0"/>
    <m/>
    <m/>
    <n v="0"/>
  </r>
  <r>
    <x v="6"/>
    <s v="Baton Rouge Community College"/>
    <n v="437103"/>
    <x v="7"/>
    <n v="0"/>
    <n v="0"/>
    <n v="0"/>
    <n v="4"/>
    <n v="53385"/>
    <n v="213540"/>
    <n v="0"/>
    <n v="0"/>
    <n v="0"/>
    <n v="45"/>
    <n v="47450"/>
    <n v="2135250"/>
    <n v="38"/>
    <n v="49376"/>
    <n v="1876288"/>
    <n v="32"/>
    <n v="47614"/>
    <n v="1523648"/>
    <n v="62"/>
    <n v="41940"/>
    <n v="2600280"/>
    <n v="49"/>
    <n v="39549"/>
    <n v="1937901"/>
    <n v="0"/>
    <n v="0"/>
    <n v="0"/>
    <n v="0"/>
    <m/>
    <n v="0"/>
    <n v="0"/>
    <n v="0"/>
    <n v="0"/>
    <n v="0"/>
    <n v="0"/>
    <n v="0"/>
    <n v="0"/>
    <n v="0"/>
    <n v="0"/>
    <n v="0"/>
    <n v="0"/>
    <n v="0"/>
    <n v="0"/>
    <n v="0"/>
    <n v="0"/>
    <n v="0"/>
    <n v="0"/>
    <n v="0"/>
    <n v="0"/>
    <n v="0"/>
    <n v="0"/>
    <n v="0"/>
    <n v="0"/>
    <n v="0"/>
    <n v="0"/>
    <n v="0"/>
    <n v="0"/>
    <n v="0"/>
    <n v="0"/>
    <n v="0"/>
    <n v="0"/>
    <n v="0"/>
    <n v="0"/>
    <n v="0"/>
    <n v="0"/>
    <n v="0"/>
    <n v="0"/>
    <n v="0"/>
    <n v="0"/>
    <n v="0"/>
    <n v="0"/>
    <n v="0"/>
  </r>
  <r>
    <x v="6"/>
    <s v="Bossier Parish Community College"/>
    <n v="158431"/>
    <x v="7"/>
    <n v="5"/>
    <n v="52592"/>
    <n v="262960"/>
    <n v="9"/>
    <n v="53532"/>
    <n v="481788"/>
    <n v="32"/>
    <n v="49550"/>
    <n v="1585600"/>
    <n v="30"/>
    <n v="51847"/>
    <n v="1555410"/>
    <n v="24"/>
    <n v="45583"/>
    <n v="1093992"/>
    <n v="24"/>
    <n v="44485"/>
    <n v="1067640"/>
    <n v="49"/>
    <n v="37117"/>
    <n v="1818733"/>
    <n v="52"/>
    <n v="36677"/>
    <n v="1907204"/>
    <n v="0"/>
    <n v="0"/>
    <n v="0"/>
    <n v="0"/>
    <n v="0"/>
    <n v="0"/>
    <n v="0"/>
    <n v="0"/>
    <n v="0"/>
    <n v="0"/>
    <n v="0"/>
    <n v="0"/>
    <n v="0"/>
    <n v="0"/>
    <n v="0"/>
    <n v="0"/>
    <n v="0"/>
    <n v="0"/>
    <n v="0"/>
    <n v="0"/>
    <n v="0"/>
    <n v="0"/>
    <n v="0"/>
    <n v="0"/>
    <n v="0"/>
    <n v="0"/>
    <n v="0"/>
    <n v="0"/>
    <n v="0"/>
    <n v="0"/>
    <n v="0"/>
    <n v="0"/>
    <n v="0"/>
    <n v="0"/>
    <n v="0"/>
    <n v="0"/>
    <n v="0"/>
    <n v="0"/>
    <n v="0"/>
    <n v="0"/>
    <n v="0"/>
    <n v="0"/>
    <n v="0"/>
    <n v="0"/>
    <n v="0"/>
    <n v="0"/>
    <n v="0"/>
    <n v="0"/>
  </r>
  <r>
    <x v="6"/>
    <s v="Louisiana State University at Eunice"/>
    <n v="159407"/>
    <x v="7"/>
    <n v="15"/>
    <n v="58526"/>
    <n v="877890"/>
    <n v="16"/>
    <n v="59576"/>
    <n v="953216"/>
    <n v="9"/>
    <n v="48695"/>
    <n v="438255"/>
    <n v="8"/>
    <n v="52367"/>
    <n v="418936"/>
    <n v="16"/>
    <n v="41564"/>
    <n v="665024"/>
    <n v="16"/>
    <n v="43251"/>
    <n v="692016"/>
    <n v="20"/>
    <n v="37405"/>
    <n v="748100"/>
    <n v="22"/>
    <n v="39298"/>
    <n v="864556"/>
    <n v="0"/>
    <n v="0"/>
    <n v="0"/>
    <n v="0"/>
    <n v="0"/>
    <n v="0"/>
    <n v="0"/>
    <n v="0"/>
    <n v="0"/>
    <n v="0"/>
    <n v="0"/>
    <n v="0"/>
    <n v="2"/>
    <n v="75644"/>
    <n v="123783.8416"/>
    <n v="1"/>
    <n v="78847"/>
    <n v="64512.615400000002"/>
    <n v="3"/>
    <n v="71031"/>
    <n v="174352.69260000001"/>
    <n v="4"/>
    <n v="71955"/>
    <n v="235494.32400000002"/>
    <n v="0"/>
    <n v="0"/>
    <n v="0"/>
    <n v="1"/>
    <n v="54000"/>
    <n v="44182.8"/>
    <n v="2"/>
    <n v="46911"/>
    <n v="76765.160400000008"/>
    <n v="2"/>
    <n v="48300"/>
    <n v="79038.12000000001"/>
    <n v="0"/>
    <n v="0"/>
    <n v="0"/>
    <n v="0"/>
    <n v="0"/>
    <n v="0"/>
    <n v="0"/>
    <n v="0"/>
    <n v="0"/>
    <n v="0"/>
    <n v="0"/>
    <n v="0"/>
  </r>
  <r>
    <x v="6"/>
    <s v="Louisiana Delta Community College"/>
    <n v="440624"/>
    <x v="8"/>
    <n v="0"/>
    <n v="0"/>
    <n v="0"/>
    <n v="1"/>
    <n v="40000"/>
    <n v="40000"/>
    <n v="3"/>
    <n v="44211"/>
    <n v="132633"/>
    <n v="7"/>
    <n v="45314"/>
    <n v="317198"/>
    <n v="9"/>
    <n v="39744"/>
    <n v="357696"/>
    <n v="11"/>
    <n v="44913"/>
    <n v="494043"/>
    <n v="16"/>
    <n v="34929"/>
    <n v="558864"/>
    <n v="15"/>
    <n v="34717"/>
    <n v="520755"/>
    <n v="0"/>
    <n v="0"/>
    <n v="0"/>
    <n v="0"/>
    <n v="0"/>
    <n v="0"/>
    <n v="0"/>
    <n v="0"/>
    <n v="0"/>
    <n v="0"/>
    <n v="0"/>
    <n v="0"/>
    <n v="0"/>
    <n v="0"/>
    <n v="0"/>
    <n v="0"/>
    <n v="0"/>
    <n v="0"/>
    <n v="0"/>
    <n v="0"/>
    <n v="0"/>
    <n v="0"/>
    <n v="0"/>
    <n v="0"/>
    <n v="0"/>
    <n v="0"/>
    <n v="0"/>
    <n v="0"/>
    <n v="0"/>
    <n v="0"/>
    <n v="2"/>
    <n v="48500"/>
    <n v="79365.400000000009"/>
    <n v="2"/>
    <n v="50400"/>
    <n v="82474.559999999998"/>
    <n v="0"/>
    <n v="0"/>
    <n v="0"/>
    <n v="0"/>
    <n v="0"/>
    <n v="0"/>
    <n v="0"/>
    <n v="0"/>
    <n v="0"/>
    <n v="0"/>
    <n v="0"/>
    <n v="0"/>
  </r>
  <r>
    <x v="6"/>
    <s v="Nunez Community College"/>
    <n v="158884"/>
    <x v="8"/>
    <n v="0"/>
    <n v="0"/>
    <n v="0"/>
    <n v="0"/>
    <n v="0"/>
    <n v="0"/>
    <n v="6"/>
    <n v="51629"/>
    <n v="309774"/>
    <n v="6"/>
    <n v="55083"/>
    <n v="330498"/>
    <n v="7"/>
    <n v="45063"/>
    <n v="315441"/>
    <n v="7"/>
    <n v="48687"/>
    <n v="340809"/>
    <n v="22"/>
    <n v="41129"/>
    <n v="904838"/>
    <n v="24"/>
    <n v="44022"/>
    <n v="1056528"/>
    <n v="0"/>
    <n v="0"/>
    <n v="0"/>
    <n v="0"/>
    <n v="0"/>
    <n v="0"/>
    <n v="0"/>
    <n v="0"/>
    <n v="0"/>
    <n v="0"/>
    <n v="0"/>
    <n v="0"/>
    <n v="0"/>
    <n v="0"/>
    <n v="0"/>
    <n v="0"/>
    <n v="0"/>
    <n v="0"/>
    <n v="0"/>
    <n v="0"/>
    <n v="0"/>
    <n v="0"/>
    <n v="0"/>
    <n v="0"/>
    <n v="1"/>
    <n v="54035"/>
    <n v="44211.437000000005"/>
    <n v="1"/>
    <n v="56035"/>
    <n v="45847.837"/>
    <n v="2"/>
    <n v="58000"/>
    <n v="94911.200000000012"/>
    <n v="1"/>
    <n v="65000"/>
    <n v="53183"/>
    <n v="0"/>
    <n v="0"/>
    <n v="0"/>
    <n v="0"/>
    <n v="0"/>
    <n v="0"/>
    <n v="0"/>
    <n v="0"/>
    <n v="0"/>
    <n v="0"/>
    <n v="0"/>
    <n v="0"/>
  </r>
  <r>
    <x v="6"/>
    <s v="River Parishes Community College"/>
    <n v="436304"/>
    <x v="8"/>
    <n v="0"/>
    <n v="0"/>
    <n v="0"/>
    <n v="0"/>
    <n v="0"/>
    <n v="0"/>
    <n v="0"/>
    <n v="0"/>
    <n v="0"/>
    <n v="2"/>
    <n v="52024"/>
    <n v="104048"/>
    <n v="8"/>
    <n v="46072"/>
    <n v="368576"/>
    <n v="8"/>
    <n v="42593"/>
    <n v="340744"/>
    <n v="11"/>
    <n v="36351"/>
    <n v="399861"/>
    <n v="8"/>
    <n v="35510"/>
    <n v="284080"/>
    <n v="0"/>
    <n v="0"/>
    <n v="0"/>
    <n v="0"/>
    <n v="0"/>
    <n v="0"/>
    <n v="0"/>
    <n v="0"/>
    <n v="0"/>
    <n v="0"/>
    <n v="0"/>
    <n v="0"/>
    <n v="0"/>
    <n v="0"/>
    <n v="0"/>
    <n v="0"/>
    <n v="0"/>
    <n v="0"/>
    <n v="0"/>
    <n v="0"/>
    <n v="0"/>
    <n v="0"/>
    <n v="0"/>
    <n v="0"/>
    <n v="0"/>
    <n v="0"/>
    <n v="0"/>
    <n v="0"/>
    <n v="0"/>
    <n v="0"/>
    <n v="0"/>
    <n v="0"/>
    <n v="0"/>
    <n v="1"/>
    <n v="55000"/>
    <n v="45001"/>
    <n v="0"/>
    <n v="0"/>
    <n v="0"/>
    <n v="3"/>
    <n v="46307"/>
    <n v="113665.16220000001"/>
    <n v="0"/>
    <n v="0"/>
    <n v="0"/>
    <m/>
    <m/>
    <n v="0"/>
  </r>
  <r>
    <x v="6"/>
    <s v="South Louisiana Community College"/>
    <n v="434061"/>
    <x v="8"/>
    <n v="0"/>
    <n v="0"/>
    <n v="0"/>
    <n v="0"/>
    <n v="0"/>
    <n v="0"/>
    <n v="0"/>
    <n v="0"/>
    <n v="0"/>
    <n v="0"/>
    <n v="0"/>
    <n v="0"/>
    <n v="0"/>
    <n v="0"/>
    <n v="0"/>
    <n v="5"/>
    <n v="47821"/>
    <n v="239105"/>
    <n v="27"/>
    <n v="38496"/>
    <n v="1039392"/>
    <n v="31"/>
    <n v="36740"/>
    <n v="1138940"/>
    <n v="0"/>
    <n v="0"/>
    <n v="0"/>
    <n v="0"/>
    <n v="0"/>
    <n v="0"/>
    <n v="0"/>
    <n v="0"/>
    <n v="0"/>
    <n v="0"/>
    <n v="0"/>
    <n v="0"/>
    <n v="0"/>
    <n v="0"/>
    <n v="0"/>
    <n v="0"/>
    <n v="0"/>
    <n v="0"/>
    <n v="0"/>
    <n v="0"/>
    <n v="0"/>
    <n v="0"/>
    <n v="0"/>
    <n v="0"/>
    <n v="0"/>
    <n v="0"/>
    <n v="0"/>
    <n v="0"/>
    <n v="0"/>
    <n v="0"/>
    <n v="0"/>
    <n v="0"/>
    <n v="0"/>
    <n v="0"/>
    <n v="0"/>
    <n v="0"/>
    <n v="0"/>
    <n v="0"/>
    <n v="0"/>
    <n v="0"/>
    <n v="0"/>
    <n v="0"/>
    <n v="0"/>
    <n v="0"/>
    <n v="0"/>
    <n v="0"/>
    <n v="0"/>
    <n v="0"/>
  </r>
  <r>
    <x v="6"/>
    <s v="Southern University in Shreveport"/>
    <n v="160649"/>
    <x v="8"/>
    <n v="2"/>
    <n v="68127"/>
    <n v="136254"/>
    <n v="2"/>
    <n v="68127"/>
    <n v="136254"/>
    <n v="14"/>
    <n v="48148"/>
    <n v="674072"/>
    <n v="14"/>
    <n v="48148"/>
    <n v="674072"/>
    <n v="21"/>
    <n v="43381"/>
    <n v="911001"/>
    <n v="19"/>
    <n v="45653"/>
    <n v="867407"/>
    <n v="7"/>
    <n v="47131"/>
    <n v="329917"/>
    <n v="6"/>
    <n v="46652"/>
    <n v="279912"/>
    <n v="0"/>
    <n v="0"/>
    <n v="0"/>
    <n v="0"/>
    <n v="0"/>
    <n v="0"/>
    <n v="0"/>
    <n v="0"/>
    <n v="0"/>
    <n v="0"/>
    <n v="0"/>
    <n v="0"/>
    <n v="0"/>
    <n v="0"/>
    <n v="0"/>
    <n v="0"/>
    <n v="0"/>
    <n v="0"/>
    <n v="1"/>
    <n v="52300"/>
    <n v="42791.86"/>
    <n v="1"/>
    <n v="52300"/>
    <n v="42791.86"/>
    <n v="3"/>
    <n v="61809"/>
    <n v="151716.3714"/>
    <n v="3"/>
    <n v="61809"/>
    <n v="151716.3714"/>
    <n v="20"/>
    <n v="46769"/>
    <n v="765327.91600000008"/>
    <n v="20"/>
    <n v="46769"/>
    <n v="765327.91600000008"/>
    <n v="0"/>
    <n v="0"/>
    <n v="0"/>
    <n v="0"/>
    <n v="0"/>
    <n v="0"/>
    <n v="0"/>
    <n v="0"/>
    <n v="0"/>
    <n v="0"/>
    <n v="0"/>
    <n v="0"/>
  </r>
  <r>
    <x v="6"/>
    <s v="Sowela Technical Community College"/>
    <n v="160579"/>
    <x v="9"/>
    <n v="0"/>
    <n v="0"/>
    <n v="0"/>
    <n v="0"/>
    <n v="0"/>
    <n v="0"/>
    <n v="0"/>
    <n v="0"/>
    <n v="0"/>
    <n v="0"/>
    <n v="0"/>
    <n v="0"/>
    <n v="0"/>
    <n v="0"/>
    <n v="0"/>
    <n v="0"/>
    <n v="0"/>
    <n v="0"/>
    <n v="12"/>
    <n v="35041"/>
    <n v="420492"/>
    <n v="24"/>
    <n v="35636"/>
    <n v="855264"/>
    <n v="0"/>
    <n v="0"/>
    <n v="0"/>
    <n v="0"/>
    <n v="0"/>
    <n v="0"/>
    <n v="0"/>
    <n v="0"/>
    <n v="0"/>
    <n v="0"/>
    <n v="0"/>
    <n v="0"/>
    <n v="0"/>
    <n v="0"/>
    <n v="0"/>
    <n v="0"/>
    <n v="0"/>
    <n v="0"/>
    <n v="0"/>
    <n v="0"/>
    <n v="0"/>
    <n v="0"/>
    <n v="0"/>
    <n v="0"/>
    <n v="0"/>
    <n v="0"/>
    <n v="0"/>
    <n v="0"/>
    <n v="0"/>
    <n v="0"/>
    <n v="50"/>
    <n v="54178"/>
    <n v="2216421.98"/>
    <n v="47"/>
    <n v="56009"/>
    <n v="2153848.4986"/>
    <n v="0"/>
    <n v="0"/>
    <n v="0"/>
    <n v="0"/>
    <n v="0"/>
    <n v="0"/>
    <n v="0"/>
    <n v="0"/>
    <n v="0"/>
    <n v="0"/>
    <n v="0"/>
    <n v="0"/>
  </r>
  <r>
    <x v="6"/>
    <s v="L.E. Fletcher Technical Community College"/>
    <n v="160481"/>
    <x v="10"/>
    <n v="0"/>
    <n v="0"/>
    <n v="0"/>
    <n v="0"/>
    <n v="0"/>
    <n v="0"/>
    <n v="0"/>
    <n v="0"/>
    <n v="0"/>
    <n v="0"/>
    <n v="0"/>
    <n v="0"/>
    <n v="0"/>
    <n v="0"/>
    <n v="0"/>
    <n v="0"/>
    <n v="0"/>
    <n v="0"/>
    <n v="20"/>
    <n v="34125"/>
    <n v="682500"/>
    <n v="25"/>
    <n v="34419"/>
    <n v="860475"/>
    <n v="1"/>
    <n v="24947"/>
    <n v="24947"/>
    <n v="1"/>
    <n v="25000"/>
    <n v="25000"/>
    <n v="0"/>
    <n v="0"/>
    <n v="0"/>
    <n v="0"/>
    <n v="0"/>
    <n v="0"/>
    <n v="0"/>
    <n v="0"/>
    <n v="0"/>
    <n v="0"/>
    <n v="0"/>
    <n v="0"/>
    <n v="0"/>
    <n v="0"/>
    <n v="0"/>
    <n v="0"/>
    <n v="0"/>
    <n v="0"/>
    <n v="0"/>
    <n v="0"/>
    <n v="0"/>
    <n v="0"/>
    <n v="0"/>
    <n v="0"/>
    <n v="25"/>
    <n v="51493"/>
    <n v="1053289.3149999999"/>
    <n v="19"/>
    <n v="51899"/>
    <n v="806811.47420000006"/>
    <n v="0"/>
    <n v="0"/>
    <n v="0"/>
    <n v="0"/>
    <n v="0"/>
    <n v="0"/>
    <n v="0"/>
    <n v="0"/>
    <n v="0"/>
    <n v="0"/>
    <n v="0"/>
    <n v="0"/>
  </r>
  <r>
    <x v="6"/>
    <s v="Louisiana Technical College-Acadian Campus"/>
    <n v="160560"/>
    <x v="12"/>
    <m/>
    <m/>
    <n v="0"/>
    <n v="0"/>
    <n v="0"/>
    <n v="0"/>
    <m/>
    <m/>
    <n v="0"/>
    <n v="0"/>
    <n v="0"/>
    <n v="0"/>
    <m/>
    <m/>
    <n v="0"/>
    <n v="0"/>
    <n v="0"/>
    <n v="0"/>
    <m/>
    <m/>
    <n v="0"/>
    <m/>
    <m/>
    <n v="0"/>
    <m/>
    <m/>
    <n v="0"/>
    <n v="0"/>
    <n v="0"/>
    <n v="0"/>
    <m/>
    <m/>
    <n v="0"/>
    <m/>
    <m/>
    <n v="0"/>
    <m/>
    <m/>
    <n v="0"/>
    <n v="0"/>
    <n v="0"/>
    <n v="0"/>
    <m/>
    <m/>
    <n v="0"/>
    <n v="0"/>
    <n v="0"/>
    <n v="0"/>
    <m/>
    <m/>
    <n v="0"/>
    <n v="0"/>
    <n v="0"/>
    <n v="0"/>
    <m/>
    <m/>
    <n v="0"/>
    <m/>
    <m/>
    <n v="0"/>
    <m/>
    <m/>
    <n v="0"/>
    <n v="0"/>
    <n v="0"/>
    <n v="0"/>
    <m/>
    <m/>
    <n v="0"/>
    <m/>
    <m/>
    <n v="0"/>
  </r>
  <r>
    <x v="6"/>
    <s v="Louisiana Technical College-Alexandria Campus"/>
    <n v="158088"/>
    <x v="12"/>
    <m/>
    <m/>
    <n v="0"/>
    <m/>
    <m/>
    <n v="0"/>
    <m/>
    <m/>
    <n v="0"/>
    <m/>
    <m/>
    <n v="0"/>
    <m/>
    <m/>
    <n v="0"/>
    <m/>
    <m/>
    <n v="0"/>
    <m/>
    <m/>
    <n v="0"/>
    <m/>
    <m/>
    <n v="0"/>
    <m/>
    <m/>
    <n v="0"/>
    <m/>
    <m/>
    <n v="0"/>
    <m/>
    <m/>
    <n v="0"/>
    <m/>
    <m/>
    <n v="0"/>
    <m/>
    <m/>
    <n v="0"/>
    <m/>
    <m/>
    <n v="0"/>
    <m/>
    <m/>
    <n v="0"/>
    <m/>
    <m/>
    <n v="0"/>
    <m/>
    <m/>
    <n v="0"/>
    <m/>
    <m/>
    <n v="0"/>
    <m/>
    <m/>
    <n v="0"/>
    <m/>
    <m/>
    <n v="0"/>
    <m/>
    <m/>
    <n v="0"/>
    <m/>
    <m/>
    <n v="0"/>
    <m/>
    <m/>
    <n v="0"/>
    <m/>
    <m/>
    <n v="0"/>
  </r>
  <r>
    <x v="6"/>
    <s v="Louisiana Technical College-All Campuses"/>
    <m/>
    <x v="12"/>
    <n v="0"/>
    <n v="0"/>
    <n v="0"/>
    <m/>
    <m/>
    <n v="0"/>
    <n v="0"/>
    <n v="0"/>
    <n v="0"/>
    <m/>
    <m/>
    <n v="0"/>
    <n v="0"/>
    <n v="0"/>
    <n v="0"/>
    <m/>
    <m/>
    <n v="0"/>
    <m/>
    <m/>
    <m/>
    <m/>
    <m/>
    <m/>
    <n v="0"/>
    <n v="0"/>
    <n v="0"/>
    <m/>
    <m/>
    <n v="0"/>
    <n v="90"/>
    <n v="37235.488888888889"/>
    <n v="3351194"/>
    <n v="77"/>
    <n v="39488.558441558438"/>
    <n v="3040618.9999999995"/>
    <n v="0"/>
    <n v="0"/>
    <n v="0"/>
    <m/>
    <m/>
    <n v="0"/>
    <n v="0"/>
    <n v="0"/>
    <n v="0"/>
    <m/>
    <m/>
    <n v="0"/>
    <n v="0"/>
    <n v="0"/>
    <n v="0"/>
    <m/>
    <m/>
    <n v="0"/>
    <m/>
    <m/>
    <m/>
    <m/>
    <m/>
    <m/>
    <n v="0"/>
    <n v="0"/>
    <n v="0"/>
    <m/>
    <m/>
    <n v="0"/>
    <n v="406"/>
    <n v="39817.072220197042"/>
    <n v="13226801.367169481"/>
    <n v="441"/>
    <n v="41075.443379591838"/>
    <n v="14821096.14797328"/>
  </r>
  <r>
    <x v="6"/>
    <s v="Louisiana Technical College-Ascension Campus"/>
    <n v="158219"/>
    <x v="12"/>
    <m/>
    <m/>
    <n v="0"/>
    <m/>
    <m/>
    <n v="0"/>
    <m/>
    <m/>
    <n v="0"/>
    <m/>
    <m/>
    <n v="0"/>
    <m/>
    <m/>
    <n v="0"/>
    <m/>
    <m/>
    <n v="0"/>
    <m/>
    <m/>
    <n v="0"/>
    <m/>
    <m/>
    <n v="0"/>
    <m/>
    <m/>
    <n v="0"/>
    <m/>
    <m/>
    <n v="0"/>
    <m/>
    <m/>
    <m/>
    <m/>
    <m/>
    <m/>
    <m/>
    <m/>
    <n v="0"/>
    <m/>
    <m/>
    <n v="0"/>
    <m/>
    <m/>
    <n v="0"/>
    <m/>
    <m/>
    <n v="0"/>
    <m/>
    <m/>
    <n v="0"/>
    <m/>
    <m/>
    <n v="0"/>
    <m/>
    <m/>
    <n v="0"/>
    <m/>
    <m/>
    <n v="0"/>
    <m/>
    <m/>
    <n v="0"/>
    <m/>
    <m/>
    <n v="0"/>
    <m/>
    <m/>
    <m/>
    <m/>
    <m/>
    <m/>
  </r>
  <r>
    <x v="6"/>
    <s v="Louisiana Technical College-Avoyelles Campus"/>
    <n v="158237"/>
    <x v="12"/>
    <m/>
    <m/>
    <n v="0"/>
    <m/>
    <m/>
    <n v="0"/>
    <m/>
    <m/>
    <n v="0"/>
    <m/>
    <m/>
    <n v="0"/>
    <m/>
    <m/>
    <n v="0"/>
    <m/>
    <m/>
    <n v="0"/>
    <m/>
    <m/>
    <n v="0"/>
    <m/>
    <m/>
    <n v="0"/>
    <m/>
    <m/>
    <n v="0"/>
    <m/>
    <m/>
    <n v="0"/>
    <m/>
    <m/>
    <m/>
    <m/>
    <m/>
    <m/>
    <m/>
    <m/>
    <n v="0"/>
    <m/>
    <m/>
    <n v="0"/>
    <m/>
    <m/>
    <n v="0"/>
    <m/>
    <m/>
    <n v="0"/>
    <m/>
    <m/>
    <n v="0"/>
    <m/>
    <m/>
    <n v="0"/>
    <m/>
    <m/>
    <n v="0"/>
    <m/>
    <m/>
    <n v="0"/>
    <m/>
    <m/>
    <n v="0"/>
    <m/>
    <m/>
    <n v="0"/>
    <m/>
    <m/>
    <m/>
    <m/>
    <m/>
    <m/>
  </r>
  <r>
    <x v="6"/>
    <s v="Louisiana Technical College-Bastrop Campus"/>
    <n v="158307"/>
    <x v="12"/>
    <m/>
    <m/>
    <n v="0"/>
    <m/>
    <m/>
    <n v="0"/>
    <m/>
    <m/>
    <n v="0"/>
    <m/>
    <m/>
    <n v="0"/>
    <m/>
    <m/>
    <n v="0"/>
    <m/>
    <m/>
    <n v="0"/>
    <m/>
    <m/>
    <n v="0"/>
    <m/>
    <m/>
    <n v="0"/>
    <m/>
    <m/>
    <n v="0"/>
    <m/>
    <m/>
    <n v="0"/>
    <m/>
    <m/>
    <n v="0"/>
    <m/>
    <m/>
    <n v="0"/>
    <m/>
    <m/>
    <n v="0"/>
    <m/>
    <m/>
    <n v="0"/>
    <m/>
    <m/>
    <n v="0"/>
    <m/>
    <m/>
    <n v="0"/>
    <m/>
    <m/>
    <n v="0"/>
    <m/>
    <m/>
    <n v="0"/>
    <m/>
    <m/>
    <n v="0"/>
    <m/>
    <m/>
    <n v="0"/>
    <m/>
    <m/>
    <n v="0"/>
    <m/>
    <m/>
    <n v="0"/>
    <m/>
    <m/>
    <n v="0"/>
    <m/>
    <m/>
    <n v="0"/>
  </r>
  <r>
    <x v="6"/>
    <s v="Louisiana Technical College-Baton Rouge Campus"/>
    <n v="158352"/>
    <x v="12"/>
    <m/>
    <m/>
    <n v="0"/>
    <m/>
    <m/>
    <n v="0"/>
    <m/>
    <m/>
    <n v="0"/>
    <m/>
    <m/>
    <n v="0"/>
    <m/>
    <m/>
    <n v="0"/>
    <m/>
    <m/>
    <n v="0"/>
    <m/>
    <m/>
    <n v="0"/>
    <m/>
    <m/>
    <n v="0"/>
    <m/>
    <m/>
    <n v="0"/>
    <m/>
    <m/>
    <n v="0"/>
    <m/>
    <m/>
    <n v="0"/>
    <m/>
    <m/>
    <n v="0"/>
    <m/>
    <m/>
    <n v="0"/>
    <m/>
    <m/>
    <n v="0"/>
    <m/>
    <m/>
    <n v="0"/>
    <m/>
    <m/>
    <n v="0"/>
    <m/>
    <m/>
    <n v="0"/>
    <m/>
    <m/>
    <n v="0"/>
    <m/>
    <m/>
    <n v="0"/>
    <m/>
    <m/>
    <n v="0"/>
    <m/>
    <m/>
    <n v="0"/>
    <m/>
    <m/>
    <n v="0"/>
    <m/>
    <m/>
    <n v="0"/>
    <m/>
    <m/>
    <n v="0"/>
  </r>
  <r>
    <x v="6"/>
    <s v="Louisiana Technical College-Charles B. Coreil Campus"/>
    <n v="160816"/>
    <x v="12"/>
    <m/>
    <m/>
    <n v="0"/>
    <m/>
    <m/>
    <n v="0"/>
    <m/>
    <m/>
    <n v="0"/>
    <m/>
    <m/>
    <n v="0"/>
    <m/>
    <m/>
    <n v="0"/>
    <m/>
    <m/>
    <n v="0"/>
    <m/>
    <m/>
    <n v="0"/>
    <m/>
    <m/>
    <n v="0"/>
    <m/>
    <m/>
    <n v="0"/>
    <m/>
    <m/>
    <n v="0"/>
    <m/>
    <m/>
    <n v="0"/>
    <m/>
    <m/>
    <n v="0"/>
    <m/>
    <m/>
    <n v="0"/>
    <m/>
    <m/>
    <n v="0"/>
    <m/>
    <m/>
    <n v="0"/>
    <m/>
    <m/>
    <n v="0"/>
    <m/>
    <m/>
    <n v="0"/>
    <m/>
    <m/>
    <n v="0"/>
    <m/>
    <m/>
    <n v="0"/>
    <m/>
    <m/>
    <n v="0"/>
    <m/>
    <m/>
    <n v="0"/>
    <m/>
    <m/>
    <n v="0"/>
    <m/>
    <m/>
    <n v="0"/>
    <m/>
    <m/>
    <n v="0"/>
  </r>
  <r>
    <x v="6"/>
    <s v="Louisiana Technical College-Delta/Ouachita Campus"/>
    <n v="158769"/>
    <x v="12"/>
    <m/>
    <m/>
    <n v="0"/>
    <m/>
    <m/>
    <n v="0"/>
    <m/>
    <m/>
    <n v="0"/>
    <m/>
    <m/>
    <n v="0"/>
    <m/>
    <m/>
    <n v="0"/>
    <m/>
    <m/>
    <n v="0"/>
    <m/>
    <m/>
    <n v="0"/>
    <m/>
    <m/>
    <n v="0"/>
    <m/>
    <m/>
    <n v="0"/>
    <m/>
    <m/>
    <n v="0"/>
    <m/>
    <m/>
    <n v="0"/>
    <m/>
    <m/>
    <n v="0"/>
    <m/>
    <m/>
    <n v="0"/>
    <m/>
    <m/>
    <n v="0"/>
    <m/>
    <m/>
    <n v="0"/>
    <m/>
    <m/>
    <n v="0"/>
    <m/>
    <m/>
    <n v="0"/>
    <m/>
    <m/>
    <n v="0"/>
    <m/>
    <m/>
    <n v="0"/>
    <m/>
    <m/>
    <n v="0"/>
    <m/>
    <m/>
    <n v="0"/>
    <m/>
    <m/>
    <n v="0"/>
    <m/>
    <m/>
    <n v="0"/>
    <m/>
    <m/>
    <n v="0"/>
  </r>
  <r>
    <x v="6"/>
    <s v="Louisiana Technical College-Evangeline Campus"/>
    <n v="158893"/>
    <x v="12"/>
    <m/>
    <m/>
    <n v="0"/>
    <m/>
    <m/>
    <n v="0"/>
    <m/>
    <m/>
    <n v="0"/>
    <m/>
    <m/>
    <n v="0"/>
    <m/>
    <m/>
    <n v="0"/>
    <m/>
    <m/>
    <n v="0"/>
    <m/>
    <m/>
    <n v="0"/>
    <m/>
    <m/>
    <n v="0"/>
    <m/>
    <m/>
    <n v="0"/>
    <m/>
    <m/>
    <n v="0"/>
    <m/>
    <m/>
    <n v="0"/>
    <m/>
    <m/>
    <n v="0"/>
    <m/>
    <m/>
    <n v="0"/>
    <m/>
    <m/>
    <n v="0"/>
    <m/>
    <m/>
    <n v="0"/>
    <m/>
    <m/>
    <n v="0"/>
    <m/>
    <m/>
    <n v="0"/>
    <m/>
    <m/>
    <n v="0"/>
    <m/>
    <m/>
    <n v="0"/>
    <m/>
    <m/>
    <n v="0"/>
    <m/>
    <m/>
    <n v="0"/>
    <m/>
    <m/>
    <n v="0"/>
    <m/>
    <m/>
    <n v="0"/>
    <m/>
    <m/>
    <n v="0"/>
  </r>
  <r>
    <x v="6"/>
    <s v="Louisiana Technical College-Florida Parishes Campus"/>
    <n v="158936"/>
    <x v="12"/>
    <m/>
    <m/>
    <n v="0"/>
    <m/>
    <m/>
    <n v="0"/>
    <m/>
    <m/>
    <n v="0"/>
    <m/>
    <m/>
    <n v="0"/>
    <m/>
    <m/>
    <n v="0"/>
    <m/>
    <m/>
    <n v="0"/>
    <m/>
    <m/>
    <n v="0"/>
    <m/>
    <m/>
    <n v="0"/>
    <m/>
    <m/>
    <n v="0"/>
    <m/>
    <m/>
    <n v="0"/>
    <m/>
    <m/>
    <n v="0"/>
    <m/>
    <m/>
    <n v="0"/>
    <m/>
    <m/>
    <n v="0"/>
    <m/>
    <m/>
    <n v="0"/>
    <m/>
    <m/>
    <n v="0"/>
    <m/>
    <m/>
    <n v="0"/>
    <m/>
    <m/>
    <n v="0"/>
    <m/>
    <m/>
    <n v="0"/>
    <m/>
    <m/>
    <n v="0"/>
    <m/>
    <m/>
    <n v="0"/>
    <m/>
    <m/>
    <n v="0"/>
    <m/>
    <m/>
    <n v="0"/>
    <m/>
    <m/>
    <n v="0"/>
    <m/>
    <m/>
    <n v="0"/>
  </r>
  <r>
    <x v="6"/>
    <s v="Louisiana Technical College-Folkes Campus"/>
    <n v="158945"/>
    <x v="12"/>
    <m/>
    <m/>
    <n v="0"/>
    <m/>
    <m/>
    <n v="0"/>
    <m/>
    <m/>
    <n v="0"/>
    <m/>
    <m/>
    <n v="0"/>
    <m/>
    <m/>
    <n v="0"/>
    <m/>
    <m/>
    <n v="0"/>
    <m/>
    <m/>
    <n v="0"/>
    <m/>
    <m/>
    <n v="0"/>
    <m/>
    <m/>
    <n v="0"/>
    <m/>
    <m/>
    <n v="0"/>
    <m/>
    <m/>
    <n v="0"/>
    <m/>
    <m/>
    <n v="0"/>
    <m/>
    <m/>
    <n v="0"/>
    <m/>
    <m/>
    <n v="0"/>
    <m/>
    <m/>
    <n v="0"/>
    <m/>
    <m/>
    <n v="0"/>
    <m/>
    <m/>
    <n v="0"/>
    <m/>
    <m/>
    <n v="0"/>
    <m/>
    <m/>
    <n v="0"/>
    <m/>
    <m/>
    <n v="0"/>
    <m/>
    <m/>
    <n v="0"/>
    <m/>
    <m/>
    <n v="0"/>
    <m/>
    <m/>
    <n v="0"/>
    <m/>
    <m/>
    <n v="0"/>
  </r>
  <r>
    <x v="6"/>
    <s v="Louisiana Technical College-Gulf Area Campus"/>
    <n v="159018"/>
    <x v="12"/>
    <m/>
    <m/>
    <n v="0"/>
    <m/>
    <m/>
    <n v="0"/>
    <m/>
    <m/>
    <n v="0"/>
    <m/>
    <m/>
    <n v="0"/>
    <m/>
    <m/>
    <n v="0"/>
    <m/>
    <m/>
    <n v="0"/>
    <m/>
    <m/>
    <n v="0"/>
    <m/>
    <m/>
    <n v="0"/>
    <m/>
    <m/>
    <n v="0"/>
    <m/>
    <m/>
    <n v="0"/>
    <m/>
    <m/>
    <n v="0"/>
    <m/>
    <m/>
    <n v="0"/>
    <m/>
    <m/>
    <n v="0"/>
    <m/>
    <m/>
    <n v="0"/>
    <m/>
    <m/>
    <n v="0"/>
    <m/>
    <m/>
    <n v="0"/>
    <m/>
    <m/>
    <n v="0"/>
    <m/>
    <m/>
    <n v="0"/>
    <m/>
    <m/>
    <n v="0"/>
    <m/>
    <m/>
    <n v="0"/>
    <m/>
    <m/>
    <n v="0"/>
    <m/>
    <m/>
    <n v="0"/>
    <m/>
    <m/>
    <n v="0"/>
    <m/>
    <m/>
    <n v="0"/>
  </r>
  <r>
    <x v="6"/>
    <s v="Louisiana Technical College-Hammond Area Campus"/>
    <n v="159045"/>
    <x v="12"/>
    <m/>
    <m/>
    <n v="0"/>
    <m/>
    <m/>
    <n v="0"/>
    <m/>
    <m/>
    <n v="0"/>
    <m/>
    <m/>
    <n v="0"/>
    <m/>
    <m/>
    <n v="0"/>
    <m/>
    <m/>
    <n v="0"/>
    <m/>
    <m/>
    <n v="0"/>
    <m/>
    <m/>
    <n v="0"/>
    <m/>
    <m/>
    <n v="0"/>
    <m/>
    <m/>
    <n v="0"/>
    <m/>
    <m/>
    <n v="0"/>
    <m/>
    <m/>
    <n v="0"/>
    <m/>
    <m/>
    <n v="0"/>
    <m/>
    <m/>
    <n v="0"/>
    <m/>
    <m/>
    <n v="0"/>
    <m/>
    <m/>
    <n v="0"/>
    <m/>
    <m/>
    <n v="0"/>
    <m/>
    <m/>
    <n v="0"/>
    <m/>
    <m/>
    <n v="0"/>
    <m/>
    <m/>
    <n v="0"/>
    <m/>
    <m/>
    <n v="0"/>
    <m/>
    <m/>
    <n v="0"/>
    <m/>
    <m/>
    <n v="0"/>
    <m/>
    <m/>
    <n v="0"/>
  </r>
  <r>
    <x v="6"/>
    <s v="Louisiana Technical College-Huey P. Long Campus"/>
    <n v="159090"/>
    <x v="12"/>
    <m/>
    <m/>
    <n v="0"/>
    <m/>
    <m/>
    <n v="0"/>
    <m/>
    <m/>
    <n v="0"/>
    <m/>
    <m/>
    <n v="0"/>
    <m/>
    <m/>
    <n v="0"/>
    <m/>
    <m/>
    <n v="0"/>
    <m/>
    <m/>
    <n v="0"/>
    <m/>
    <m/>
    <n v="0"/>
    <m/>
    <m/>
    <n v="0"/>
    <m/>
    <m/>
    <n v="0"/>
    <m/>
    <m/>
    <n v="0"/>
    <m/>
    <m/>
    <n v="0"/>
    <m/>
    <m/>
    <n v="0"/>
    <m/>
    <m/>
    <n v="0"/>
    <m/>
    <m/>
    <n v="0"/>
    <m/>
    <m/>
    <n v="0"/>
    <m/>
    <m/>
    <n v="0"/>
    <m/>
    <m/>
    <n v="0"/>
    <m/>
    <m/>
    <n v="0"/>
    <m/>
    <m/>
    <n v="0"/>
    <m/>
    <m/>
    <n v="0"/>
    <m/>
    <m/>
    <n v="0"/>
    <m/>
    <m/>
    <n v="0"/>
    <m/>
    <m/>
    <n v="0"/>
  </r>
  <r>
    <x v="6"/>
    <s v="Louisiana Technical College-Jefferson Campus"/>
    <n v="159258"/>
    <x v="12"/>
    <m/>
    <m/>
    <n v="0"/>
    <m/>
    <m/>
    <n v="0"/>
    <m/>
    <m/>
    <n v="0"/>
    <m/>
    <m/>
    <n v="0"/>
    <m/>
    <m/>
    <n v="0"/>
    <m/>
    <m/>
    <n v="0"/>
    <m/>
    <m/>
    <n v="0"/>
    <m/>
    <m/>
    <n v="0"/>
    <m/>
    <m/>
    <n v="0"/>
    <m/>
    <m/>
    <n v="0"/>
    <m/>
    <m/>
    <n v="0"/>
    <m/>
    <m/>
    <n v="0"/>
    <m/>
    <m/>
    <n v="0"/>
    <m/>
    <m/>
    <n v="0"/>
    <m/>
    <m/>
    <n v="0"/>
    <m/>
    <m/>
    <n v="0"/>
    <m/>
    <m/>
    <n v="0"/>
    <m/>
    <m/>
    <n v="0"/>
    <m/>
    <m/>
    <n v="0"/>
    <m/>
    <m/>
    <n v="0"/>
    <m/>
    <m/>
    <n v="0"/>
    <m/>
    <m/>
    <n v="0"/>
    <m/>
    <m/>
    <n v="0"/>
    <m/>
    <m/>
    <n v="0"/>
  </r>
  <r>
    <x v="6"/>
    <s v="Louisiana Technical College-Jumonville Memorial Campus"/>
    <n v="160214"/>
    <x v="12"/>
    <m/>
    <m/>
    <n v="0"/>
    <m/>
    <m/>
    <n v="0"/>
    <m/>
    <m/>
    <n v="0"/>
    <m/>
    <m/>
    <n v="0"/>
    <m/>
    <m/>
    <n v="0"/>
    <m/>
    <m/>
    <n v="0"/>
    <m/>
    <m/>
    <n v="0"/>
    <m/>
    <m/>
    <n v="0"/>
    <m/>
    <m/>
    <n v="0"/>
    <m/>
    <m/>
    <n v="0"/>
    <m/>
    <m/>
    <n v="0"/>
    <m/>
    <m/>
    <n v="0"/>
    <m/>
    <m/>
    <n v="0"/>
    <m/>
    <m/>
    <n v="0"/>
    <m/>
    <m/>
    <n v="0"/>
    <m/>
    <m/>
    <n v="0"/>
    <m/>
    <m/>
    <n v="0"/>
    <m/>
    <m/>
    <n v="0"/>
    <m/>
    <m/>
    <n v="0"/>
    <m/>
    <m/>
    <n v="0"/>
    <m/>
    <m/>
    <n v="0"/>
    <m/>
    <m/>
    <n v="0"/>
    <m/>
    <m/>
    <n v="0"/>
    <m/>
    <m/>
    <n v="0"/>
  </r>
  <r>
    <x v="6"/>
    <s v="Louisiana Technical College-Lafayette Campus"/>
    <n v="159443"/>
    <x v="12"/>
    <m/>
    <m/>
    <n v="0"/>
    <m/>
    <m/>
    <n v="0"/>
    <m/>
    <m/>
    <n v="0"/>
    <m/>
    <m/>
    <n v="0"/>
    <m/>
    <m/>
    <n v="0"/>
    <m/>
    <m/>
    <n v="0"/>
    <m/>
    <m/>
    <n v="0"/>
    <m/>
    <m/>
    <n v="0"/>
    <m/>
    <m/>
    <n v="0"/>
    <m/>
    <m/>
    <n v="0"/>
    <m/>
    <m/>
    <n v="0"/>
    <m/>
    <m/>
    <n v="0"/>
    <m/>
    <m/>
    <n v="0"/>
    <m/>
    <m/>
    <n v="0"/>
    <m/>
    <m/>
    <n v="0"/>
    <m/>
    <m/>
    <n v="0"/>
    <m/>
    <m/>
    <n v="0"/>
    <m/>
    <m/>
    <n v="0"/>
    <m/>
    <m/>
    <n v="0"/>
    <m/>
    <m/>
    <n v="0"/>
    <m/>
    <m/>
    <n v="0"/>
    <m/>
    <m/>
    <n v="0"/>
    <m/>
    <m/>
    <n v="0"/>
    <m/>
    <m/>
    <n v="0"/>
  </r>
  <r>
    <x v="6"/>
    <s v="Louisiana Technical College-Lafourche Campus"/>
    <n v="160719"/>
    <x v="12"/>
    <m/>
    <m/>
    <n v="0"/>
    <m/>
    <m/>
    <n v="0"/>
    <m/>
    <m/>
    <n v="0"/>
    <m/>
    <m/>
    <n v="0"/>
    <m/>
    <m/>
    <n v="0"/>
    <m/>
    <m/>
    <n v="0"/>
    <m/>
    <m/>
    <n v="0"/>
    <m/>
    <m/>
    <n v="0"/>
    <m/>
    <m/>
    <n v="0"/>
    <m/>
    <m/>
    <n v="0"/>
    <m/>
    <m/>
    <n v="0"/>
    <m/>
    <m/>
    <n v="0"/>
    <m/>
    <m/>
    <n v="0"/>
    <m/>
    <m/>
    <n v="0"/>
    <m/>
    <m/>
    <n v="0"/>
    <m/>
    <m/>
    <n v="0"/>
    <m/>
    <m/>
    <n v="0"/>
    <m/>
    <m/>
    <n v="0"/>
    <m/>
    <m/>
    <n v="0"/>
    <m/>
    <m/>
    <n v="0"/>
    <m/>
    <m/>
    <n v="0"/>
    <m/>
    <m/>
    <n v="0"/>
    <m/>
    <m/>
    <n v="0"/>
    <m/>
    <m/>
    <n v="0"/>
  </r>
  <r>
    <x v="6"/>
    <s v="Louisiana Technical College-Lamar Salter Campus"/>
    <n v="160843"/>
    <x v="12"/>
    <m/>
    <m/>
    <n v="0"/>
    <m/>
    <m/>
    <n v="0"/>
    <m/>
    <m/>
    <n v="0"/>
    <m/>
    <m/>
    <n v="0"/>
    <m/>
    <m/>
    <n v="0"/>
    <m/>
    <m/>
    <n v="0"/>
    <m/>
    <m/>
    <n v="0"/>
    <m/>
    <m/>
    <n v="0"/>
    <m/>
    <m/>
    <n v="0"/>
    <m/>
    <m/>
    <n v="0"/>
    <m/>
    <m/>
    <n v="0"/>
    <m/>
    <m/>
    <n v="0"/>
    <m/>
    <m/>
    <n v="0"/>
    <m/>
    <m/>
    <n v="0"/>
    <m/>
    <m/>
    <n v="0"/>
    <m/>
    <m/>
    <n v="0"/>
    <m/>
    <m/>
    <n v="0"/>
    <m/>
    <m/>
    <n v="0"/>
    <m/>
    <m/>
    <n v="0"/>
    <m/>
    <m/>
    <n v="0"/>
    <m/>
    <m/>
    <n v="0"/>
    <m/>
    <m/>
    <n v="0"/>
    <m/>
    <m/>
    <n v="0"/>
    <m/>
    <m/>
    <n v="0"/>
  </r>
  <r>
    <x v="6"/>
    <s v="Louisiana Technical College-Mansfield Campus"/>
    <n v="159692"/>
    <x v="12"/>
    <m/>
    <m/>
    <n v="0"/>
    <m/>
    <m/>
    <n v="0"/>
    <m/>
    <m/>
    <n v="0"/>
    <m/>
    <m/>
    <n v="0"/>
    <m/>
    <m/>
    <n v="0"/>
    <m/>
    <m/>
    <n v="0"/>
    <m/>
    <m/>
    <n v="0"/>
    <m/>
    <m/>
    <n v="0"/>
    <m/>
    <m/>
    <n v="0"/>
    <m/>
    <m/>
    <n v="0"/>
    <m/>
    <m/>
    <n v="0"/>
    <m/>
    <m/>
    <n v="0"/>
    <m/>
    <m/>
    <n v="0"/>
    <m/>
    <m/>
    <n v="0"/>
    <m/>
    <m/>
    <n v="0"/>
    <m/>
    <m/>
    <n v="0"/>
    <m/>
    <m/>
    <n v="0"/>
    <m/>
    <m/>
    <n v="0"/>
    <m/>
    <m/>
    <n v="0"/>
    <m/>
    <m/>
    <n v="0"/>
    <m/>
    <m/>
    <n v="0"/>
    <m/>
    <m/>
    <n v="0"/>
    <m/>
    <m/>
    <n v="0"/>
    <m/>
    <m/>
    <n v="0"/>
  </r>
  <r>
    <x v="6"/>
    <s v="Louisiana Technical College-Morgan Smith Campus"/>
    <n v="159249"/>
    <x v="12"/>
    <m/>
    <m/>
    <n v="0"/>
    <m/>
    <m/>
    <n v="0"/>
    <m/>
    <m/>
    <n v="0"/>
    <m/>
    <m/>
    <n v="0"/>
    <m/>
    <m/>
    <n v="0"/>
    <m/>
    <m/>
    <n v="0"/>
    <m/>
    <m/>
    <n v="0"/>
    <m/>
    <m/>
    <n v="0"/>
    <m/>
    <m/>
    <n v="0"/>
    <m/>
    <m/>
    <n v="0"/>
    <m/>
    <m/>
    <n v="0"/>
    <m/>
    <m/>
    <n v="0"/>
    <m/>
    <m/>
    <n v="0"/>
    <m/>
    <m/>
    <n v="0"/>
    <m/>
    <m/>
    <n v="0"/>
    <m/>
    <m/>
    <n v="0"/>
    <m/>
    <m/>
    <n v="0"/>
    <m/>
    <m/>
    <n v="0"/>
    <m/>
    <m/>
    <n v="0"/>
    <m/>
    <m/>
    <n v="0"/>
    <m/>
    <m/>
    <n v="0"/>
    <m/>
    <m/>
    <n v="0"/>
    <m/>
    <m/>
    <n v="0"/>
    <m/>
    <m/>
    <n v="0"/>
  </r>
  <r>
    <x v="6"/>
    <s v="Louisiana Technical College-Nachitoches Campus"/>
    <n v="159823"/>
    <x v="12"/>
    <m/>
    <m/>
    <n v="0"/>
    <m/>
    <m/>
    <n v="0"/>
    <m/>
    <m/>
    <n v="0"/>
    <m/>
    <m/>
    <n v="0"/>
    <m/>
    <m/>
    <n v="0"/>
    <m/>
    <m/>
    <n v="0"/>
    <m/>
    <m/>
    <n v="0"/>
    <m/>
    <m/>
    <n v="0"/>
    <m/>
    <m/>
    <n v="0"/>
    <m/>
    <m/>
    <n v="0"/>
    <m/>
    <m/>
    <n v="0"/>
    <m/>
    <m/>
    <n v="0"/>
    <m/>
    <m/>
    <n v="0"/>
    <m/>
    <m/>
    <n v="0"/>
    <m/>
    <m/>
    <n v="0"/>
    <m/>
    <m/>
    <n v="0"/>
    <m/>
    <m/>
    <n v="0"/>
    <m/>
    <m/>
    <n v="0"/>
    <m/>
    <m/>
    <n v="0"/>
    <m/>
    <m/>
    <n v="0"/>
    <m/>
    <m/>
    <n v="0"/>
    <m/>
    <m/>
    <n v="0"/>
    <m/>
    <m/>
    <n v="0"/>
    <m/>
    <m/>
    <n v="0"/>
  </r>
  <r>
    <x v="6"/>
    <s v="Louisiana Technical College-North Central Campus"/>
    <n v="159984"/>
    <x v="12"/>
    <m/>
    <m/>
    <n v="0"/>
    <m/>
    <m/>
    <n v="0"/>
    <m/>
    <m/>
    <n v="0"/>
    <m/>
    <m/>
    <n v="0"/>
    <m/>
    <m/>
    <n v="0"/>
    <m/>
    <m/>
    <n v="0"/>
    <m/>
    <m/>
    <n v="0"/>
    <m/>
    <m/>
    <n v="0"/>
    <m/>
    <m/>
    <n v="0"/>
    <m/>
    <m/>
    <n v="0"/>
    <m/>
    <m/>
    <n v="0"/>
    <m/>
    <m/>
    <n v="0"/>
    <m/>
    <m/>
    <n v="0"/>
    <m/>
    <m/>
    <n v="0"/>
    <m/>
    <m/>
    <n v="0"/>
    <m/>
    <m/>
    <n v="0"/>
    <m/>
    <m/>
    <n v="0"/>
    <m/>
    <m/>
    <n v="0"/>
    <m/>
    <m/>
    <n v="0"/>
    <m/>
    <m/>
    <n v="0"/>
    <m/>
    <m/>
    <n v="0"/>
    <m/>
    <m/>
    <n v="0"/>
    <m/>
    <m/>
    <n v="0"/>
    <m/>
    <m/>
    <n v="0"/>
  </r>
  <r>
    <x v="6"/>
    <s v="Louisiana Technical College-Northeast Louisiana Campus"/>
    <n v="160001"/>
    <x v="12"/>
    <m/>
    <m/>
    <n v="0"/>
    <m/>
    <m/>
    <n v="0"/>
    <m/>
    <m/>
    <n v="0"/>
    <m/>
    <m/>
    <n v="0"/>
    <m/>
    <m/>
    <n v="0"/>
    <m/>
    <m/>
    <n v="0"/>
    <m/>
    <m/>
    <n v="0"/>
    <m/>
    <m/>
    <n v="0"/>
    <m/>
    <m/>
    <n v="0"/>
    <m/>
    <m/>
    <n v="0"/>
    <m/>
    <m/>
    <n v="0"/>
    <m/>
    <m/>
    <n v="0"/>
    <m/>
    <m/>
    <n v="0"/>
    <m/>
    <m/>
    <n v="0"/>
    <m/>
    <m/>
    <n v="0"/>
    <m/>
    <m/>
    <n v="0"/>
    <m/>
    <m/>
    <n v="0"/>
    <m/>
    <m/>
    <n v="0"/>
    <m/>
    <m/>
    <n v="0"/>
    <m/>
    <m/>
    <n v="0"/>
    <m/>
    <m/>
    <n v="0"/>
    <m/>
    <m/>
    <n v="0"/>
    <m/>
    <m/>
    <n v="0"/>
    <m/>
    <m/>
    <n v="0"/>
  </r>
  <r>
    <x v="6"/>
    <s v="Louisiana Technical College-Northwest Louisiana Campus"/>
    <n v="160010"/>
    <x v="12"/>
    <m/>
    <m/>
    <n v="0"/>
    <m/>
    <m/>
    <n v="0"/>
    <m/>
    <m/>
    <n v="0"/>
    <m/>
    <m/>
    <n v="0"/>
    <m/>
    <m/>
    <n v="0"/>
    <m/>
    <m/>
    <n v="0"/>
    <m/>
    <m/>
    <n v="0"/>
    <m/>
    <m/>
    <n v="0"/>
    <m/>
    <m/>
    <n v="0"/>
    <m/>
    <m/>
    <n v="0"/>
    <m/>
    <m/>
    <n v="0"/>
    <m/>
    <m/>
    <n v="0"/>
    <m/>
    <m/>
    <n v="0"/>
    <m/>
    <m/>
    <n v="0"/>
    <m/>
    <m/>
    <n v="0"/>
    <m/>
    <m/>
    <n v="0"/>
    <m/>
    <m/>
    <n v="0"/>
    <m/>
    <m/>
    <n v="0"/>
    <m/>
    <m/>
    <n v="0"/>
    <m/>
    <m/>
    <n v="0"/>
    <m/>
    <m/>
    <n v="0"/>
    <m/>
    <m/>
    <n v="0"/>
    <m/>
    <m/>
    <n v="0"/>
    <m/>
    <m/>
    <n v="0"/>
  </r>
  <r>
    <x v="6"/>
    <s v="Louisiana Technical College-Oakdale Campus"/>
    <n v="160047"/>
    <x v="12"/>
    <m/>
    <m/>
    <n v="0"/>
    <m/>
    <m/>
    <n v="0"/>
    <m/>
    <m/>
    <n v="0"/>
    <m/>
    <m/>
    <n v="0"/>
    <m/>
    <m/>
    <n v="0"/>
    <m/>
    <m/>
    <n v="0"/>
    <m/>
    <m/>
    <n v="0"/>
    <m/>
    <m/>
    <n v="0"/>
    <m/>
    <m/>
    <n v="0"/>
    <m/>
    <m/>
    <n v="0"/>
    <m/>
    <m/>
    <n v="0"/>
    <m/>
    <m/>
    <n v="0"/>
    <m/>
    <m/>
    <n v="0"/>
    <m/>
    <m/>
    <n v="0"/>
    <m/>
    <m/>
    <n v="0"/>
    <m/>
    <m/>
    <n v="0"/>
    <m/>
    <m/>
    <n v="0"/>
    <m/>
    <m/>
    <n v="0"/>
    <m/>
    <m/>
    <n v="0"/>
    <m/>
    <m/>
    <n v="0"/>
    <m/>
    <m/>
    <n v="0"/>
    <m/>
    <m/>
    <n v="0"/>
    <m/>
    <m/>
    <n v="0"/>
    <m/>
    <m/>
    <n v="0"/>
  </r>
  <r>
    <x v="6"/>
    <s v="Louisiana Technical College-River Parishes Campus"/>
    <n v="160311"/>
    <x v="12"/>
    <m/>
    <m/>
    <n v="0"/>
    <m/>
    <m/>
    <n v="0"/>
    <m/>
    <m/>
    <n v="0"/>
    <m/>
    <m/>
    <n v="0"/>
    <m/>
    <m/>
    <n v="0"/>
    <m/>
    <m/>
    <n v="0"/>
    <m/>
    <m/>
    <n v="0"/>
    <m/>
    <m/>
    <n v="0"/>
    <m/>
    <m/>
    <n v="0"/>
    <m/>
    <m/>
    <n v="0"/>
    <m/>
    <m/>
    <n v="0"/>
    <m/>
    <m/>
    <n v="0"/>
    <m/>
    <m/>
    <n v="0"/>
    <m/>
    <m/>
    <n v="0"/>
    <m/>
    <m/>
    <n v="0"/>
    <m/>
    <m/>
    <n v="0"/>
    <m/>
    <m/>
    <n v="0"/>
    <m/>
    <m/>
    <n v="0"/>
    <m/>
    <m/>
    <n v="0"/>
    <m/>
    <m/>
    <n v="0"/>
    <m/>
    <m/>
    <n v="0"/>
    <m/>
    <m/>
    <n v="0"/>
    <m/>
    <m/>
    <n v="0"/>
    <m/>
    <m/>
    <n v="0"/>
  </r>
  <r>
    <x v="6"/>
    <s v="Louisiana Technical College-Ruston Campus"/>
    <n v="160366"/>
    <x v="12"/>
    <m/>
    <m/>
    <n v="0"/>
    <m/>
    <m/>
    <n v="0"/>
    <m/>
    <m/>
    <n v="0"/>
    <m/>
    <m/>
    <n v="0"/>
    <m/>
    <m/>
    <n v="0"/>
    <m/>
    <m/>
    <n v="0"/>
    <m/>
    <m/>
    <n v="0"/>
    <m/>
    <m/>
    <n v="0"/>
    <m/>
    <m/>
    <n v="0"/>
    <m/>
    <m/>
    <n v="0"/>
    <m/>
    <m/>
    <n v="0"/>
    <m/>
    <m/>
    <n v="0"/>
    <m/>
    <m/>
    <n v="0"/>
    <m/>
    <m/>
    <n v="0"/>
    <m/>
    <m/>
    <n v="0"/>
    <m/>
    <m/>
    <n v="0"/>
    <m/>
    <m/>
    <n v="0"/>
    <m/>
    <m/>
    <n v="0"/>
    <m/>
    <m/>
    <n v="0"/>
    <m/>
    <m/>
    <n v="0"/>
    <m/>
    <m/>
    <n v="0"/>
    <m/>
    <m/>
    <n v="0"/>
    <m/>
    <m/>
    <n v="0"/>
    <m/>
    <m/>
    <n v="0"/>
  </r>
  <r>
    <x v="6"/>
    <s v="Louisiana Technical College-Sabine Valley Campus"/>
    <n v="160384"/>
    <x v="12"/>
    <m/>
    <m/>
    <n v="0"/>
    <m/>
    <m/>
    <n v="0"/>
    <m/>
    <m/>
    <n v="0"/>
    <m/>
    <m/>
    <n v="0"/>
    <m/>
    <m/>
    <n v="0"/>
    <m/>
    <m/>
    <n v="0"/>
    <m/>
    <m/>
    <n v="0"/>
    <m/>
    <m/>
    <n v="0"/>
    <m/>
    <m/>
    <n v="0"/>
    <m/>
    <m/>
    <n v="0"/>
    <m/>
    <m/>
    <n v="0"/>
    <m/>
    <m/>
    <n v="0"/>
    <m/>
    <m/>
    <n v="0"/>
    <m/>
    <m/>
    <n v="0"/>
    <m/>
    <m/>
    <n v="0"/>
    <m/>
    <m/>
    <n v="0"/>
    <m/>
    <m/>
    <n v="0"/>
    <m/>
    <m/>
    <n v="0"/>
    <m/>
    <m/>
    <n v="0"/>
    <m/>
    <m/>
    <n v="0"/>
    <m/>
    <m/>
    <n v="0"/>
    <m/>
    <m/>
    <n v="0"/>
    <m/>
    <m/>
    <n v="0"/>
    <m/>
    <m/>
    <n v="0"/>
  </r>
  <r>
    <x v="6"/>
    <s v="Louisiana Technical College-Shelby M. Jackson Campus"/>
    <n v="158583"/>
    <x v="12"/>
    <m/>
    <m/>
    <n v="0"/>
    <m/>
    <m/>
    <n v="0"/>
    <m/>
    <m/>
    <n v="0"/>
    <m/>
    <m/>
    <n v="0"/>
    <m/>
    <m/>
    <n v="0"/>
    <m/>
    <m/>
    <n v="0"/>
    <m/>
    <m/>
    <n v="0"/>
    <m/>
    <m/>
    <n v="0"/>
    <m/>
    <m/>
    <n v="0"/>
    <m/>
    <m/>
    <n v="0"/>
    <m/>
    <m/>
    <n v="0"/>
    <m/>
    <m/>
    <n v="0"/>
    <m/>
    <m/>
    <n v="0"/>
    <m/>
    <m/>
    <n v="0"/>
    <m/>
    <m/>
    <n v="0"/>
    <m/>
    <m/>
    <n v="0"/>
    <m/>
    <m/>
    <n v="0"/>
    <m/>
    <m/>
    <n v="0"/>
    <m/>
    <m/>
    <n v="0"/>
    <m/>
    <m/>
    <n v="0"/>
    <m/>
    <m/>
    <n v="0"/>
    <m/>
    <m/>
    <n v="0"/>
    <m/>
    <m/>
    <n v="0"/>
    <m/>
    <m/>
    <n v="0"/>
  </r>
  <r>
    <x v="6"/>
    <s v="Louisiana Technical College-Shreveport/Bossier Campus"/>
    <n v="160427"/>
    <x v="12"/>
    <m/>
    <m/>
    <n v="0"/>
    <m/>
    <m/>
    <n v="0"/>
    <m/>
    <m/>
    <n v="0"/>
    <m/>
    <m/>
    <n v="0"/>
    <m/>
    <m/>
    <n v="0"/>
    <m/>
    <m/>
    <n v="0"/>
    <m/>
    <m/>
    <n v="0"/>
    <m/>
    <m/>
    <n v="0"/>
    <m/>
    <m/>
    <n v="0"/>
    <m/>
    <m/>
    <n v="0"/>
    <m/>
    <m/>
    <n v="0"/>
    <m/>
    <m/>
    <n v="0"/>
    <m/>
    <m/>
    <n v="0"/>
    <m/>
    <m/>
    <n v="0"/>
    <m/>
    <m/>
    <n v="0"/>
    <m/>
    <m/>
    <n v="0"/>
    <m/>
    <m/>
    <n v="0"/>
    <m/>
    <m/>
    <n v="0"/>
    <m/>
    <m/>
    <n v="0"/>
    <m/>
    <m/>
    <n v="0"/>
    <m/>
    <m/>
    <n v="0"/>
    <m/>
    <m/>
    <n v="0"/>
    <m/>
    <m/>
    <n v="0"/>
    <m/>
    <m/>
    <n v="0"/>
  </r>
  <r>
    <x v="6"/>
    <s v="Louisiana Technical College-Sidney N. Collier Campus"/>
    <n v="160436"/>
    <x v="12"/>
    <m/>
    <m/>
    <n v="0"/>
    <m/>
    <m/>
    <n v="0"/>
    <m/>
    <m/>
    <n v="0"/>
    <m/>
    <m/>
    <n v="0"/>
    <m/>
    <m/>
    <n v="0"/>
    <m/>
    <m/>
    <n v="0"/>
    <m/>
    <m/>
    <n v="0"/>
    <m/>
    <m/>
    <n v="0"/>
    <m/>
    <m/>
    <n v="0"/>
    <m/>
    <m/>
    <n v="0"/>
    <m/>
    <m/>
    <n v="0"/>
    <m/>
    <m/>
    <n v="0"/>
    <m/>
    <m/>
    <n v="0"/>
    <m/>
    <m/>
    <n v="0"/>
    <m/>
    <m/>
    <n v="0"/>
    <m/>
    <m/>
    <n v="0"/>
    <m/>
    <m/>
    <n v="0"/>
    <m/>
    <m/>
    <n v="0"/>
    <m/>
    <m/>
    <n v="0"/>
    <m/>
    <m/>
    <n v="0"/>
    <m/>
    <m/>
    <n v="0"/>
    <m/>
    <m/>
    <n v="0"/>
    <m/>
    <m/>
    <n v="0"/>
    <m/>
    <m/>
    <n v="0"/>
  </r>
  <r>
    <x v="6"/>
    <s v="Louisiana Technical College-Slidell Campus"/>
    <n v="160454"/>
    <x v="12"/>
    <m/>
    <m/>
    <n v="0"/>
    <m/>
    <m/>
    <n v="0"/>
    <m/>
    <m/>
    <n v="0"/>
    <m/>
    <m/>
    <n v="0"/>
    <m/>
    <m/>
    <n v="0"/>
    <m/>
    <m/>
    <n v="0"/>
    <m/>
    <m/>
    <n v="0"/>
    <m/>
    <m/>
    <n v="0"/>
    <m/>
    <m/>
    <n v="0"/>
    <m/>
    <m/>
    <n v="0"/>
    <m/>
    <m/>
    <n v="0"/>
    <m/>
    <m/>
    <n v="0"/>
    <m/>
    <m/>
    <n v="0"/>
    <m/>
    <m/>
    <n v="0"/>
    <m/>
    <m/>
    <n v="0"/>
    <m/>
    <m/>
    <n v="0"/>
    <m/>
    <m/>
    <n v="0"/>
    <m/>
    <m/>
    <n v="0"/>
    <m/>
    <m/>
    <n v="0"/>
    <m/>
    <m/>
    <n v="0"/>
    <m/>
    <m/>
    <n v="0"/>
    <m/>
    <m/>
    <n v="0"/>
    <m/>
    <m/>
    <n v="0"/>
    <m/>
    <m/>
    <n v="0"/>
  </r>
  <r>
    <x v="6"/>
    <s v="Louisiana Technical College-Sullivan Campus"/>
    <n v="160667"/>
    <x v="12"/>
    <m/>
    <m/>
    <n v="0"/>
    <m/>
    <m/>
    <n v="0"/>
    <m/>
    <m/>
    <n v="0"/>
    <m/>
    <m/>
    <n v="0"/>
    <m/>
    <m/>
    <n v="0"/>
    <m/>
    <m/>
    <n v="0"/>
    <m/>
    <m/>
    <n v="0"/>
    <m/>
    <m/>
    <n v="0"/>
    <m/>
    <m/>
    <n v="0"/>
    <m/>
    <m/>
    <n v="0"/>
    <m/>
    <m/>
    <n v="0"/>
    <m/>
    <m/>
    <n v="0"/>
    <m/>
    <m/>
    <n v="0"/>
    <m/>
    <m/>
    <n v="0"/>
    <m/>
    <m/>
    <n v="0"/>
    <m/>
    <m/>
    <n v="0"/>
    <m/>
    <m/>
    <n v="0"/>
    <m/>
    <m/>
    <n v="0"/>
    <m/>
    <m/>
    <n v="0"/>
    <m/>
    <m/>
    <n v="0"/>
    <m/>
    <m/>
    <n v="0"/>
    <m/>
    <m/>
    <n v="0"/>
    <m/>
    <m/>
    <n v="0"/>
    <m/>
    <m/>
    <n v="0"/>
  </r>
  <r>
    <x v="6"/>
    <s v="Louisiana Technical College-T.H. Harris Campus"/>
    <n v="160676"/>
    <x v="12"/>
    <m/>
    <m/>
    <n v="0"/>
    <m/>
    <m/>
    <n v="0"/>
    <m/>
    <m/>
    <n v="0"/>
    <m/>
    <m/>
    <n v="0"/>
    <m/>
    <m/>
    <n v="0"/>
    <m/>
    <m/>
    <n v="0"/>
    <m/>
    <m/>
    <n v="0"/>
    <m/>
    <m/>
    <n v="0"/>
    <m/>
    <m/>
    <n v="0"/>
    <m/>
    <m/>
    <n v="0"/>
    <m/>
    <m/>
    <n v="0"/>
    <m/>
    <m/>
    <n v="0"/>
    <m/>
    <m/>
    <n v="0"/>
    <m/>
    <m/>
    <n v="0"/>
    <m/>
    <m/>
    <n v="0"/>
    <m/>
    <m/>
    <n v="0"/>
    <m/>
    <m/>
    <n v="0"/>
    <m/>
    <m/>
    <n v="0"/>
    <m/>
    <m/>
    <n v="0"/>
    <m/>
    <m/>
    <n v="0"/>
    <m/>
    <m/>
    <n v="0"/>
    <m/>
    <m/>
    <n v="0"/>
    <m/>
    <m/>
    <n v="0"/>
    <m/>
    <m/>
    <n v="0"/>
  </r>
  <r>
    <x v="6"/>
    <s v="Louisiana Technical College-Tallulah Campus"/>
    <n v="160685"/>
    <x v="12"/>
    <m/>
    <m/>
    <n v="0"/>
    <m/>
    <m/>
    <n v="0"/>
    <m/>
    <m/>
    <n v="0"/>
    <m/>
    <m/>
    <n v="0"/>
    <m/>
    <m/>
    <n v="0"/>
    <m/>
    <m/>
    <n v="0"/>
    <m/>
    <m/>
    <n v="0"/>
    <m/>
    <m/>
    <n v="0"/>
    <m/>
    <m/>
    <n v="0"/>
    <m/>
    <m/>
    <n v="0"/>
    <m/>
    <m/>
    <n v="0"/>
    <m/>
    <m/>
    <n v="0"/>
    <m/>
    <m/>
    <n v="0"/>
    <m/>
    <m/>
    <n v="0"/>
    <m/>
    <m/>
    <n v="0"/>
    <m/>
    <m/>
    <n v="0"/>
    <m/>
    <m/>
    <n v="0"/>
    <m/>
    <m/>
    <n v="0"/>
    <m/>
    <m/>
    <n v="0"/>
    <m/>
    <m/>
    <n v="0"/>
    <m/>
    <m/>
    <n v="0"/>
    <m/>
    <m/>
    <n v="0"/>
    <m/>
    <m/>
    <n v="0"/>
    <m/>
    <m/>
    <n v="0"/>
  </r>
  <r>
    <x v="6"/>
    <s v="Louisiana Technical College-Teche Area Campus"/>
    <n v="160694"/>
    <x v="12"/>
    <m/>
    <m/>
    <n v="0"/>
    <m/>
    <m/>
    <n v="0"/>
    <m/>
    <m/>
    <n v="0"/>
    <m/>
    <m/>
    <n v="0"/>
    <m/>
    <m/>
    <n v="0"/>
    <m/>
    <m/>
    <n v="0"/>
    <m/>
    <m/>
    <n v="0"/>
    <m/>
    <m/>
    <n v="0"/>
    <m/>
    <m/>
    <n v="0"/>
    <m/>
    <m/>
    <n v="0"/>
    <m/>
    <m/>
    <n v="0"/>
    <m/>
    <m/>
    <n v="0"/>
    <m/>
    <m/>
    <n v="0"/>
    <m/>
    <m/>
    <n v="0"/>
    <m/>
    <m/>
    <n v="0"/>
    <m/>
    <m/>
    <n v="0"/>
    <m/>
    <m/>
    <n v="0"/>
    <m/>
    <m/>
    <n v="0"/>
    <m/>
    <m/>
    <n v="0"/>
    <m/>
    <m/>
    <n v="0"/>
    <m/>
    <m/>
    <n v="0"/>
    <m/>
    <m/>
    <n v="0"/>
    <m/>
    <m/>
    <n v="0"/>
    <m/>
    <m/>
    <n v="0"/>
  </r>
  <r>
    <x v="6"/>
    <s v="Louisiana Technical College-West Jefferson Campus"/>
    <n v="159267"/>
    <x v="12"/>
    <m/>
    <m/>
    <n v="0"/>
    <m/>
    <m/>
    <n v="0"/>
    <m/>
    <m/>
    <n v="0"/>
    <m/>
    <m/>
    <n v="0"/>
    <m/>
    <m/>
    <n v="0"/>
    <m/>
    <m/>
    <n v="0"/>
    <m/>
    <m/>
    <n v="0"/>
    <m/>
    <m/>
    <n v="0"/>
    <m/>
    <m/>
    <n v="0"/>
    <m/>
    <m/>
    <n v="0"/>
    <m/>
    <m/>
    <n v="0"/>
    <m/>
    <m/>
    <n v="0"/>
    <m/>
    <m/>
    <n v="0"/>
    <m/>
    <m/>
    <n v="0"/>
    <m/>
    <m/>
    <n v="0"/>
    <m/>
    <m/>
    <n v="0"/>
    <m/>
    <m/>
    <n v="0"/>
    <m/>
    <m/>
    <n v="0"/>
    <m/>
    <m/>
    <n v="0"/>
    <m/>
    <m/>
    <n v="0"/>
    <m/>
    <m/>
    <n v="0"/>
    <m/>
    <m/>
    <n v="0"/>
    <m/>
    <m/>
    <n v="0"/>
    <m/>
    <m/>
    <n v="0"/>
  </r>
  <r>
    <x v="6"/>
    <s v="Louisiana Technical College-Westside Campus"/>
    <n v="160870"/>
    <x v="12"/>
    <m/>
    <m/>
    <n v="0"/>
    <m/>
    <m/>
    <n v="0"/>
    <m/>
    <m/>
    <n v="0"/>
    <m/>
    <m/>
    <n v="0"/>
    <m/>
    <m/>
    <n v="0"/>
    <m/>
    <m/>
    <n v="0"/>
    <m/>
    <m/>
    <n v="0"/>
    <m/>
    <m/>
    <n v="0"/>
    <m/>
    <m/>
    <n v="0"/>
    <m/>
    <m/>
    <n v="0"/>
    <m/>
    <m/>
    <n v="0"/>
    <m/>
    <m/>
    <n v="0"/>
    <m/>
    <m/>
    <n v="0"/>
    <m/>
    <m/>
    <n v="0"/>
    <m/>
    <m/>
    <n v="0"/>
    <m/>
    <m/>
    <n v="0"/>
    <m/>
    <m/>
    <n v="0"/>
    <m/>
    <m/>
    <n v="0"/>
    <m/>
    <m/>
    <n v="0"/>
    <m/>
    <m/>
    <n v="0"/>
    <m/>
    <m/>
    <n v="0"/>
    <m/>
    <m/>
    <n v="0"/>
    <m/>
    <m/>
    <n v="0"/>
    <m/>
    <m/>
    <n v="0"/>
  </r>
  <r>
    <x v="6"/>
    <s v="Louisiana Technical College-Young Memorial Campus"/>
    <n v="160913"/>
    <x v="12"/>
    <m/>
    <m/>
    <n v="0"/>
    <m/>
    <m/>
    <n v="0"/>
    <m/>
    <m/>
    <n v="0"/>
    <m/>
    <m/>
    <n v="0"/>
    <m/>
    <m/>
    <n v="0"/>
    <m/>
    <m/>
    <n v="0"/>
    <m/>
    <m/>
    <n v="0"/>
    <m/>
    <m/>
    <n v="0"/>
    <m/>
    <m/>
    <n v="0"/>
    <m/>
    <m/>
    <n v="0"/>
    <m/>
    <m/>
    <n v="0"/>
    <m/>
    <m/>
    <n v="0"/>
    <m/>
    <m/>
    <n v="0"/>
    <m/>
    <m/>
    <n v="0"/>
    <m/>
    <m/>
    <n v="0"/>
    <m/>
    <m/>
    <n v="0"/>
    <m/>
    <m/>
    <n v="0"/>
    <m/>
    <m/>
    <n v="0"/>
    <m/>
    <m/>
    <n v="0"/>
    <m/>
    <m/>
    <n v="0"/>
    <m/>
    <m/>
    <n v="0"/>
    <m/>
    <m/>
    <n v="0"/>
    <m/>
    <m/>
    <n v="0"/>
    <m/>
    <m/>
    <n v="0"/>
  </r>
  <r>
    <x v="7"/>
    <s v="University of Maryland College Park"/>
    <n v="163286"/>
    <x v="0"/>
    <n v="377"/>
    <n v="124307.31830238727"/>
    <n v="46863859"/>
    <n v="373"/>
    <n v="129913.75871313673"/>
    <n v="48457832"/>
    <n v="307"/>
    <n v="87740.723127035832"/>
    <n v="26936402"/>
    <n v="315"/>
    <n v="93273.53333333334"/>
    <n v="29381163.000000004"/>
    <n v="233"/>
    <n v="76895.502145922743"/>
    <n v="17916652"/>
    <n v="264"/>
    <n v="82733.90151515152"/>
    <n v="21841750"/>
    <n v="13"/>
    <n v="56617.769230769234"/>
    <n v="736031"/>
    <n v="14"/>
    <n v="58507.928571428572"/>
    <n v="819111"/>
    <n v="173"/>
    <n v="56596.98265895954"/>
    <n v="9791278"/>
    <n v="176"/>
    <n v="60738.05113636364"/>
    <n v="10689897"/>
    <m/>
    <m/>
    <n v="0"/>
    <m/>
    <m/>
    <n v="0"/>
    <n v="273"/>
    <n v="154872.17216117217"/>
    <n v="34593580.274599999"/>
    <n v="271"/>
    <n v="168951.68265682657"/>
    <n v="37462028.2892"/>
    <n v="105"/>
    <n v="115626.93333333333"/>
    <n v="9933625.4696000014"/>
    <n v="108"/>
    <n v="121694.10185185185"/>
    <n v="10753572.3266"/>
    <n v="56"/>
    <n v="87252.821428571435"/>
    <n v="3997854.4756"/>
    <n v="50"/>
    <n v="106480.12"/>
    <n v="4356101.7092000004"/>
    <n v="8"/>
    <n v="66075.5"/>
    <n v="432503.7928"/>
    <n v="8"/>
    <n v="74532.875"/>
    <n v="487862.38660000003"/>
    <n v="52"/>
    <n v="64019.711538461539"/>
    <n v="2723808.2550000004"/>
    <n v="63"/>
    <n v="64290.30158730159"/>
    <n v="3313946.4598000003"/>
    <m/>
    <m/>
    <n v="0"/>
    <m/>
    <m/>
    <n v="0"/>
  </r>
  <r>
    <x v="7"/>
    <s v="University of Maryland, Baltimore County"/>
    <n v="163268"/>
    <x v="1"/>
    <n v="100"/>
    <n v="103942.78"/>
    <n v="10394278"/>
    <n v="100"/>
    <n v="106521"/>
    <n v="10652100"/>
    <n v="119"/>
    <n v="73206.957983193279"/>
    <n v="8711628"/>
    <n v="124"/>
    <n v="79594"/>
    <n v="9869656"/>
    <n v="103"/>
    <n v="64524.184466019418"/>
    <n v="6645991"/>
    <n v="99"/>
    <n v="66778"/>
    <n v="6611022"/>
    <n v="12"/>
    <n v="45350"/>
    <n v="544200"/>
    <n v="7"/>
    <n v="49105"/>
    <n v="343735"/>
    <n v="55"/>
    <n v="45130.090909090912"/>
    <n v="2482155"/>
    <n v="67"/>
    <n v="53324"/>
    <n v="3572708"/>
    <m/>
    <m/>
    <n v="0"/>
    <m/>
    <m/>
    <n v="0"/>
    <n v="40"/>
    <n v="161231.20000000001"/>
    <n v="5276774.7136000004"/>
    <n v="38"/>
    <n v="171818"/>
    <n v="5342096.5288000004"/>
    <n v="25"/>
    <n v="95038.88"/>
    <n v="1944020.2904000001"/>
    <n v="30"/>
    <n v="96440"/>
    <n v="2367216.2400000002"/>
    <n v="10"/>
    <n v="84161.8"/>
    <n v="688611.84759999998"/>
    <n v="8"/>
    <n v="79048"/>
    <n v="517416.58880000003"/>
    <n v="5"/>
    <n v="67703"/>
    <n v="276972.973"/>
    <n v="5"/>
    <n v="69249"/>
    <n v="283297.65899999999"/>
    <n v="4"/>
    <n v="58491.25"/>
    <n v="191430.163"/>
    <n v="5"/>
    <n v="65557"/>
    <n v="268193.68700000003"/>
    <m/>
    <m/>
    <n v="0"/>
    <m/>
    <m/>
    <n v="0"/>
  </r>
  <r>
    <x v="7"/>
    <s v="Morgan State University"/>
    <n v="163453"/>
    <x v="2"/>
    <n v="29"/>
    <n v="92836.241379310348"/>
    <n v="2692251"/>
    <n v="28"/>
    <n v="96847.46428571429"/>
    <n v="2711729"/>
    <n v="90"/>
    <n v="75795.788888888885"/>
    <n v="6821621"/>
    <n v="88"/>
    <n v="79963.931818181823"/>
    <n v="7036826"/>
    <n v="119"/>
    <n v="64811.403361344535"/>
    <n v="7712557"/>
    <n v="109"/>
    <n v="66819.486238532103"/>
    <n v="7283323.9999999991"/>
    <n v="12"/>
    <n v="51476.5"/>
    <n v="617718"/>
    <n v="6"/>
    <n v="52189.833333333336"/>
    <n v="313139"/>
    <n v="135"/>
    <n v="41844.392592592594"/>
    <n v="5648993"/>
    <n v="155"/>
    <n v="44115.180645161294"/>
    <n v="6837853.0000000009"/>
    <m/>
    <m/>
    <n v="0"/>
    <m/>
    <m/>
    <n v="0"/>
    <n v="16"/>
    <n v="115060.25"/>
    <n v="1506276.7448"/>
    <n v="21"/>
    <n v="121140.14285714286"/>
    <n v="2081454.1626000002"/>
    <n v="17"/>
    <n v="102329"/>
    <n v="1423334.9926"/>
    <n v="18"/>
    <n v="103906.55555555556"/>
    <n v="1530294.1876000001"/>
    <n v="4"/>
    <n v="85975.75"/>
    <n v="281381.43460000004"/>
    <n v="7"/>
    <n v="84676.571428571435"/>
    <n v="484976.59520000004"/>
    <n v="0"/>
    <n v="0"/>
    <n v="0"/>
    <m/>
    <m/>
    <n v="0"/>
    <n v="3"/>
    <n v="66147.666666666672"/>
    <n v="162366.0626"/>
    <n v="4"/>
    <n v="44429.25"/>
    <n v="145408.04940000002"/>
    <m/>
    <m/>
    <n v="0"/>
    <m/>
    <m/>
    <n v="0"/>
  </r>
  <r>
    <x v="7"/>
    <s v="Towson University "/>
    <n v="164076"/>
    <x v="2"/>
    <n v="132"/>
    <n v="87998.409090909088"/>
    <n v="11615790"/>
    <n v="146"/>
    <n v="90289.57534246576"/>
    <n v="13182278"/>
    <n v="137"/>
    <n v="70968.948905109486"/>
    <n v="9722746"/>
    <n v="153"/>
    <n v="73082.973856209152"/>
    <n v="11181695"/>
    <n v="242"/>
    <n v="59166.17768595041"/>
    <n v="14318215"/>
    <n v="266"/>
    <n v="61063.42105263158"/>
    <n v="16242870"/>
    <n v="27"/>
    <n v="55915.296296296299"/>
    <n v="1509713"/>
    <n v="21"/>
    <n v="49037.047619047618"/>
    <n v="1029778"/>
    <n v="144"/>
    <n v="37614.493055555555"/>
    <n v="5416487"/>
    <n v="158"/>
    <n v="39635.531645569623"/>
    <n v="6262414"/>
    <m/>
    <m/>
    <n v="0"/>
    <m/>
    <m/>
    <n v="0"/>
    <n v="33"/>
    <n v="108089.9696969697"/>
    <n v="2918494.0358000002"/>
    <n v="31"/>
    <n v="111643.51612903226"/>
    <n v="2831748.4717999999"/>
    <n v="10"/>
    <n v="98398.2"/>
    <n v="805094.07240000006"/>
    <n v="11"/>
    <n v="106166.72727272728"/>
    <n v="955521.77880000009"/>
    <n v="2"/>
    <n v="80824.5"/>
    <n v="132261.21180000002"/>
    <n v="2"/>
    <n v="71908"/>
    <n v="117670.2512"/>
    <n v="1"/>
    <n v="42000"/>
    <n v="34364.400000000001"/>
    <m/>
    <m/>
    <n v="0"/>
    <n v="0"/>
    <n v="0"/>
    <n v="0"/>
    <m/>
    <m/>
    <n v="0"/>
    <m/>
    <m/>
    <n v="0"/>
    <m/>
    <m/>
    <n v="0"/>
  </r>
  <r>
    <x v="7"/>
    <s v="Bowie State University "/>
    <n v="162007"/>
    <x v="3"/>
    <n v="27"/>
    <n v="86963.074074074073"/>
    <n v="2348003"/>
    <n v="27"/>
    <n v="89698.629629629635"/>
    <n v="2421863"/>
    <n v="33"/>
    <n v="65127.181818181816"/>
    <n v="2149197"/>
    <n v="27"/>
    <n v="71691.037037037036"/>
    <n v="1935658"/>
    <n v="85"/>
    <n v="59210.564705882352"/>
    <n v="5032898"/>
    <n v="80"/>
    <n v="62084.074999999997"/>
    <n v="4966726"/>
    <n v="3"/>
    <n v="58635"/>
    <n v="175905"/>
    <n v="3"/>
    <n v="62025.333333333336"/>
    <n v="186076"/>
    <n v="52"/>
    <n v="52359.192307692305"/>
    <n v="2722678"/>
    <n v="67"/>
    <n v="54996.044776119401"/>
    <n v="3684735"/>
    <m/>
    <m/>
    <n v="0"/>
    <m/>
    <m/>
    <n v="0"/>
    <n v="6"/>
    <n v="97563.666666666672"/>
    <n v="478959.55240000004"/>
    <n v="5"/>
    <n v="111881.2"/>
    <n v="457705.98920000001"/>
    <n v="5"/>
    <n v="83215.199999999997"/>
    <n v="340433.38320000004"/>
    <n v="4"/>
    <n v="85786.5"/>
    <n v="280762.05720000004"/>
    <n v="4"/>
    <n v="81052"/>
    <n v="265266.98560000001"/>
    <n v="5"/>
    <n v="88939.8"/>
    <n v="363852.7218"/>
    <n v="0"/>
    <n v="0"/>
    <n v="0"/>
    <m/>
    <m/>
    <n v="0"/>
    <n v="1"/>
    <n v="76888"/>
    <n v="62909.761600000005"/>
    <n v="1"/>
    <n v="81201"/>
    <n v="66438.658200000005"/>
    <m/>
    <m/>
    <n v="0"/>
    <m/>
    <m/>
    <n v="0"/>
  </r>
  <r>
    <x v="7"/>
    <s v="Coppin State University"/>
    <n v="162283"/>
    <x v="3"/>
    <n v="18"/>
    <n v="87990.666666666672"/>
    <n v="1583832"/>
    <n v="17"/>
    <n v="89406.352941176476"/>
    <n v="1519908"/>
    <n v="23"/>
    <n v="63601.217391304344"/>
    <n v="1462828"/>
    <n v="23"/>
    <n v="67538.913043478256"/>
    <n v="1553395"/>
    <n v="68"/>
    <n v="58675.75"/>
    <n v="3989951"/>
    <n v="92"/>
    <n v="60408.467391304344"/>
    <n v="5557579"/>
    <n v="2"/>
    <n v="50007"/>
    <n v="100014"/>
    <n v="2"/>
    <n v="52909.5"/>
    <n v="105819"/>
    <n v="22"/>
    <n v="46552.181818181816"/>
    <n v="1024148"/>
    <n v="13"/>
    <n v="47282.846153846156"/>
    <n v="614677"/>
    <m/>
    <m/>
    <n v="0"/>
    <m/>
    <m/>
    <n v="0"/>
    <n v="1"/>
    <n v="129145"/>
    <n v="105666.439"/>
    <n v="2"/>
    <n v="106308.5"/>
    <n v="173963.22940000001"/>
    <n v="2"/>
    <n v="86183.5"/>
    <n v="141030.67939999999"/>
    <n v="2"/>
    <n v="89793"/>
    <n v="146937.26519999999"/>
    <n v="5"/>
    <n v="75463.600000000006"/>
    <n v="308721.58760000003"/>
    <n v="11"/>
    <n v="79538.818181818177"/>
    <n v="715865.27140000009"/>
    <n v="0"/>
    <n v="0"/>
    <n v="0"/>
    <m/>
    <m/>
    <n v="0"/>
    <n v="2"/>
    <n v="69250"/>
    <n v="113320.70000000001"/>
    <m/>
    <m/>
    <n v="0"/>
    <m/>
    <m/>
    <n v="0"/>
    <m/>
    <m/>
    <n v="0"/>
  </r>
  <r>
    <x v="7"/>
    <s v="Frostburg State University "/>
    <n v="162584"/>
    <x v="3"/>
    <n v="78"/>
    <n v="81708.5"/>
    <n v="6373263"/>
    <n v="78"/>
    <n v="85020.666666666672"/>
    <n v="6631612"/>
    <n v="57"/>
    <n v="65479.26315789474"/>
    <n v="3732318"/>
    <n v="58"/>
    <n v="68797.086206896551"/>
    <n v="3990231"/>
    <n v="58"/>
    <n v="57784.793103448275"/>
    <n v="3351518"/>
    <n v="63"/>
    <n v="61420.603174603173"/>
    <n v="3869498"/>
    <n v="7"/>
    <n v="50165"/>
    <n v="351155"/>
    <n v="10"/>
    <n v="50884.5"/>
    <n v="508845"/>
    <n v="24"/>
    <n v="36882.458333333336"/>
    <n v="885179"/>
    <n v="33"/>
    <n v="40474.121212121216"/>
    <n v="1335646"/>
    <m/>
    <m/>
    <n v="0"/>
    <m/>
    <m/>
    <n v="0"/>
    <n v="0"/>
    <m/>
    <n v="0"/>
    <m/>
    <m/>
    <n v="0"/>
    <m/>
    <m/>
    <n v="0"/>
    <m/>
    <m/>
    <n v="0"/>
    <m/>
    <m/>
    <n v="0"/>
    <m/>
    <m/>
    <n v="0"/>
    <n v="0"/>
    <m/>
    <n v="0"/>
    <m/>
    <m/>
    <n v="0"/>
    <n v="9"/>
    <n v="39697.777777777781"/>
    <n v="292326.49599999998"/>
    <m/>
    <m/>
    <n v="0"/>
    <m/>
    <m/>
    <n v="0"/>
    <m/>
    <m/>
    <n v="0"/>
  </r>
  <r>
    <x v="7"/>
    <s v="Salisbury University "/>
    <n v="163851"/>
    <x v="3"/>
    <n v="79"/>
    <n v="83438.253164556969"/>
    <n v="6591622.0000000009"/>
    <n v="75"/>
    <n v="86211.36"/>
    <n v="6465852"/>
    <n v="98"/>
    <n v="65599.673469387752"/>
    <n v="6428768"/>
    <n v="99"/>
    <n v="68491.555555555562"/>
    <n v="6780664.0000000009"/>
    <n v="106"/>
    <n v="60248.330188679247"/>
    <n v="6386323"/>
    <n v="119"/>
    <n v="63674.89075630252"/>
    <n v="7577312"/>
    <n v="12"/>
    <n v="58835.666666666664"/>
    <n v="706028"/>
    <n v="8"/>
    <n v="56041.875"/>
    <n v="448335"/>
    <n v="66"/>
    <n v="43223.272727272728"/>
    <n v="2852736"/>
    <n v="73"/>
    <n v="43452.493150684932"/>
    <n v="3172032"/>
    <m/>
    <m/>
    <n v="0"/>
    <m/>
    <m/>
    <n v="0"/>
    <n v="1"/>
    <n v="99323"/>
    <n v="81266.078600000008"/>
    <n v="3"/>
    <n v="115033"/>
    <n v="282360.00180000003"/>
    <m/>
    <m/>
    <n v="0"/>
    <m/>
    <m/>
    <n v="0"/>
    <m/>
    <m/>
    <n v="0"/>
    <m/>
    <m/>
    <n v="0"/>
    <m/>
    <m/>
    <n v="0"/>
    <m/>
    <m/>
    <n v="0"/>
    <n v="1"/>
    <n v="52275"/>
    <n v="42771.404999999999"/>
    <n v="2"/>
    <n v="49188.5"/>
    <n v="80492.061400000006"/>
    <m/>
    <m/>
    <n v="0"/>
    <m/>
    <m/>
    <n v="0"/>
  </r>
  <r>
    <x v="7"/>
    <s v="University of Baltimore"/>
    <n v="161873"/>
    <x v="3"/>
    <n v="49"/>
    <n v="120897.91836734694"/>
    <n v="5923998"/>
    <n v="49"/>
    <n v="130355.40816326531"/>
    <n v="6387415"/>
    <n v="49"/>
    <n v="90436.469387755104"/>
    <n v="4431387"/>
    <n v="52"/>
    <n v="97601.403846153844"/>
    <n v="5075273"/>
    <n v="45"/>
    <n v="74361.088888888888"/>
    <n v="3346249"/>
    <n v="43"/>
    <n v="80003.860465116275"/>
    <n v="3440166"/>
    <n v="3"/>
    <n v="53758.333333333336"/>
    <n v="161275"/>
    <n v="4"/>
    <n v="63958.5"/>
    <n v="255834"/>
    <n v="5"/>
    <n v="61071.199999999997"/>
    <n v="305356"/>
    <n v="7"/>
    <n v="55755.285714285717"/>
    <n v="390287"/>
    <m/>
    <m/>
    <n v="0"/>
    <m/>
    <m/>
    <n v="0"/>
    <n v="7"/>
    <n v="120778.57142857143"/>
    <n v="691747.19000000006"/>
    <n v="7"/>
    <n v="127516.71428571429"/>
    <n v="730339.22940000007"/>
    <n v="3"/>
    <n v="127953"/>
    <n v="314073.4338"/>
    <n v="3"/>
    <n v="92914.666666666672"/>
    <n v="228068.34080000001"/>
    <n v="0"/>
    <n v="0"/>
    <n v="0"/>
    <m/>
    <m/>
    <n v="0"/>
    <n v="5"/>
    <n v="49435"/>
    <n v="202238.58500000002"/>
    <n v="5"/>
    <n v="51824"/>
    <n v="212011.984"/>
    <n v="0"/>
    <n v="0"/>
    <n v="0"/>
    <m/>
    <m/>
    <n v="0"/>
    <m/>
    <m/>
    <n v="0"/>
    <m/>
    <m/>
    <n v="0"/>
  </r>
  <r>
    <x v="7"/>
    <s v="University of Maryland Eastern Shore "/>
    <n v="163338"/>
    <x v="3"/>
    <n v="18"/>
    <n v="77706.611111111109"/>
    <n v="1398719"/>
    <n v="18"/>
    <n v="80848.222222222219"/>
    <n v="1455268"/>
    <n v="32"/>
    <n v="65254.25"/>
    <n v="2088136"/>
    <n v="38"/>
    <n v="67340.210526315786"/>
    <n v="2558928"/>
    <n v="31"/>
    <n v="60086.645161290326"/>
    <n v="1862686"/>
    <n v="28"/>
    <n v="63076.964285714283"/>
    <n v="1766155"/>
    <n v="1"/>
    <n v="65734"/>
    <n v="65734"/>
    <n v="2"/>
    <n v="61847.5"/>
    <n v="123695"/>
    <n v="50"/>
    <n v="48602.5"/>
    <n v="2430125"/>
    <n v="49"/>
    <n v="47735.530612244896"/>
    <n v="2339041"/>
    <m/>
    <m/>
    <n v="0"/>
    <m/>
    <m/>
    <n v="0"/>
    <n v="15"/>
    <n v="97474.4"/>
    <n v="1196303.3112000001"/>
    <n v="15"/>
    <n v="97566.933333333334"/>
    <n v="1197438.9728000001"/>
    <n v="9"/>
    <n v="93321.222222222219"/>
    <n v="687198.8162"/>
    <n v="10"/>
    <n v="94340"/>
    <n v="771889.88"/>
    <n v="3"/>
    <n v="63685.333333333336"/>
    <n v="156322.01920000001"/>
    <n v="2"/>
    <n v="67322"/>
    <n v="110165.72080000001"/>
    <n v="2"/>
    <n v="69951"/>
    <n v="114467.81640000001"/>
    <n v="2"/>
    <n v="73083.5"/>
    <n v="119593.83940000001"/>
    <n v="8"/>
    <n v="66526.5"/>
    <n v="435455.85840000003"/>
    <n v="9"/>
    <n v="68157.666666666672"/>
    <n v="501899.42580000003"/>
    <m/>
    <m/>
    <n v="0"/>
    <m/>
    <m/>
    <n v="0"/>
  </r>
  <r>
    <x v="7"/>
    <s v="Saint Mary's College of Maryland"/>
    <n v="163912"/>
    <x v="5"/>
    <n v="42"/>
    <n v="86541.309523809527"/>
    <n v="3634735"/>
    <n v="41"/>
    <n v="85009"/>
    <n v="3485369"/>
    <n v="38"/>
    <n v="63715.57894736842"/>
    <n v="2421192"/>
    <n v="43"/>
    <n v="65083.325581395351"/>
    <n v="2798583"/>
    <n v="58"/>
    <n v="51404.086206896551"/>
    <n v="2981437"/>
    <n v="61"/>
    <n v="52263.245901639348"/>
    <n v="3188058"/>
    <n v="14"/>
    <n v="43761.428571428572"/>
    <n v="612660"/>
    <n v="9"/>
    <n v="29489.444444444445"/>
    <n v="265405"/>
    <m/>
    <m/>
    <n v="0"/>
    <m/>
    <m/>
    <n v="0"/>
    <m/>
    <m/>
    <n v="0"/>
    <m/>
    <m/>
    <n v="0"/>
    <m/>
    <m/>
    <n v="0"/>
    <m/>
    <m/>
    <n v="0"/>
    <m/>
    <m/>
    <n v="0"/>
    <m/>
    <m/>
    <n v="0"/>
    <m/>
    <m/>
    <n v="0"/>
    <m/>
    <m/>
    <n v="0"/>
    <m/>
    <m/>
    <n v="0"/>
    <m/>
    <m/>
    <n v="0"/>
    <m/>
    <m/>
    <n v="0"/>
    <m/>
    <m/>
    <n v="0"/>
    <m/>
    <m/>
    <n v="0"/>
    <m/>
    <m/>
    <n v="0"/>
  </r>
  <r>
    <x v="7"/>
    <s v="Anne Arundel Community College "/>
    <n v="161767"/>
    <x v="6"/>
    <n v="69"/>
    <n v="84096.869565217392"/>
    <n v="5802684"/>
    <n v="71"/>
    <n v="71935.112676056335"/>
    <n v="5107393"/>
    <n v="83"/>
    <n v="65567.578313253005"/>
    <n v="5442108.9999999991"/>
    <n v="78"/>
    <n v="68062.717948717953"/>
    <n v="5308892"/>
    <n v="72"/>
    <n v="56342.916666666664"/>
    <n v="4056690"/>
    <n v="77"/>
    <n v="58877.870129870127"/>
    <n v="4533596"/>
    <n v="22"/>
    <n v="49546.545454545456"/>
    <n v="1090024"/>
    <n v="26"/>
    <n v="51649.115384615383"/>
    <n v="1342877"/>
    <n v="0"/>
    <n v="0"/>
    <n v="0"/>
    <m/>
    <m/>
    <n v="0"/>
    <m/>
    <m/>
    <n v="0"/>
    <m/>
    <m/>
    <n v="0"/>
    <n v="1"/>
    <n v="93220"/>
    <n v="76272.604000000007"/>
    <n v="1"/>
    <n v="113007"/>
    <n v="92462.327400000009"/>
    <n v="5"/>
    <n v="81091.600000000006"/>
    <n v="331745.73560000001"/>
    <n v="6"/>
    <n v="81190"/>
    <n v="398577.94800000003"/>
    <n v="5"/>
    <n v="63005.4"/>
    <n v="257755.0914"/>
    <n v="4"/>
    <n v="68475"/>
    <n v="224104.98"/>
    <n v="0"/>
    <n v="0"/>
    <n v="0"/>
    <m/>
    <m/>
    <n v="0"/>
    <n v="0"/>
    <n v="0"/>
    <n v="0"/>
    <m/>
    <m/>
    <n v="0"/>
    <m/>
    <m/>
    <n v="0"/>
    <m/>
    <m/>
    <n v="0"/>
  </r>
  <r>
    <x v="7"/>
    <s v="Community College of Baltimore County"/>
    <n v="434672"/>
    <x v="6"/>
    <n v="47"/>
    <n v="80157.382978723399"/>
    <n v="3767396.9999999995"/>
    <n v="49"/>
    <n v="80951.489795918373"/>
    <n v="3966623.0000000005"/>
    <n v="80"/>
    <n v="63742.462500000001"/>
    <n v="5099397"/>
    <n v="79"/>
    <n v="64412.405063291139"/>
    <n v="5088580"/>
    <n v="164"/>
    <n v="52329.92682926829"/>
    <n v="8582108"/>
    <n v="168"/>
    <n v="52977.654761904763"/>
    <n v="8900246"/>
    <n v="23"/>
    <n v="43128.869565217392"/>
    <n v="991964"/>
    <n v="28"/>
    <n v="43873.214285714283"/>
    <n v="1228450"/>
    <n v="0"/>
    <n v="0"/>
    <n v="0"/>
    <m/>
    <m/>
    <n v="0"/>
    <m/>
    <m/>
    <n v="0"/>
    <m/>
    <m/>
    <n v="0"/>
    <n v="14"/>
    <n v="94491.78571428571"/>
    <n v="1082384.507"/>
    <n v="13"/>
    <n v="97165.307692307688"/>
    <n v="1033508.5118000001"/>
    <n v="9"/>
    <n v="78121.444444444438"/>
    <n v="575270.69260000007"/>
    <n v="14"/>
    <n v="75105.357142857145"/>
    <n v="860316.84500000009"/>
    <n v="23"/>
    <n v="66637.34782608696"/>
    <n v="1254021.5938000001"/>
    <n v="21"/>
    <n v="67254.523809523816"/>
    <n v="1155580.6790000002"/>
    <n v="12"/>
    <n v="54034.833333333336"/>
    <n v="530535.60759999999"/>
    <n v="12"/>
    <n v="54225.333333333336"/>
    <n v="532406.01280000003"/>
    <n v="0"/>
    <n v="0"/>
    <n v="0"/>
    <m/>
    <m/>
    <n v="0"/>
    <m/>
    <m/>
    <n v="0"/>
    <m/>
    <m/>
    <n v="0"/>
  </r>
  <r>
    <x v="7"/>
    <s v="Montgomery College"/>
    <n v="163426"/>
    <x v="6"/>
    <n v="282"/>
    <n v="81825.390070921989"/>
    <n v="23074760"/>
    <n v="287"/>
    <n v="86354.86411149826"/>
    <n v="24783846"/>
    <n v="119"/>
    <n v="65139.756302521011"/>
    <n v="7751631"/>
    <n v="128"/>
    <n v="69198.6796875"/>
    <n v="8857431"/>
    <n v="91"/>
    <n v="56471.934065934067"/>
    <n v="5138946"/>
    <n v="92"/>
    <n v="60230.858695652176"/>
    <n v="5541239"/>
    <n v="7"/>
    <n v="48610.714285714283"/>
    <n v="340275"/>
    <n v="9"/>
    <n v="55324.444444444445"/>
    <n v="497920"/>
    <n v="0"/>
    <n v="0"/>
    <n v="0"/>
    <m/>
    <m/>
    <n v="0"/>
    <m/>
    <m/>
    <n v="0"/>
    <m/>
    <m/>
    <n v="0"/>
    <m/>
    <m/>
    <n v="0"/>
    <m/>
    <m/>
    <n v="0"/>
    <m/>
    <m/>
    <n v="0"/>
    <m/>
    <m/>
    <n v="0"/>
    <m/>
    <m/>
    <n v="0"/>
    <m/>
    <m/>
    <n v="0"/>
    <m/>
    <m/>
    <n v="0"/>
    <m/>
    <m/>
    <n v="0"/>
    <m/>
    <m/>
    <n v="0"/>
    <m/>
    <m/>
    <n v="0"/>
    <m/>
    <m/>
    <n v="0"/>
    <m/>
    <m/>
    <n v="0"/>
  </r>
  <r>
    <x v="7"/>
    <s v="Prince George's Community College "/>
    <n v="163657"/>
    <x v="6"/>
    <n v="86"/>
    <n v="68457.872093023252"/>
    <n v="5887377"/>
    <n v="77"/>
    <n v="70878.2987012987"/>
    <n v="5457629"/>
    <n v="106"/>
    <n v="55472.650943396227"/>
    <n v="5880101"/>
    <n v="105"/>
    <n v="56693.085714285713"/>
    <n v="5952774"/>
    <n v="33"/>
    <n v="46241.242424242424"/>
    <n v="1525961"/>
    <n v="33"/>
    <n v="47306.272727272728"/>
    <n v="1561107"/>
    <n v="2"/>
    <n v="40211"/>
    <n v="80422"/>
    <n v="0"/>
    <m/>
    <n v="0"/>
    <n v="0"/>
    <n v="0"/>
    <n v="0"/>
    <m/>
    <m/>
    <n v="0"/>
    <m/>
    <m/>
    <n v="0"/>
    <m/>
    <m/>
    <n v="0"/>
    <n v="3"/>
    <n v="96288"/>
    <n v="236348.52480000001"/>
    <n v="3"/>
    <n v="93050.666666666672"/>
    <n v="228402.16640000002"/>
    <n v="6"/>
    <n v="63980.666666666664"/>
    <n v="314093.88880000002"/>
    <n v="3"/>
    <n v="69765.333333333328"/>
    <n v="171245.9872"/>
    <n v="2"/>
    <n v="58075"/>
    <n v="95033.930000000008"/>
    <m/>
    <m/>
    <n v="0"/>
    <n v="0"/>
    <n v="0"/>
    <n v="0"/>
    <n v="1"/>
    <n v="45910"/>
    <n v="37563.562000000005"/>
    <n v="0"/>
    <n v="0"/>
    <n v="0"/>
    <m/>
    <m/>
    <n v="0"/>
    <m/>
    <m/>
    <n v="0"/>
    <m/>
    <m/>
    <n v="0"/>
  </r>
  <r>
    <x v="7"/>
    <s v="Allegany College of Maryland"/>
    <n v="161688"/>
    <x v="7"/>
    <n v="31"/>
    <n v="61443.387096774197"/>
    <n v="1904745"/>
    <n v="28"/>
    <n v="62714"/>
    <n v="1755992"/>
    <n v="24"/>
    <n v="47794.291666666664"/>
    <n v="1147063"/>
    <n v="23"/>
    <n v="48533.739130434784"/>
    <n v="1116276"/>
    <n v="23"/>
    <n v="40443.869565217392"/>
    <n v="930209"/>
    <n v="25"/>
    <n v="41802.199999999997"/>
    <n v="1045054.9999999999"/>
    <n v="6"/>
    <n v="35930.833333333336"/>
    <n v="215585"/>
    <n v="4"/>
    <n v="37458.75"/>
    <n v="149835"/>
    <n v="0"/>
    <n v="0"/>
    <n v="0"/>
    <m/>
    <m/>
    <n v="0"/>
    <m/>
    <m/>
    <n v="0"/>
    <m/>
    <m/>
    <n v="0"/>
    <n v="9"/>
    <n v="75904.111111111109"/>
    <n v="558942.69339999999"/>
    <n v="9"/>
    <n v="75638.222222222219"/>
    <n v="556984.74080000003"/>
    <n v="6"/>
    <n v="57935.666666666664"/>
    <n v="284417.77480000001"/>
    <n v="6"/>
    <n v="61013"/>
    <n v="299525.0196"/>
    <n v="9"/>
    <n v="53469.222222222219"/>
    <n v="393736.65860000002"/>
    <n v="10"/>
    <n v="55351.199999999997"/>
    <n v="452883.5184"/>
    <n v="6"/>
    <n v="45165.333333333336"/>
    <n v="221725.6544"/>
    <n v="6"/>
    <n v="48060"/>
    <n v="235936.152"/>
    <n v="0"/>
    <n v="0"/>
    <n v="0"/>
    <m/>
    <m/>
    <n v="0"/>
    <m/>
    <m/>
    <n v="0"/>
    <m/>
    <m/>
    <n v="0"/>
  </r>
  <r>
    <x v="7"/>
    <s v="Baltimore City Community College"/>
    <n v="161864"/>
    <x v="7"/>
    <n v="28"/>
    <n v="74016.928571428565"/>
    <n v="2072473.9999999998"/>
    <n v="24"/>
    <n v="77072.041666666672"/>
    <n v="1849729"/>
    <n v="24"/>
    <n v="60479.875"/>
    <n v="1451517"/>
    <n v="26"/>
    <n v="62574.5"/>
    <n v="1626937"/>
    <n v="77"/>
    <n v="53045.415584415583"/>
    <n v="4084497"/>
    <n v="76"/>
    <n v="54798.184210526313"/>
    <n v="4164662"/>
    <n v="7"/>
    <n v="46280.285714285717"/>
    <n v="323962"/>
    <n v="6"/>
    <n v="44640.333333333336"/>
    <n v="267842"/>
    <n v="0"/>
    <n v="0"/>
    <n v="0"/>
    <n v="1"/>
    <n v="78999"/>
    <n v="78999"/>
    <m/>
    <m/>
    <n v="0"/>
    <m/>
    <m/>
    <n v="0"/>
    <m/>
    <m/>
    <n v="0"/>
    <m/>
    <m/>
    <n v="0"/>
    <m/>
    <m/>
    <n v="0"/>
    <m/>
    <m/>
    <n v="0"/>
    <m/>
    <m/>
    <n v="0"/>
    <m/>
    <m/>
    <n v="0"/>
    <m/>
    <m/>
    <n v="0"/>
    <m/>
    <m/>
    <n v="0"/>
    <m/>
    <m/>
    <n v="0"/>
    <m/>
    <m/>
    <n v="0"/>
    <m/>
    <m/>
    <n v="0"/>
    <m/>
    <m/>
    <n v="0"/>
  </r>
  <r>
    <x v="7"/>
    <s v="College of Southern Maryland (formerly Charles County CC)"/>
    <n v="162122"/>
    <x v="7"/>
    <n v="64"/>
    <n v="80789.515625"/>
    <n v="5170529"/>
    <n v="68"/>
    <n v="81072.294117647063"/>
    <n v="5512916"/>
    <n v="13"/>
    <n v="64789.846153846156"/>
    <n v="842268"/>
    <n v="12"/>
    <n v="63351.333333333336"/>
    <n v="760216"/>
    <n v="20"/>
    <n v="60440.55"/>
    <n v="1208811"/>
    <n v="13"/>
    <n v="60383"/>
    <n v="784979"/>
    <n v="3"/>
    <n v="46183"/>
    <n v="138549"/>
    <n v="4"/>
    <n v="46856.5"/>
    <n v="187426"/>
    <n v="0"/>
    <n v="0"/>
    <n v="0"/>
    <m/>
    <m/>
    <n v="0"/>
    <m/>
    <m/>
    <n v="0"/>
    <m/>
    <m/>
    <n v="0"/>
    <n v="19"/>
    <n v="99701"/>
    <n v="1549931.8058"/>
    <n v="17"/>
    <n v="101533.05882352941"/>
    <n v="1412263.9284000001"/>
    <n v="3"/>
    <n v="69755.666666666672"/>
    <n v="171222.25940000001"/>
    <n v="4"/>
    <n v="74618.75"/>
    <n v="244212.24500000002"/>
    <n v="5"/>
    <n v="70286"/>
    <n v="287540.02600000001"/>
    <n v="1"/>
    <n v="68453"/>
    <n v="56008.244600000005"/>
    <n v="0"/>
    <n v="0"/>
    <n v="0"/>
    <m/>
    <m/>
    <n v="0"/>
    <n v="0"/>
    <n v="0"/>
    <n v="0"/>
    <m/>
    <m/>
    <n v="0"/>
    <m/>
    <m/>
    <n v="0"/>
    <m/>
    <m/>
    <n v="0"/>
  </r>
  <r>
    <x v="7"/>
    <s v="Frederick Community College "/>
    <n v="162557"/>
    <x v="7"/>
    <n v="21"/>
    <n v="79087.761904761908"/>
    <n v="1660843"/>
    <n v="21"/>
    <n v="80313.428571428565"/>
    <n v="1686581.9999999998"/>
    <n v="20"/>
    <n v="69899.3"/>
    <n v="1397986"/>
    <n v="23"/>
    <n v="68943.260869565216"/>
    <n v="1585695"/>
    <n v="42"/>
    <n v="56534.071428571428"/>
    <n v="2374431"/>
    <n v="43"/>
    <n v="52483.953488372092"/>
    <n v="2256810"/>
    <n v="0"/>
    <n v="0"/>
    <n v="0"/>
    <m/>
    <m/>
    <n v="0"/>
    <n v="0"/>
    <n v="0"/>
    <n v="0"/>
    <m/>
    <m/>
    <n v="0"/>
    <m/>
    <m/>
    <n v="0"/>
    <m/>
    <m/>
    <n v="0"/>
    <n v="2"/>
    <n v="98846.5"/>
    <n v="161752.41260000001"/>
    <n v="3"/>
    <n v="99277"/>
    <n v="243685.3242"/>
    <n v="2"/>
    <n v="88737.5"/>
    <n v="145210.04500000001"/>
    <n v="1"/>
    <n v="90037"/>
    <n v="73668.273400000005"/>
    <n v="1"/>
    <n v="63094"/>
    <n v="51623.510800000004"/>
    <n v="1"/>
    <n v="66293"/>
    <n v="54240.9326"/>
    <n v="0"/>
    <n v="0"/>
    <n v="0"/>
    <m/>
    <m/>
    <n v="0"/>
    <n v="0"/>
    <n v="0"/>
    <n v="0"/>
    <m/>
    <m/>
    <n v="0"/>
    <m/>
    <m/>
    <n v="0"/>
    <m/>
    <m/>
    <n v="0"/>
  </r>
  <r>
    <x v="7"/>
    <s v="Hagerstown Community College "/>
    <n v="162690"/>
    <x v="7"/>
    <n v="15"/>
    <n v="71079.733333333337"/>
    <n v="1066196"/>
    <n v="13"/>
    <n v="74538.923076923078"/>
    <n v="969006"/>
    <n v="6"/>
    <n v="56361.833333333336"/>
    <n v="338171"/>
    <n v="6"/>
    <n v="59410.166666666664"/>
    <n v="356461"/>
    <n v="19"/>
    <n v="48898.315789473687"/>
    <n v="929068"/>
    <n v="25"/>
    <n v="51418"/>
    <n v="1285450"/>
    <n v="18"/>
    <n v="46257.333333333336"/>
    <n v="832632"/>
    <n v="15"/>
    <n v="46986.533333333333"/>
    <n v="704798"/>
    <n v="0"/>
    <n v="0"/>
    <n v="0"/>
    <m/>
    <m/>
    <n v="0"/>
    <m/>
    <m/>
    <n v="0"/>
    <m/>
    <m/>
    <n v="0"/>
    <n v="4"/>
    <n v="86875.25"/>
    <n v="284325.31820000004"/>
    <n v="4"/>
    <n v="84257.25"/>
    <n v="275757.12780000002"/>
    <n v="1"/>
    <n v="57074"/>
    <n v="46697.946800000005"/>
    <n v="1"/>
    <n v="60673"/>
    <n v="49642.6486"/>
    <n v="2"/>
    <n v="54486.5"/>
    <n v="89161.708599999998"/>
    <n v="2"/>
    <n v="57405.5"/>
    <n v="93938.36020000001"/>
    <n v="7"/>
    <n v="50143.428571428572"/>
    <n v="287191.47279999999"/>
    <n v="5"/>
    <n v="52696.4"/>
    <n v="215580.9724"/>
    <n v="0"/>
    <n v="0"/>
    <n v="0"/>
    <m/>
    <m/>
    <n v="0"/>
    <m/>
    <m/>
    <n v="0"/>
    <m/>
    <m/>
    <n v="0"/>
  </r>
  <r>
    <x v="7"/>
    <s v="Harford Community College "/>
    <n v="162706"/>
    <x v="7"/>
    <n v="16"/>
    <n v="80480.25"/>
    <n v="1287684"/>
    <n v="17"/>
    <n v="83520.176470588238"/>
    <n v="1419843"/>
    <n v="20"/>
    <n v="67334.45"/>
    <n v="1346689"/>
    <n v="20"/>
    <n v="67531.3"/>
    <n v="1350626"/>
    <n v="20"/>
    <n v="53538.8"/>
    <n v="1070776"/>
    <n v="21"/>
    <n v="54621.142857142855"/>
    <n v="1147044"/>
    <n v="41"/>
    <n v="44690.609756097561"/>
    <n v="1832315"/>
    <n v="2"/>
    <n v="49523"/>
    <n v="99046"/>
    <n v="0"/>
    <n v="0"/>
    <n v="0"/>
    <m/>
    <m/>
    <n v="0"/>
    <m/>
    <m/>
    <n v="0"/>
    <m/>
    <m/>
    <n v="0"/>
    <n v="0"/>
    <n v="0"/>
    <n v="0"/>
    <m/>
    <m/>
    <n v="0"/>
    <n v="1"/>
    <n v="85759"/>
    <n v="70168.013800000001"/>
    <n v="1"/>
    <n v="88332"/>
    <n v="72273.242400000003"/>
    <n v="2"/>
    <n v="78097"/>
    <n v="127797.9308"/>
    <m/>
    <m/>
    <n v="0"/>
    <n v="0"/>
    <n v="0"/>
    <n v="0"/>
    <m/>
    <m/>
    <n v="0"/>
    <n v="0"/>
    <n v="0"/>
    <n v="0"/>
    <n v="1"/>
    <n v="52000"/>
    <n v="42546.400000000001"/>
    <m/>
    <m/>
    <n v="0"/>
    <m/>
    <m/>
    <n v="0"/>
  </r>
  <r>
    <x v="7"/>
    <s v="Howard Community College "/>
    <n v="162779"/>
    <x v="7"/>
    <n v="30"/>
    <n v="80234.366666666669"/>
    <n v="2407031"/>
    <n v="29"/>
    <n v="83652.758620689652"/>
    <n v="2425930"/>
    <n v="27"/>
    <n v="66190.703703703708"/>
    <n v="1787149"/>
    <n v="28"/>
    <n v="68111.178571428565"/>
    <n v="1907112.9999999998"/>
    <n v="38"/>
    <n v="55520.289473684214"/>
    <n v="2109771"/>
    <n v="39"/>
    <n v="58505.615384615383"/>
    <n v="2281719"/>
    <n v="22"/>
    <n v="49757.727272727272"/>
    <n v="1094670"/>
    <n v="24"/>
    <n v="51678.458333333336"/>
    <n v="1240283"/>
    <n v="1"/>
    <n v="49249"/>
    <n v="49249"/>
    <n v="1"/>
    <n v="51980"/>
    <n v="51980"/>
    <m/>
    <m/>
    <n v="0"/>
    <m/>
    <m/>
    <n v="0"/>
    <n v="14"/>
    <n v="99987.5"/>
    <n v="1145336.8149999999"/>
    <n v="15"/>
    <n v="101956.8"/>
    <n v="1251315.8064000001"/>
    <n v="4"/>
    <n v="79830.5"/>
    <n v="261269.2604"/>
    <n v="5"/>
    <n v="86388.2"/>
    <n v="353414.1262"/>
    <n v="3"/>
    <n v="72098.666666666672"/>
    <n v="176973.3872"/>
    <n v="5"/>
    <n v="73537.2"/>
    <n v="300840.68520000001"/>
    <n v="1"/>
    <n v="57746"/>
    <n v="47247.777200000004"/>
    <n v="1"/>
    <n v="72461"/>
    <n v="59287.590200000006"/>
    <n v="1"/>
    <n v="50442"/>
    <n v="41271.644400000005"/>
    <n v="1"/>
    <n v="53424"/>
    <n v="43711.516800000005"/>
    <m/>
    <m/>
    <n v="0"/>
    <m/>
    <m/>
    <n v="0"/>
  </r>
  <r>
    <x v="7"/>
    <s v="Carroll Community College"/>
    <n v="405872"/>
    <x v="8"/>
    <n v="5"/>
    <n v="69472.800000000003"/>
    <n v="347364"/>
    <n v="6"/>
    <n v="70012"/>
    <n v="420072"/>
    <n v="16"/>
    <n v="56985.1875"/>
    <n v="911763"/>
    <n v="16"/>
    <n v="62048.25"/>
    <n v="992772"/>
    <n v="25"/>
    <n v="50972.800000000003"/>
    <n v="1274320"/>
    <n v="27"/>
    <n v="52786.777777777781"/>
    <n v="1425243"/>
    <n v="7"/>
    <n v="39609.142857142855"/>
    <n v="277264"/>
    <n v="12"/>
    <n v="41382"/>
    <n v="496584"/>
    <n v="0"/>
    <n v="0"/>
    <n v="0"/>
    <m/>
    <m/>
    <n v="0"/>
    <m/>
    <m/>
    <n v="0"/>
    <m/>
    <m/>
    <n v="0"/>
    <n v="2"/>
    <n v="86737.5"/>
    <n v="141937.245"/>
    <n v="3"/>
    <n v="90214.666666666672"/>
    <n v="221440.92080000002"/>
    <n v="3"/>
    <n v="80348.333333333328"/>
    <n v="197223.019"/>
    <n v="1"/>
    <n v="86140"/>
    <n v="70479.748000000007"/>
    <n v="2"/>
    <n v="54135.5"/>
    <n v="88587.332200000004"/>
    <n v="2"/>
    <n v="57284.5"/>
    <n v="93740.355800000005"/>
    <n v="1"/>
    <n v="48000"/>
    <n v="39273.599999999999"/>
    <n v="1"/>
    <n v="50823"/>
    <n v="41583.378600000004"/>
    <n v="0"/>
    <n v="0"/>
    <n v="0"/>
    <m/>
    <m/>
    <n v="0"/>
    <m/>
    <m/>
    <n v="0"/>
    <m/>
    <m/>
    <n v="0"/>
  </r>
  <r>
    <x v="7"/>
    <s v="Cecil Community College "/>
    <n v="162104"/>
    <x v="8"/>
    <n v="12"/>
    <n v="72723.916666666672"/>
    <n v="872687"/>
    <n v="11"/>
    <n v="75419.090909090912"/>
    <n v="829610"/>
    <n v="11"/>
    <n v="62143.181818181816"/>
    <n v="683575"/>
    <n v="12"/>
    <n v="63694.583333333336"/>
    <n v="764335"/>
    <n v="15"/>
    <n v="49026.133333333331"/>
    <n v="735392"/>
    <n v="15"/>
    <n v="51261.533333333333"/>
    <n v="768923"/>
    <n v="2"/>
    <n v="43572.5"/>
    <n v="87145"/>
    <n v="3"/>
    <n v="45431"/>
    <n v="136293"/>
    <n v="0"/>
    <n v="0"/>
    <n v="0"/>
    <m/>
    <m/>
    <n v="0"/>
    <m/>
    <m/>
    <n v="0"/>
    <m/>
    <m/>
    <n v="0"/>
    <n v="1"/>
    <n v="78202"/>
    <n v="63984.876400000001"/>
    <n v="1"/>
    <n v="80548"/>
    <n v="65904.373600000006"/>
    <n v="1"/>
    <n v="70380"/>
    <n v="57584.916000000005"/>
    <n v="1"/>
    <n v="74160"/>
    <n v="60677.712"/>
    <n v="0"/>
    <n v="0"/>
    <n v="0"/>
    <m/>
    <m/>
    <n v="0"/>
    <n v="2"/>
    <n v="52111"/>
    <n v="85274.440400000007"/>
    <n v="2"/>
    <n v="53674"/>
    <n v="87832.133600000001"/>
    <n v="0"/>
    <n v="0"/>
    <n v="0"/>
    <m/>
    <m/>
    <n v="0"/>
    <m/>
    <m/>
    <n v="0"/>
    <m/>
    <m/>
    <n v="0"/>
  </r>
  <r>
    <x v="7"/>
    <s v="Chesapeake College "/>
    <n v="162168"/>
    <x v="8"/>
    <n v="11"/>
    <n v="74582.818181818177"/>
    <n v="820411"/>
    <n v="12"/>
    <n v="74413.333333333328"/>
    <n v="892960"/>
    <n v="21"/>
    <n v="65090.428571428572"/>
    <n v="1366899"/>
    <n v="18"/>
    <n v="67883.388888888891"/>
    <n v="1221901"/>
    <n v="11"/>
    <n v="55558.63636363636"/>
    <n v="611145"/>
    <n v="13"/>
    <n v="57153.384615384617"/>
    <n v="742994"/>
    <n v="5"/>
    <n v="51726.6"/>
    <n v="258633"/>
    <n v="7"/>
    <n v="53671.142857142855"/>
    <n v="375698"/>
    <n v="2"/>
    <n v="42323"/>
    <n v="84646"/>
    <n v="1"/>
    <n v="35849"/>
    <n v="35849"/>
    <m/>
    <m/>
    <n v="0"/>
    <m/>
    <m/>
    <n v="0"/>
    <n v="2"/>
    <n v="91453.5"/>
    <n v="149654.5074"/>
    <n v="2"/>
    <n v="93753.5"/>
    <n v="153418.2274"/>
    <n v="1"/>
    <n v="69778"/>
    <n v="57092.359600000003"/>
    <n v="1"/>
    <n v="71872"/>
    <n v="58805.670400000003"/>
    <n v="1"/>
    <n v="79595"/>
    <n v="65124.629000000001"/>
    <n v="2"/>
    <n v="77615"/>
    <n v="127009.186"/>
    <n v="2"/>
    <n v="58439.5"/>
    <n v="95630.397800000006"/>
    <n v="1"/>
    <n v="50077"/>
    <n v="40973.001400000001"/>
    <n v="0"/>
    <n v="0"/>
    <n v="0"/>
    <m/>
    <m/>
    <n v="0"/>
    <m/>
    <m/>
    <n v="0"/>
    <m/>
    <m/>
    <n v="0"/>
  </r>
  <r>
    <x v="7"/>
    <s v="Garrett College "/>
    <n v="162609"/>
    <x v="8"/>
    <n v="12"/>
    <n v="57442.333333333336"/>
    <n v="689308"/>
    <n v="12"/>
    <n v="64792"/>
    <n v="777504"/>
    <n v="4"/>
    <n v="49532.75"/>
    <n v="198131"/>
    <n v="4"/>
    <n v="53165"/>
    <n v="212660"/>
    <n v="1"/>
    <n v="46568"/>
    <n v="46568"/>
    <n v="1"/>
    <n v="50018"/>
    <n v="50018"/>
    <n v="0"/>
    <n v="0"/>
    <n v="0"/>
    <m/>
    <m/>
    <n v="0"/>
    <n v="0"/>
    <n v="0"/>
    <n v="0"/>
    <m/>
    <m/>
    <n v="0"/>
    <m/>
    <m/>
    <n v="0"/>
    <m/>
    <m/>
    <n v="0"/>
    <m/>
    <m/>
    <n v="0"/>
    <m/>
    <m/>
    <n v="0"/>
    <m/>
    <m/>
    <n v="0"/>
    <m/>
    <m/>
    <n v="0"/>
    <m/>
    <m/>
    <n v="0"/>
    <m/>
    <m/>
    <n v="0"/>
    <m/>
    <m/>
    <n v="0"/>
    <m/>
    <m/>
    <n v="0"/>
    <m/>
    <m/>
    <n v="0"/>
    <m/>
    <m/>
    <n v="0"/>
    <m/>
    <m/>
    <n v="0"/>
    <m/>
    <m/>
    <n v="0"/>
  </r>
  <r>
    <x v="7"/>
    <s v="Wor-Wic Community College "/>
    <n v="164313"/>
    <x v="8"/>
    <n v="6"/>
    <n v="80958.5"/>
    <n v="485751"/>
    <n v="6"/>
    <n v="82010.833333333328"/>
    <n v="492065"/>
    <n v="7"/>
    <n v="63674.571428571428"/>
    <n v="445722"/>
    <n v="6"/>
    <n v="64024.666666666664"/>
    <n v="384148"/>
    <n v="15"/>
    <n v="55102.73333333333"/>
    <n v="826541"/>
    <n v="17"/>
    <n v="55531.705882352944"/>
    <n v="944039"/>
    <n v="20"/>
    <n v="44953.4"/>
    <n v="899068"/>
    <n v="21"/>
    <n v="46857.952380952382"/>
    <n v="984017"/>
    <n v="0"/>
    <n v="0"/>
    <n v="0"/>
    <m/>
    <m/>
    <n v="0"/>
    <m/>
    <m/>
    <n v="0"/>
    <m/>
    <m/>
    <n v="0"/>
    <n v="3"/>
    <n v="85099"/>
    <n v="208884.00540000002"/>
    <n v="4"/>
    <n v="88738.5"/>
    <n v="290423.3628"/>
    <n v="5"/>
    <n v="78041.600000000006"/>
    <n v="319268.18560000003"/>
    <n v="4"/>
    <n v="80042.5"/>
    <n v="261963.09400000001"/>
    <n v="1"/>
    <n v="70000"/>
    <n v="57274"/>
    <n v="3"/>
    <n v="65187"/>
    <n v="160008.01020000002"/>
    <n v="5"/>
    <n v="55271.8"/>
    <n v="226116.9338"/>
    <n v="6"/>
    <n v="58445.666666666664"/>
    <n v="286921.46679999999"/>
    <n v="0"/>
    <n v="0"/>
    <n v="0"/>
    <m/>
    <m/>
    <n v="0"/>
    <m/>
    <m/>
    <n v="0"/>
    <m/>
    <m/>
    <n v="0"/>
  </r>
  <r>
    <x v="8"/>
    <s v="Mississippi State University"/>
    <n v="176080"/>
    <x v="0"/>
    <n v="132"/>
    <n v="90423"/>
    <n v="11935836"/>
    <n v="119"/>
    <n v="91360.571428571435"/>
    <n v="10871908"/>
    <n v="127"/>
    <n v="70074"/>
    <n v="8899398"/>
    <n v="136"/>
    <n v="70087.257352941175"/>
    <n v="9531867"/>
    <n v="208"/>
    <n v="61512"/>
    <n v="12794496"/>
    <n v="228"/>
    <n v="61286.438596491229"/>
    <n v="13973308"/>
    <n v="93"/>
    <n v="39135"/>
    <n v="3639555"/>
    <n v="106"/>
    <n v="39581.811320754714"/>
    <n v="4195672"/>
    <n v="44"/>
    <n v="31394"/>
    <n v="1381336"/>
    <n v="46"/>
    <n v="29297.82608695652"/>
    <n v="1347700"/>
    <m/>
    <m/>
    <n v="0"/>
    <m/>
    <m/>
    <n v="0"/>
    <n v="117"/>
    <n v="114786"/>
    <n v="10988394.908400001"/>
    <n v="117"/>
    <n v="114982.47008547008"/>
    <n v="11007202.8718"/>
    <n v="60"/>
    <n v="87711"/>
    <n v="4305908.4120000005"/>
    <n v="54"/>
    <n v="85724.037037037036"/>
    <n v="3787527.9836000004"/>
    <n v="35"/>
    <n v="76994"/>
    <n v="2204877.1780000003"/>
    <n v="35"/>
    <n v="80208.771428571432"/>
    <n v="2296938.5874000001"/>
    <n v="8"/>
    <n v="51834"/>
    <n v="339284.63040000002"/>
    <n v="13"/>
    <n v="53498.923076923078"/>
    <n v="569046.64520000003"/>
    <n v="0"/>
    <n v="0"/>
    <n v="0"/>
    <m/>
    <m/>
    <n v="0"/>
    <m/>
    <m/>
    <n v="0"/>
    <m/>
    <m/>
    <n v="0"/>
  </r>
  <r>
    <x v="8"/>
    <s v="University of Southern Mississippi"/>
    <n v="176372"/>
    <x v="0"/>
    <n v="131"/>
    <n v="85499"/>
    <n v="11200369"/>
    <n v="124"/>
    <n v="84161.862903225803"/>
    <n v="10436071"/>
    <n v="121"/>
    <n v="64584"/>
    <n v="7814664"/>
    <n v="129"/>
    <n v="65539.162790697679"/>
    <n v="8454552"/>
    <n v="254"/>
    <n v="54770"/>
    <n v="13911580"/>
    <n v="270"/>
    <n v="55285.703703703701"/>
    <n v="14927140"/>
    <n v="129"/>
    <n v="44034"/>
    <n v="5680386"/>
    <n v="137"/>
    <n v="44850.810218978106"/>
    <n v="6144561.0000000009"/>
    <n v="3"/>
    <n v="52180"/>
    <n v="156540"/>
    <n v="2"/>
    <n v="51380.5"/>
    <n v="102761"/>
    <m/>
    <m/>
    <n v="0"/>
    <m/>
    <m/>
    <n v="0"/>
    <n v="27"/>
    <n v="103668"/>
    <n v="2290171.2552"/>
    <n v="31"/>
    <n v="103133.90322580645"/>
    <n v="2615908.9482"/>
    <n v="28"/>
    <n v="90286"/>
    <n v="2068416.1456000002"/>
    <n v="27"/>
    <n v="88525.111111111109"/>
    <n v="1955643.6396000001"/>
    <n v="10"/>
    <n v="88579"/>
    <n v="724753.37800000003"/>
    <n v="7"/>
    <n v="85840.71428571429"/>
    <n v="491644.10700000002"/>
    <n v="15"/>
    <n v="49659"/>
    <n v="609464.90700000001"/>
    <n v="15"/>
    <n v="41830.466666666667"/>
    <n v="513385.3174"/>
    <n v="2"/>
    <n v="55825"/>
    <n v="91352.03"/>
    <n v="1"/>
    <n v="55650"/>
    <n v="45532.83"/>
    <m/>
    <m/>
    <n v="0"/>
    <m/>
    <m/>
    <n v="0"/>
  </r>
  <r>
    <x v="8"/>
    <s v="Jackson State University "/>
    <n v="175856"/>
    <x v="1"/>
    <n v="37"/>
    <n v="67030"/>
    <n v="2480110"/>
    <n v="33"/>
    <n v="69929.060606060608"/>
    <n v="2307659"/>
    <n v="69"/>
    <n v="60871"/>
    <n v="4200099"/>
    <n v="67"/>
    <n v="60368.328358208957"/>
    <n v="4044678"/>
    <n v="142"/>
    <n v="54645"/>
    <n v="7759590"/>
    <n v="134"/>
    <n v="55867.985074626864"/>
    <n v="7486310"/>
    <n v="60"/>
    <n v="38695"/>
    <n v="2321700"/>
    <n v="58"/>
    <n v="39366.862068965514"/>
    <n v="2283278"/>
    <n v="0"/>
    <n v="0"/>
    <n v="0"/>
    <m/>
    <n v="7000"/>
    <n v="0"/>
    <m/>
    <m/>
    <n v="0"/>
    <m/>
    <m/>
    <n v="0"/>
    <n v="25"/>
    <n v="94960"/>
    <n v="1942406.8"/>
    <n v="25"/>
    <n v="96325.88"/>
    <n v="1970345.8754"/>
    <n v="30"/>
    <n v="79909"/>
    <n v="1961446.314"/>
    <n v="22"/>
    <n v="79909.045454545456"/>
    <n v="1438394.7818"/>
    <n v="14"/>
    <n v="64302"/>
    <n v="736566.54960000003"/>
    <n v="4"/>
    <n v="68187.25"/>
    <n v="223163.23180000001"/>
    <n v="7"/>
    <n v="46075"/>
    <n v="263889.95500000002"/>
    <n v="1"/>
    <n v="68681"/>
    <n v="56194.794200000004"/>
    <n v="0"/>
    <n v="0"/>
    <n v="0"/>
    <m/>
    <m/>
    <n v="0"/>
    <m/>
    <m/>
    <n v="0"/>
    <m/>
    <m/>
    <n v="0"/>
  </r>
  <r>
    <x v="8"/>
    <s v="University of Mississippi"/>
    <n v="176017"/>
    <x v="1"/>
    <n v="109"/>
    <n v="100929"/>
    <n v="11001261"/>
    <n v="105"/>
    <n v="104642.66666666667"/>
    <n v="10987480"/>
    <n v="141"/>
    <n v="74897"/>
    <n v="10560477"/>
    <n v="157"/>
    <n v="75827.248407643317"/>
    <n v="11904878"/>
    <n v="179"/>
    <n v="60684"/>
    <n v="10862436"/>
    <n v="197"/>
    <n v="61052.492385786805"/>
    <n v="12027341"/>
    <n v="91"/>
    <n v="31652"/>
    <n v="2880332"/>
    <n v="96"/>
    <n v="34708.875"/>
    <n v="3332052"/>
    <n v="3"/>
    <n v="56200"/>
    <n v="168600"/>
    <n v="8"/>
    <n v="44927.25"/>
    <n v="359418"/>
    <m/>
    <m/>
    <n v="0"/>
    <m/>
    <m/>
    <n v="0"/>
    <n v="48"/>
    <n v="120751"/>
    <n v="4742326.4736000001"/>
    <n v="52"/>
    <n v="126088.76923076923"/>
    <n v="5364623.2111999998"/>
    <n v="36"/>
    <n v="97778"/>
    <n v="2880070.5456000003"/>
    <n v="35"/>
    <n v="101851.65714285715"/>
    <n v="2916725.9056000002"/>
    <n v="33"/>
    <n v="78265"/>
    <n v="2113201.9590000003"/>
    <n v="37"/>
    <n v="78996.135135135133"/>
    <n v="2391481.5974000003"/>
    <n v="11"/>
    <n v="53927"/>
    <n v="485353.78540000005"/>
    <n v="13"/>
    <n v="59287.615384615383"/>
    <n v="630618.64980000001"/>
    <n v="2"/>
    <n v="56466"/>
    <n v="92400.962400000004"/>
    <n v="2"/>
    <n v="57650"/>
    <n v="94338.46"/>
    <m/>
    <m/>
    <n v="0"/>
    <m/>
    <m/>
    <n v="0"/>
  </r>
  <r>
    <x v="8"/>
    <s v="Alcorn State University"/>
    <n v="175342"/>
    <x v="3"/>
    <n v="34"/>
    <n v="65472"/>
    <n v="2226048"/>
    <n v="30"/>
    <n v="63569.23333333333"/>
    <n v="1907077"/>
    <n v="35"/>
    <n v="58270"/>
    <n v="2039450"/>
    <n v="34"/>
    <n v="57414.970588235294"/>
    <n v="1952109"/>
    <n v="36"/>
    <n v="52943"/>
    <n v="1905948"/>
    <n v="45"/>
    <n v="54462.911111111112"/>
    <n v="2450831"/>
    <n v="35"/>
    <n v="38654"/>
    <n v="1352890"/>
    <n v="40"/>
    <n v="37543.025000000001"/>
    <n v="1501721"/>
    <n v="0"/>
    <n v="0"/>
    <n v="0"/>
    <m/>
    <m/>
    <n v="0"/>
    <m/>
    <m/>
    <n v="0"/>
    <m/>
    <m/>
    <n v="0"/>
    <n v="6"/>
    <n v="95204"/>
    <n v="467375.4768"/>
    <n v="6"/>
    <n v="98473.166666666672"/>
    <n v="483424.46980000002"/>
    <n v="3"/>
    <n v="85265"/>
    <n v="209291.46900000001"/>
    <n v="4"/>
    <n v="87390.25"/>
    <n v="286010.81020000001"/>
    <n v="6"/>
    <n v="67168"/>
    <n v="329741.14559999999"/>
    <n v="8"/>
    <n v="67839.625"/>
    <n v="444051.04940000002"/>
    <n v="18"/>
    <n v="50539"/>
    <n v="744318.1764"/>
    <n v="8"/>
    <n v="47539.75"/>
    <n v="311176.1876"/>
    <n v="0"/>
    <n v="0"/>
    <n v="0"/>
    <m/>
    <m/>
    <n v="0"/>
    <m/>
    <m/>
    <n v="0"/>
    <m/>
    <m/>
    <n v="0"/>
  </r>
  <r>
    <x v="8"/>
    <s v="Delta State University"/>
    <n v="175616"/>
    <x v="3"/>
    <n v="30"/>
    <n v="62357"/>
    <n v="1870710"/>
    <n v="29"/>
    <n v="62376.34482758621"/>
    <n v="1808914"/>
    <n v="19"/>
    <n v="57992"/>
    <n v="1101848"/>
    <n v="24"/>
    <n v="57819.583333333336"/>
    <n v="1387670"/>
    <n v="63"/>
    <n v="48620"/>
    <n v="3063060"/>
    <n v="57"/>
    <n v="47547.15789473684"/>
    <n v="2710188"/>
    <n v="40"/>
    <n v="43398"/>
    <n v="1735920"/>
    <n v="44"/>
    <n v="45022.840909090912"/>
    <n v="1981005"/>
    <n v="0"/>
    <n v="0"/>
    <n v="0"/>
    <m/>
    <m/>
    <n v="0"/>
    <m/>
    <m/>
    <n v="0"/>
    <m/>
    <m/>
    <n v="0"/>
    <n v="11"/>
    <n v="79037"/>
    <n v="711348.80740000005"/>
    <n v="11"/>
    <n v="82468.818181818177"/>
    <n v="742235.85739999998"/>
    <n v="5"/>
    <n v="76864"/>
    <n v="314450.62400000001"/>
    <n v="5"/>
    <n v="69916.600000000006"/>
    <n v="286028.81060000003"/>
    <n v="8"/>
    <n v="67545"/>
    <n v="442122.55200000003"/>
    <n v="18"/>
    <n v="56494.555555555555"/>
    <n v="832029.21640000003"/>
    <n v="3"/>
    <n v="53478"/>
    <n v="131267.09880000001"/>
    <n v="4"/>
    <n v="78625"/>
    <n v="257323.90000000002"/>
    <n v="0"/>
    <n v="0"/>
    <n v="0"/>
    <m/>
    <m/>
    <n v="0"/>
    <m/>
    <m/>
    <n v="0"/>
    <m/>
    <m/>
    <n v="0"/>
  </r>
  <r>
    <x v="8"/>
    <s v="Mississippi University for Women"/>
    <n v="176035"/>
    <x v="4"/>
    <n v="20"/>
    <n v="58552"/>
    <n v="1171040"/>
    <n v="19"/>
    <n v="56588.26315789474"/>
    <n v="1075177"/>
    <n v="12"/>
    <n v="47889"/>
    <n v="574668"/>
    <n v="14"/>
    <n v="48049.571428571428"/>
    <n v="672694"/>
    <n v="34"/>
    <n v="45221"/>
    <n v="1537514"/>
    <n v="37"/>
    <n v="45326.864864864867"/>
    <n v="1677094"/>
    <n v="42"/>
    <n v="44561"/>
    <n v="1871562"/>
    <n v="40"/>
    <n v="46651.65"/>
    <n v="1866066"/>
    <n v="0"/>
    <n v="0"/>
    <n v="0"/>
    <m/>
    <m/>
    <n v="0"/>
    <m/>
    <m/>
    <n v="0"/>
    <m/>
    <m/>
    <n v="0"/>
    <n v="10"/>
    <n v="68352"/>
    <n v="559256.06400000001"/>
    <n v="9"/>
    <n v="69393.222222222219"/>
    <n v="510997.80980000005"/>
    <n v="2"/>
    <n v="59252"/>
    <n v="96959.972800000003"/>
    <n v="3"/>
    <n v="67001"/>
    <n v="164460.65460000001"/>
    <n v="4"/>
    <n v="73125"/>
    <n v="239323.5"/>
    <n v="2"/>
    <n v="76500"/>
    <n v="125184.6"/>
    <n v="11"/>
    <n v="64855"/>
    <n v="583707.97100000002"/>
    <n v="11"/>
    <n v="62671.727272727272"/>
    <n v="564058.07980000007"/>
    <n v="0"/>
    <n v="0"/>
    <n v="0"/>
    <m/>
    <m/>
    <n v="0"/>
    <m/>
    <m/>
    <n v="0"/>
    <m/>
    <m/>
    <n v="0"/>
  </r>
  <r>
    <x v="8"/>
    <s v="Mississippi Valley State University"/>
    <n v="176044"/>
    <x v="4"/>
    <n v="8"/>
    <n v="63735"/>
    <n v="509880"/>
    <n v="11"/>
    <n v="61805.090909090912"/>
    <n v="679856"/>
    <n v="16"/>
    <n v="58132"/>
    <n v="930112"/>
    <n v="13"/>
    <n v="57739"/>
    <n v="750607"/>
    <n v="61"/>
    <n v="49083"/>
    <n v="2994063"/>
    <n v="61"/>
    <n v="48845.344262295082"/>
    <n v="2979566"/>
    <n v="24"/>
    <n v="40359"/>
    <n v="968616"/>
    <n v="26"/>
    <n v="40112.615384615383"/>
    <n v="1042928"/>
    <n v="0"/>
    <n v="0"/>
    <n v="0"/>
    <m/>
    <m/>
    <n v="0"/>
    <m/>
    <m/>
    <n v="0"/>
    <m/>
    <m/>
    <n v="0"/>
    <n v="9"/>
    <n v="74651"/>
    <n v="549715.03379999998"/>
    <n v="8"/>
    <n v="72667.625"/>
    <n v="475653.20620000002"/>
    <n v="7"/>
    <n v="75600"/>
    <n v="432991.44"/>
    <n v="8"/>
    <n v="76316.625"/>
    <n v="499538.10060000001"/>
    <n v="10"/>
    <n v="66911"/>
    <n v="547465.80200000003"/>
    <n v="9"/>
    <n v="65842"/>
    <n v="484847.31960000005"/>
    <n v="1"/>
    <n v="46913"/>
    <n v="38384.2166"/>
    <n v="2"/>
    <n v="48456.5"/>
    <n v="79294.2166"/>
    <n v="0"/>
    <n v="0"/>
    <n v="0"/>
    <m/>
    <m/>
    <n v="0"/>
    <m/>
    <m/>
    <n v="0"/>
    <m/>
    <m/>
    <n v="0"/>
  </r>
  <r>
    <x v="8"/>
    <s v="Hinds Community College "/>
    <n v="175786"/>
    <x v="6"/>
    <m/>
    <m/>
    <n v="0"/>
    <m/>
    <m/>
    <n v="0"/>
    <m/>
    <m/>
    <n v="0"/>
    <m/>
    <m/>
    <n v="0"/>
    <m/>
    <m/>
    <n v="0"/>
    <m/>
    <m/>
    <n v="0"/>
    <m/>
    <m/>
    <n v="0"/>
    <m/>
    <m/>
    <n v="0"/>
    <m/>
    <m/>
    <n v="0"/>
    <m/>
    <m/>
    <n v="0"/>
    <n v="323"/>
    <n v="48993.5"/>
    <n v="15824900.5"/>
    <n v="284"/>
    <n v="49209.599999999999"/>
    <n v="13975526.4"/>
    <m/>
    <m/>
    <n v="0"/>
    <m/>
    <m/>
    <n v="0"/>
    <m/>
    <m/>
    <n v="0"/>
    <m/>
    <m/>
    <n v="0"/>
    <m/>
    <m/>
    <n v="0"/>
    <m/>
    <m/>
    <n v="0"/>
    <m/>
    <m/>
    <n v="0"/>
    <m/>
    <m/>
    <n v="0"/>
    <m/>
    <m/>
    <n v="0"/>
    <m/>
    <m/>
    <n v="0"/>
    <n v="65"/>
    <n v="44934.1"/>
    <n v="2389730.2403000002"/>
    <n v="122"/>
    <n v="49572.295081967211"/>
    <n v="4948326.324"/>
  </r>
  <r>
    <x v="8"/>
    <s v="Mississippi Gulf Coast Community College "/>
    <n v="176071"/>
    <x v="6"/>
    <m/>
    <m/>
    <n v="0"/>
    <m/>
    <m/>
    <n v="0"/>
    <m/>
    <m/>
    <n v="0"/>
    <m/>
    <m/>
    <n v="0"/>
    <m/>
    <m/>
    <n v="0"/>
    <m/>
    <m/>
    <n v="0"/>
    <m/>
    <m/>
    <n v="0"/>
    <m/>
    <m/>
    <n v="0"/>
    <m/>
    <m/>
    <n v="0"/>
    <m/>
    <m/>
    <n v="0"/>
    <n v="277"/>
    <n v="45601"/>
    <n v="12631477"/>
    <n v="275"/>
    <n v="45443.7"/>
    <n v="12497017.5"/>
    <m/>
    <m/>
    <n v="0"/>
    <m/>
    <m/>
    <n v="0"/>
    <m/>
    <m/>
    <n v="0"/>
    <m/>
    <m/>
    <n v="0"/>
    <m/>
    <m/>
    <n v="0"/>
    <m/>
    <m/>
    <n v="0"/>
    <m/>
    <m/>
    <n v="0"/>
    <m/>
    <m/>
    <n v="0"/>
    <m/>
    <m/>
    <n v="0"/>
    <m/>
    <m/>
    <n v="0"/>
    <n v="133"/>
    <n v="43454.5"/>
    <n v="4728744.7626999998"/>
    <n v="130"/>
    <n v="47486.846153846156"/>
    <n v="5050985.8780000005"/>
  </r>
  <r>
    <x v="8"/>
    <s v="Northwest Mississippi Community College "/>
    <n v="176178"/>
    <x v="6"/>
    <m/>
    <m/>
    <n v="0"/>
    <m/>
    <m/>
    <n v="0"/>
    <m/>
    <m/>
    <n v="0"/>
    <m/>
    <m/>
    <n v="0"/>
    <m/>
    <m/>
    <n v="0"/>
    <m/>
    <m/>
    <n v="0"/>
    <m/>
    <m/>
    <n v="0"/>
    <m/>
    <m/>
    <n v="0"/>
    <m/>
    <m/>
    <n v="0"/>
    <m/>
    <m/>
    <n v="0"/>
    <n v="185"/>
    <n v="44205.2"/>
    <n v="8177961.9999999991"/>
    <n v="176"/>
    <n v="47243.4"/>
    <n v="8314838.4000000004"/>
    <m/>
    <m/>
    <n v="0"/>
    <m/>
    <m/>
    <n v="0"/>
    <m/>
    <m/>
    <n v="0"/>
    <m/>
    <m/>
    <n v="0"/>
    <m/>
    <m/>
    <n v="0"/>
    <m/>
    <m/>
    <n v="0"/>
    <m/>
    <m/>
    <n v="0"/>
    <m/>
    <m/>
    <n v="0"/>
    <m/>
    <m/>
    <n v="0"/>
    <m/>
    <m/>
    <n v="0"/>
    <n v="27"/>
    <n v="56903.199999999997"/>
    <n v="1257071.3524799999"/>
    <n v="38"/>
    <n v="54837.026315789473"/>
    <n v="1704970.8874000001"/>
  </r>
  <r>
    <x v="8"/>
    <s v="Copiah-Lincoln Community College "/>
    <n v="175573"/>
    <x v="7"/>
    <m/>
    <m/>
    <n v="0"/>
    <m/>
    <m/>
    <n v="0"/>
    <m/>
    <m/>
    <n v="0"/>
    <m/>
    <m/>
    <n v="0"/>
    <m/>
    <m/>
    <n v="0"/>
    <m/>
    <m/>
    <n v="0"/>
    <m/>
    <m/>
    <n v="0"/>
    <m/>
    <m/>
    <n v="0"/>
    <m/>
    <m/>
    <n v="0"/>
    <m/>
    <m/>
    <n v="0"/>
    <n v="111"/>
    <n v="44825.1"/>
    <n v="4975586.0999999996"/>
    <n v="112"/>
    <n v="47596.5"/>
    <n v="5330808"/>
    <m/>
    <m/>
    <n v="0"/>
    <m/>
    <m/>
    <n v="0"/>
    <m/>
    <m/>
    <n v="0"/>
    <m/>
    <m/>
    <n v="0"/>
    <m/>
    <m/>
    <n v="0"/>
    <m/>
    <m/>
    <n v="0"/>
    <m/>
    <m/>
    <n v="0"/>
    <m/>
    <m/>
    <n v="0"/>
    <m/>
    <m/>
    <n v="0"/>
    <m/>
    <m/>
    <n v="0"/>
    <n v="0"/>
    <n v="0"/>
    <n v="0"/>
    <n v="0"/>
    <n v="0"/>
    <n v="0"/>
  </r>
  <r>
    <x v="8"/>
    <s v="East Central Community College "/>
    <n v="175643"/>
    <x v="7"/>
    <m/>
    <m/>
    <n v="0"/>
    <m/>
    <m/>
    <n v="0"/>
    <m/>
    <m/>
    <n v="0"/>
    <m/>
    <m/>
    <n v="0"/>
    <m/>
    <m/>
    <n v="0"/>
    <m/>
    <m/>
    <n v="0"/>
    <m/>
    <m/>
    <n v="0"/>
    <m/>
    <m/>
    <n v="0"/>
    <m/>
    <m/>
    <n v="0"/>
    <m/>
    <m/>
    <n v="0"/>
    <n v="74"/>
    <n v="53638.7"/>
    <n v="3969263.8"/>
    <n v="74"/>
    <n v="51759.9"/>
    <n v="3830232.6"/>
    <m/>
    <m/>
    <n v="0"/>
    <m/>
    <m/>
    <n v="0"/>
    <m/>
    <m/>
    <n v="0"/>
    <m/>
    <m/>
    <n v="0"/>
    <m/>
    <m/>
    <n v="0"/>
    <m/>
    <m/>
    <n v="0"/>
    <m/>
    <m/>
    <n v="0"/>
    <m/>
    <m/>
    <n v="0"/>
    <m/>
    <m/>
    <n v="0"/>
    <m/>
    <m/>
    <n v="0"/>
    <n v="16"/>
    <n v="16297"/>
    <n v="213347.28640000001"/>
    <n v="6"/>
    <n v="45453.666666666664"/>
    <n v="223141.1404"/>
  </r>
  <r>
    <x v="8"/>
    <s v="East Mississippi Community College "/>
    <n v="175652"/>
    <x v="7"/>
    <m/>
    <m/>
    <n v="0"/>
    <m/>
    <m/>
    <n v="0"/>
    <m/>
    <m/>
    <n v="0"/>
    <m/>
    <m/>
    <n v="0"/>
    <m/>
    <m/>
    <n v="0"/>
    <m/>
    <m/>
    <n v="0"/>
    <m/>
    <m/>
    <n v="0"/>
    <m/>
    <m/>
    <n v="0"/>
    <m/>
    <m/>
    <n v="0"/>
    <m/>
    <m/>
    <n v="0"/>
    <n v="91"/>
    <n v="48995"/>
    <n v="4458545"/>
    <n v="91.2"/>
    <n v="50522.2"/>
    <n v="4607624.6399999997"/>
    <m/>
    <m/>
    <n v="0"/>
    <m/>
    <m/>
    <n v="0"/>
    <m/>
    <m/>
    <n v="0"/>
    <m/>
    <m/>
    <n v="0"/>
    <m/>
    <m/>
    <n v="0"/>
    <m/>
    <m/>
    <n v="0"/>
    <m/>
    <m/>
    <n v="0"/>
    <m/>
    <m/>
    <n v="0"/>
    <m/>
    <m/>
    <n v="0"/>
    <m/>
    <m/>
    <n v="0"/>
    <n v="17.3"/>
    <n v="45749.2"/>
    <n v="647573.5211120001"/>
    <n v="23.3"/>
    <n v="51989.055793991414"/>
    <n v="991122.47900000005"/>
  </r>
  <r>
    <x v="8"/>
    <s v="Holmes Community College "/>
    <n v="175810"/>
    <x v="7"/>
    <m/>
    <m/>
    <n v="0"/>
    <m/>
    <m/>
    <n v="0"/>
    <m/>
    <m/>
    <n v="0"/>
    <m/>
    <m/>
    <n v="0"/>
    <m/>
    <m/>
    <n v="0"/>
    <m/>
    <m/>
    <n v="0"/>
    <m/>
    <m/>
    <n v="0"/>
    <m/>
    <m/>
    <n v="0"/>
    <m/>
    <m/>
    <n v="0"/>
    <m/>
    <m/>
    <n v="0"/>
    <n v="121.5"/>
    <n v="52798.3"/>
    <n v="6414993.4500000002"/>
    <n v="127"/>
    <n v="55331.6"/>
    <n v="7027113.2000000002"/>
    <m/>
    <m/>
    <n v="0"/>
    <m/>
    <m/>
    <n v="0"/>
    <m/>
    <m/>
    <n v="0"/>
    <m/>
    <m/>
    <n v="0"/>
    <m/>
    <m/>
    <n v="0"/>
    <m/>
    <m/>
    <n v="0"/>
    <m/>
    <m/>
    <n v="0"/>
    <m/>
    <m/>
    <n v="0"/>
    <m/>
    <m/>
    <n v="0"/>
    <m/>
    <m/>
    <n v="0"/>
    <n v="46"/>
    <n v="43245.9"/>
    <n v="1627654.5874800002"/>
    <n v="44"/>
    <n v="57278.63636363636"/>
    <n v="2062076.7320000001"/>
  </r>
  <r>
    <x v="8"/>
    <s v="Itawamba Community College "/>
    <n v="175829"/>
    <x v="7"/>
    <m/>
    <m/>
    <n v="0"/>
    <m/>
    <m/>
    <n v="0"/>
    <m/>
    <m/>
    <n v="0"/>
    <m/>
    <m/>
    <n v="0"/>
    <m/>
    <m/>
    <n v="0"/>
    <m/>
    <m/>
    <n v="0"/>
    <m/>
    <m/>
    <n v="0"/>
    <m/>
    <m/>
    <n v="0"/>
    <m/>
    <m/>
    <n v="0"/>
    <m/>
    <m/>
    <n v="0"/>
    <n v="110"/>
    <n v="50258"/>
    <n v="5528380"/>
    <n v="129"/>
    <n v="52813.2"/>
    <n v="6812902.7999999998"/>
    <m/>
    <m/>
    <n v="0"/>
    <m/>
    <m/>
    <n v="0"/>
    <m/>
    <m/>
    <n v="0"/>
    <m/>
    <m/>
    <n v="0"/>
    <m/>
    <m/>
    <n v="0"/>
    <m/>
    <m/>
    <n v="0"/>
    <m/>
    <m/>
    <n v="0"/>
    <m/>
    <m/>
    <n v="0"/>
    <m/>
    <m/>
    <n v="0"/>
    <m/>
    <m/>
    <n v="0"/>
    <n v="58"/>
    <n v="51562.9"/>
    <n v="2446948.3572400003"/>
    <n v="62"/>
    <n v="66609.080645161288"/>
    <n v="3378972.0866"/>
  </r>
  <r>
    <x v="8"/>
    <s v="Jones County Junior College "/>
    <n v="175883"/>
    <x v="7"/>
    <m/>
    <m/>
    <n v="0"/>
    <m/>
    <m/>
    <n v="0"/>
    <m/>
    <m/>
    <n v="0"/>
    <m/>
    <m/>
    <n v="0"/>
    <m/>
    <m/>
    <n v="0"/>
    <m/>
    <m/>
    <n v="0"/>
    <m/>
    <m/>
    <n v="0"/>
    <m/>
    <m/>
    <n v="0"/>
    <m/>
    <m/>
    <n v="0"/>
    <m/>
    <m/>
    <n v="0"/>
    <n v="154.5"/>
    <n v="53369.5"/>
    <n v="8245587.75"/>
    <n v="135.1"/>
    <n v="54481.5"/>
    <n v="7360450.6499999994"/>
    <m/>
    <m/>
    <n v="0"/>
    <m/>
    <m/>
    <n v="0"/>
    <m/>
    <m/>
    <n v="0"/>
    <m/>
    <m/>
    <n v="0"/>
    <m/>
    <m/>
    <n v="0"/>
    <m/>
    <m/>
    <n v="0"/>
    <m/>
    <m/>
    <n v="0"/>
    <m/>
    <m/>
    <n v="0"/>
    <m/>
    <m/>
    <n v="0"/>
    <m/>
    <m/>
    <n v="0"/>
    <n v="19.5"/>
    <n v="50495.199999999997"/>
    <n v="805645.86647999997"/>
    <n v="12.1"/>
    <n v="63080.826446280997"/>
    <n v="624514.05960000004"/>
  </r>
  <r>
    <x v="8"/>
    <s v="Meridian Community College "/>
    <n v="175935"/>
    <x v="7"/>
    <m/>
    <m/>
    <n v="0"/>
    <m/>
    <m/>
    <n v="0"/>
    <m/>
    <m/>
    <n v="0"/>
    <m/>
    <m/>
    <n v="0"/>
    <m/>
    <m/>
    <n v="0"/>
    <m/>
    <m/>
    <n v="0"/>
    <m/>
    <m/>
    <n v="0"/>
    <m/>
    <m/>
    <n v="0"/>
    <m/>
    <m/>
    <n v="0"/>
    <m/>
    <m/>
    <n v="0"/>
    <n v="85.7"/>
    <n v="44829.9"/>
    <n v="3841922.43"/>
    <n v="92.2"/>
    <n v="45972.5"/>
    <n v="4238664.5"/>
    <m/>
    <m/>
    <n v="0"/>
    <m/>
    <m/>
    <n v="0"/>
    <m/>
    <m/>
    <n v="0"/>
    <m/>
    <m/>
    <n v="0"/>
    <m/>
    <m/>
    <n v="0"/>
    <m/>
    <m/>
    <n v="0"/>
    <m/>
    <m/>
    <n v="0"/>
    <m/>
    <m/>
    <n v="0"/>
    <m/>
    <m/>
    <n v="0"/>
    <m/>
    <m/>
    <n v="0"/>
    <n v="60.9"/>
    <n v="39674.699999999997"/>
    <n v="1976926.0279860001"/>
    <n v="63"/>
    <n v="49160.761904761908"/>
    <n v="2534070.1296000001"/>
  </r>
  <r>
    <x v="8"/>
    <s v="Mississippi Delta Community College "/>
    <n v="176008"/>
    <x v="7"/>
    <m/>
    <m/>
    <n v="0"/>
    <m/>
    <m/>
    <n v="0"/>
    <m/>
    <m/>
    <n v="0"/>
    <m/>
    <m/>
    <n v="0"/>
    <m/>
    <m/>
    <n v="0"/>
    <m/>
    <m/>
    <n v="0"/>
    <m/>
    <m/>
    <n v="0"/>
    <m/>
    <m/>
    <n v="0"/>
    <m/>
    <m/>
    <n v="0"/>
    <m/>
    <m/>
    <n v="0"/>
    <n v="107"/>
    <n v="49192.1"/>
    <n v="5263554.7"/>
    <n v="104"/>
    <n v="50615.4"/>
    <n v="5264001.6000000006"/>
    <m/>
    <m/>
    <n v="0"/>
    <m/>
    <m/>
    <n v="0"/>
    <m/>
    <m/>
    <n v="0"/>
    <m/>
    <m/>
    <n v="0"/>
    <m/>
    <m/>
    <n v="0"/>
    <m/>
    <m/>
    <n v="0"/>
    <m/>
    <m/>
    <n v="0"/>
    <m/>
    <m/>
    <n v="0"/>
    <m/>
    <m/>
    <n v="0"/>
    <m/>
    <m/>
    <n v="0"/>
    <n v="7"/>
    <n v="38316.400000000001"/>
    <n v="219453.34935999999"/>
    <n v="13"/>
    <n v="46431.153846153844"/>
    <n v="493869.61100000003"/>
  </r>
  <r>
    <x v="8"/>
    <s v="Northeast Mississippi Community College "/>
    <n v="176169"/>
    <x v="7"/>
    <m/>
    <m/>
    <n v="0"/>
    <m/>
    <m/>
    <n v="0"/>
    <m/>
    <m/>
    <n v="0"/>
    <m/>
    <m/>
    <n v="0"/>
    <m/>
    <m/>
    <n v="0"/>
    <m/>
    <m/>
    <n v="0"/>
    <m/>
    <m/>
    <n v="0"/>
    <m/>
    <m/>
    <n v="0"/>
    <m/>
    <m/>
    <n v="0"/>
    <m/>
    <m/>
    <n v="0"/>
    <n v="105"/>
    <n v="52084.9"/>
    <n v="5468914.5"/>
    <n v="107"/>
    <n v="52437.4"/>
    <n v="5610801.7999999998"/>
    <m/>
    <m/>
    <n v="0"/>
    <m/>
    <m/>
    <n v="0"/>
    <m/>
    <m/>
    <n v="0"/>
    <m/>
    <m/>
    <n v="0"/>
    <m/>
    <m/>
    <n v="0"/>
    <m/>
    <m/>
    <n v="0"/>
    <m/>
    <m/>
    <n v="0"/>
    <m/>
    <m/>
    <n v="0"/>
    <m/>
    <m/>
    <n v="0"/>
    <m/>
    <m/>
    <n v="0"/>
    <n v="26"/>
    <n v="48756.9"/>
    <n v="1037215.2850800002"/>
    <n v="26"/>
    <n v="59850.115384615383"/>
    <n v="1273203.4746000001"/>
  </r>
  <r>
    <x v="8"/>
    <s v="Pearl River Community College "/>
    <n v="176239"/>
    <x v="7"/>
    <m/>
    <m/>
    <n v="0"/>
    <m/>
    <m/>
    <n v="0"/>
    <m/>
    <m/>
    <n v="0"/>
    <m/>
    <m/>
    <n v="0"/>
    <m/>
    <m/>
    <n v="0"/>
    <m/>
    <m/>
    <n v="0"/>
    <m/>
    <m/>
    <n v="0"/>
    <m/>
    <m/>
    <n v="0"/>
    <m/>
    <m/>
    <n v="0"/>
    <m/>
    <m/>
    <n v="0"/>
    <n v="155"/>
    <n v="43779"/>
    <n v="6785745"/>
    <n v="156"/>
    <n v="45865.599999999999"/>
    <n v="7155033.5999999996"/>
    <m/>
    <m/>
    <n v="0"/>
    <m/>
    <m/>
    <n v="0"/>
    <m/>
    <m/>
    <n v="0"/>
    <m/>
    <m/>
    <n v="0"/>
    <m/>
    <m/>
    <n v="0"/>
    <m/>
    <m/>
    <n v="0"/>
    <m/>
    <m/>
    <n v="0"/>
    <m/>
    <m/>
    <n v="0"/>
    <m/>
    <m/>
    <n v="0"/>
    <m/>
    <m/>
    <n v="0"/>
    <n v="18"/>
    <n v="44050.9"/>
    <n v="648764.03484000009"/>
    <n v="18"/>
    <n v="56531.888888888891"/>
    <n v="832579.04680000001"/>
  </r>
  <r>
    <x v="8"/>
    <s v="Coahoma Community College "/>
    <n v="175519"/>
    <x v="8"/>
    <m/>
    <m/>
    <n v="0"/>
    <m/>
    <m/>
    <n v="0"/>
    <m/>
    <m/>
    <n v="0"/>
    <m/>
    <m/>
    <n v="0"/>
    <m/>
    <m/>
    <n v="0"/>
    <m/>
    <m/>
    <n v="0"/>
    <m/>
    <m/>
    <n v="0"/>
    <m/>
    <m/>
    <n v="0"/>
    <m/>
    <m/>
    <n v="0"/>
    <m/>
    <m/>
    <n v="0"/>
    <n v="24"/>
    <n v="44685"/>
    <n v="1072440"/>
    <n v="26"/>
    <n v="46973.1"/>
    <n v="1221300.5999999999"/>
    <m/>
    <m/>
    <n v="0"/>
    <m/>
    <m/>
    <n v="0"/>
    <m/>
    <m/>
    <n v="0"/>
    <m/>
    <m/>
    <n v="0"/>
    <m/>
    <m/>
    <n v="0"/>
    <m/>
    <m/>
    <n v="0"/>
    <m/>
    <m/>
    <n v="0"/>
    <m/>
    <m/>
    <n v="0"/>
    <m/>
    <m/>
    <n v="0"/>
    <m/>
    <m/>
    <n v="0"/>
    <n v="45"/>
    <n v="35015.1"/>
    <n v="1289220.9669000001"/>
    <n v="51"/>
    <n v="43846.941176470587"/>
    <n v="1829653.9308"/>
  </r>
  <r>
    <x v="8"/>
    <s v="Southwest Mississippi Community College"/>
    <n v="176354"/>
    <x v="8"/>
    <m/>
    <m/>
    <n v="0"/>
    <m/>
    <m/>
    <n v="0"/>
    <m/>
    <m/>
    <n v="0"/>
    <m/>
    <m/>
    <n v="0"/>
    <m/>
    <m/>
    <n v="0"/>
    <m/>
    <m/>
    <n v="0"/>
    <m/>
    <m/>
    <n v="0"/>
    <m/>
    <m/>
    <n v="0"/>
    <m/>
    <m/>
    <n v="0"/>
    <m/>
    <m/>
    <n v="0"/>
    <n v="61"/>
    <n v="54934.2"/>
    <n v="3350986.1999999997"/>
    <n v="66"/>
    <n v="54667.199999999997"/>
    <n v="3608035.1999999997"/>
    <m/>
    <m/>
    <n v="0"/>
    <m/>
    <m/>
    <n v="0"/>
    <m/>
    <m/>
    <n v="0"/>
    <m/>
    <m/>
    <n v="0"/>
    <m/>
    <m/>
    <n v="0"/>
    <m/>
    <m/>
    <n v="0"/>
    <m/>
    <m/>
    <n v="0"/>
    <m/>
    <m/>
    <n v="0"/>
    <m/>
    <m/>
    <n v="0"/>
    <m/>
    <m/>
    <n v="0"/>
    <n v="8"/>
    <n v="32795.9"/>
    <n v="214668.84304000001"/>
    <n v="9"/>
    <n v="41864.777777777781"/>
    <n v="308283.85060000001"/>
  </r>
  <r>
    <x v="9"/>
    <s v="North Carolina State University "/>
    <n v="199193"/>
    <x v="0"/>
    <n v="349"/>
    <n v="115995"/>
    <n v="40482255"/>
    <n v="363"/>
    <n v="120263"/>
    <n v="43655469"/>
    <n v="271"/>
    <n v="83924"/>
    <n v="22743404"/>
    <n v="293"/>
    <n v="87220"/>
    <n v="25555460"/>
    <n v="231"/>
    <n v="73476"/>
    <n v="16972956"/>
    <n v="243"/>
    <n v="75678"/>
    <n v="18389754"/>
    <n v="3"/>
    <n v="52870"/>
    <n v="158610"/>
    <n v="4"/>
    <n v="57084"/>
    <n v="228336"/>
    <n v="231"/>
    <n v="47605"/>
    <n v="10996755"/>
    <n v="239"/>
    <n v="49589"/>
    <n v="11851771"/>
    <m/>
    <m/>
    <n v="0"/>
    <m/>
    <m/>
    <n v="0"/>
    <n v="286"/>
    <n v="127655"/>
    <n v="29871933.806000002"/>
    <n v="295"/>
    <n v="130635"/>
    <n v="31531239.315000001"/>
    <n v="139"/>
    <n v="95544"/>
    <n v="10866200.0112"/>
    <n v="132"/>
    <n v="97593"/>
    <n v="10540278.223200001"/>
    <n v="137"/>
    <n v="78200"/>
    <n v="8765703.8800000008"/>
    <n v="127"/>
    <n v="78149"/>
    <n v="8120571.9986000005"/>
    <n v="1"/>
    <n v="46700"/>
    <n v="38209.94"/>
    <n v="2"/>
    <n v="49750"/>
    <n v="81410.900000000009"/>
    <n v="75"/>
    <n v="78453"/>
    <n v="4814268.3450000007"/>
    <n v="70"/>
    <n v="82052"/>
    <n v="4699446.2480000006"/>
    <m/>
    <m/>
    <n v="0"/>
    <m/>
    <m/>
    <n v="0"/>
  </r>
  <r>
    <x v="9"/>
    <s v="University of North Carolina at Chapel Hill "/>
    <n v="199120"/>
    <x v="0"/>
    <n v="469"/>
    <n v="134919"/>
    <n v="63277011"/>
    <n v="475"/>
    <n v="139898"/>
    <n v="66451550"/>
    <n v="236"/>
    <n v="88770"/>
    <n v="20949720"/>
    <n v="254"/>
    <n v="93129"/>
    <n v="23654766"/>
    <n v="222"/>
    <n v="80122"/>
    <n v="17787084"/>
    <n v="240"/>
    <n v="84929"/>
    <n v="20382960"/>
    <n v="3"/>
    <n v="122271"/>
    <n v="366813"/>
    <n v="11"/>
    <n v="131545"/>
    <n v="1446995"/>
    <n v="180"/>
    <n v="60114"/>
    <n v="10820520"/>
    <n v="194"/>
    <n v="66888"/>
    <n v="12976272"/>
    <m/>
    <m/>
    <n v="0"/>
    <m/>
    <m/>
    <n v="0"/>
    <n v="109"/>
    <n v="188305"/>
    <n v="16793755.459000003"/>
    <n v="119"/>
    <n v="188383"/>
    <n v="18342061.501400001"/>
    <n v="103"/>
    <n v="117087"/>
    <n v="9867460.0902000014"/>
    <n v="103"/>
    <n v="117825"/>
    <n v="9929654.745000001"/>
    <n v="92"/>
    <n v="84540"/>
    <n v="6363697.7760000005"/>
    <n v="87"/>
    <n v="90467"/>
    <n v="6439748.6478000004"/>
    <n v="8"/>
    <n v="76289"/>
    <n v="499357.27840000001"/>
    <n v="6"/>
    <n v="68360"/>
    <n v="335592.91200000001"/>
    <n v="92"/>
    <n v="101001"/>
    <n v="7602789.6743999999"/>
    <n v="111"/>
    <n v="106977"/>
    <n v="9715672.5354000013"/>
    <m/>
    <m/>
    <n v="0"/>
    <m/>
    <m/>
    <n v="0"/>
  </r>
  <r>
    <x v="9"/>
    <s v="University of North Carolina at Charlotte"/>
    <n v="199139"/>
    <x v="1"/>
    <n v="161"/>
    <n v="102999"/>
    <n v="16582839"/>
    <n v="163"/>
    <n v="108140"/>
    <n v="17626820"/>
    <n v="234"/>
    <n v="76680"/>
    <n v="17943120"/>
    <n v="257"/>
    <n v="82156"/>
    <n v="21114092"/>
    <n v="266"/>
    <n v="67043"/>
    <n v="17833438"/>
    <n v="259"/>
    <n v="69809"/>
    <n v="18080531"/>
    <m/>
    <m/>
    <n v="0"/>
    <m/>
    <m/>
    <n v="0"/>
    <n v="175"/>
    <n v="46155"/>
    <n v="8077125"/>
    <n v="196"/>
    <n v="48570"/>
    <n v="9519720"/>
    <m/>
    <m/>
    <n v="0"/>
    <m/>
    <m/>
    <n v="0"/>
    <n v="35"/>
    <n v="139863"/>
    <n v="4005256.7310000001"/>
    <n v="41"/>
    <n v="142505"/>
    <n v="4780501.2310000006"/>
    <n v="12"/>
    <n v="107489"/>
    <n v="1055369.9976000001"/>
    <n v="13"/>
    <n v="116488"/>
    <n v="1239036.2608"/>
    <n v="1"/>
    <n v="60585"/>
    <n v="49570.647000000004"/>
    <n v="1"/>
    <n v="79500"/>
    <n v="65046.9"/>
    <m/>
    <m/>
    <n v="0"/>
    <m/>
    <m/>
    <n v="0"/>
    <n v="38"/>
    <n v="65266"/>
    <n v="2029224.3656000001"/>
    <n v="41"/>
    <n v="66654"/>
    <n v="2235988.4147999999"/>
    <m/>
    <m/>
    <n v="0"/>
    <m/>
    <m/>
    <n v="0"/>
  </r>
  <r>
    <x v="9"/>
    <s v="University of North Carolina at Greensboro"/>
    <n v="199148"/>
    <x v="1"/>
    <n v="167"/>
    <n v="103320"/>
    <n v="17254440"/>
    <n v="171"/>
    <n v="109233"/>
    <n v="18678843"/>
    <n v="186"/>
    <n v="75462"/>
    <n v="14035932"/>
    <n v="196"/>
    <n v="78941"/>
    <n v="15472436"/>
    <n v="161"/>
    <n v="62875"/>
    <n v="10122875"/>
    <n v="160"/>
    <n v="65426"/>
    <n v="10468160"/>
    <n v="7"/>
    <n v="55033"/>
    <n v="385231"/>
    <n v="46"/>
    <n v="56782"/>
    <n v="2611972"/>
    <n v="208"/>
    <n v="44736"/>
    <n v="9305088"/>
    <n v="186"/>
    <n v="44894"/>
    <n v="8350284"/>
    <m/>
    <m/>
    <n v="0"/>
    <m/>
    <m/>
    <n v="0"/>
    <n v="15"/>
    <n v="124365"/>
    <n v="1526331.645"/>
    <n v="7"/>
    <n v="136608"/>
    <n v="782408.65919999999"/>
    <n v="8"/>
    <n v="95969"/>
    <n v="628174.68640000001"/>
    <n v="8"/>
    <n v="93842"/>
    <n v="614252.19520000007"/>
    <n v="3"/>
    <n v="72888"/>
    <n v="178910.8848"/>
    <n v="1"/>
    <n v="70601"/>
    <n v="57765.7382"/>
    <m/>
    <m/>
    <n v="0"/>
    <n v="10"/>
    <n v="63460"/>
    <n v="519229.72000000003"/>
    <n v="29"/>
    <n v="65167"/>
    <n v="1546269.5426"/>
    <n v="11"/>
    <n v="47515"/>
    <n v="427644.50300000003"/>
    <m/>
    <m/>
    <n v="0"/>
    <m/>
    <m/>
    <n v="0"/>
  </r>
  <r>
    <x v="9"/>
    <s v="Appalachian State University "/>
    <n v="197869"/>
    <x v="2"/>
    <n v="234"/>
    <n v="86779"/>
    <n v="20306286"/>
    <n v="240"/>
    <n v="90973"/>
    <n v="21833520"/>
    <n v="179"/>
    <n v="71697"/>
    <n v="12833763"/>
    <n v="180"/>
    <n v="73862"/>
    <n v="13295160"/>
    <n v="200"/>
    <n v="59634"/>
    <n v="11926800"/>
    <n v="218"/>
    <n v="60648"/>
    <n v="13221264"/>
    <n v="5"/>
    <n v="49060"/>
    <n v="245300"/>
    <n v="8"/>
    <n v="50805"/>
    <n v="406440"/>
    <n v="116"/>
    <n v="46221"/>
    <n v="5361636"/>
    <n v="127"/>
    <n v="44938"/>
    <n v="5707126"/>
    <m/>
    <m/>
    <n v="0"/>
    <m/>
    <m/>
    <n v="0"/>
    <n v="2"/>
    <n v="103175"/>
    <n v="168835.57"/>
    <n v="2"/>
    <n v="93891"/>
    <n v="153643.23240000001"/>
    <m/>
    <m/>
    <n v="0"/>
    <m/>
    <m/>
    <n v="0"/>
    <m/>
    <m/>
    <n v="0"/>
    <n v="2"/>
    <n v="51996"/>
    <n v="85086.254400000005"/>
    <m/>
    <m/>
    <n v="0"/>
    <m/>
    <m/>
    <n v="0"/>
    <n v="1"/>
    <n v="78253"/>
    <n v="64026.604600000006"/>
    <n v="2"/>
    <n v="39679"/>
    <n v="64930.715600000003"/>
    <m/>
    <m/>
    <n v="0"/>
    <m/>
    <m/>
    <n v="0"/>
  </r>
  <r>
    <x v="9"/>
    <s v="East Carolina University "/>
    <n v="198464"/>
    <x v="2"/>
    <n v="172"/>
    <n v="93510"/>
    <n v="16083720"/>
    <n v="179"/>
    <n v="96331"/>
    <n v="17243249"/>
    <n v="275"/>
    <n v="73388"/>
    <n v="20181700"/>
    <n v="303"/>
    <n v="75855"/>
    <n v="22984065"/>
    <n v="302"/>
    <n v="65474"/>
    <n v="19773148"/>
    <n v="333"/>
    <n v="67366"/>
    <n v="22432878"/>
    <n v="8"/>
    <n v="55649"/>
    <n v="445192"/>
    <n v="13"/>
    <n v="57529"/>
    <n v="747877"/>
    <n v="243"/>
    <n v="46878"/>
    <n v="11391354"/>
    <n v="277"/>
    <n v="48754"/>
    <n v="13504858"/>
    <m/>
    <m/>
    <n v="0"/>
    <m/>
    <m/>
    <n v="0"/>
    <n v="13"/>
    <n v="138336"/>
    <n v="1471424.6976000001"/>
    <n v="38"/>
    <n v="120171"/>
    <n v="3736308.6636000001"/>
    <n v="15"/>
    <n v="91880"/>
    <n v="1127643.24"/>
    <n v="44"/>
    <n v="95910"/>
    <n v="3452836.7280000001"/>
    <n v="11"/>
    <n v="70119"/>
    <n v="631085.02380000008"/>
    <n v="35"/>
    <n v="81656"/>
    <n v="2338382.872"/>
    <n v="2"/>
    <n v="55872"/>
    <n v="91428.940800000011"/>
    <n v="1"/>
    <n v="61433"/>
    <n v="50264.480600000003"/>
    <n v="17"/>
    <n v="60556"/>
    <n v="842297.62640000007"/>
    <n v="57"/>
    <n v="72967"/>
    <n v="3402991.1658000001"/>
    <m/>
    <m/>
    <n v="0"/>
    <m/>
    <m/>
    <n v="0"/>
  </r>
  <r>
    <x v="9"/>
    <s v="North Carolina A&amp;T State University"/>
    <n v="199102"/>
    <x v="2"/>
    <n v="77"/>
    <n v="90944"/>
    <n v="7002688"/>
    <n v="68"/>
    <n v="91437"/>
    <n v="6217716"/>
    <n v="130"/>
    <n v="74267"/>
    <n v="9654710"/>
    <n v="122"/>
    <n v="73926"/>
    <n v="9018972"/>
    <n v="92"/>
    <n v="63857"/>
    <n v="5874844"/>
    <n v="83"/>
    <n v="65734"/>
    <n v="5455922"/>
    <n v="6"/>
    <n v="49333"/>
    <n v="295998"/>
    <n v="8"/>
    <n v="51621"/>
    <n v="412968"/>
    <n v="63"/>
    <n v="61623"/>
    <n v="3882249"/>
    <n v="61"/>
    <n v="60094"/>
    <n v="3665734"/>
    <m/>
    <m/>
    <n v="0"/>
    <m/>
    <m/>
    <n v="0"/>
    <n v="27"/>
    <n v="111668"/>
    <n v="2466902.4552000002"/>
    <n v="41"/>
    <n v="107127"/>
    <n v="3593703.7674000002"/>
    <n v="18"/>
    <n v="97423"/>
    <n v="1434806.9748"/>
    <n v="35"/>
    <n v="92253"/>
    <n v="2641849.1610000003"/>
    <n v="2"/>
    <n v="102580"/>
    <n v="167861.91200000001"/>
    <n v="16"/>
    <n v="71279"/>
    <n v="933127.64480000001"/>
    <n v="1"/>
    <n v="55419"/>
    <n v="45343.825799999999"/>
    <m/>
    <m/>
    <n v="0"/>
    <n v="26"/>
    <n v="75251"/>
    <n v="1600829.5732"/>
    <n v="38"/>
    <n v="75602"/>
    <n v="2350587.1432000003"/>
    <m/>
    <m/>
    <n v="0"/>
    <m/>
    <m/>
    <n v="0"/>
  </r>
  <r>
    <x v="9"/>
    <s v="North Carolina Central University "/>
    <n v="199157"/>
    <x v="2"/>
    <n v="33"/>
    <n v="101431"/>
    <n v="3347223"/>
    <n v="46"/>
    <n v="101973"/>
    <n v="4690758"/>
    <n v="67"/>
    <n v="76727"/>
    <n v="5140709"/>
    <n v="64"/>
    <n v="77477"/>
    <n v="4958528"/>
    <n v="75"/>
    <n v="67672"/>
    <n v="5075400"/>
    <n v="102"/>
    <n v="69183"/>
    <n v="7056666"/>
    <n v="2"/>
    <n v="44695"/>
    <n v="89390"/>
    <m/>
    <m/>
    <n v="0"/>
    <n v="85"/>
    <n v="57612"/>
    <n v="4897020"/>
    <n v="71"/>
    <n v="60930"/>
    <n v="4326030"/>
    <m/>
    <m/>
    <n v="0"/>
    <m/>
    <m/>
    <n v="0"/>
    <n v="16"/>
    <n v="115901"/>
    <n v="1517283.1712"/>
    <n v="21"/>
    <n v="118531"/>
    <n v="2036623.3482000001"/>
    <n v="28"/>
    <n v="94648"/>
    <n v="2168347.8207999999"/>
    <n v="26"/>
    <n v="94896"/>
    <n v="2018741.5872000002"/>
    <n v="10"/>
    <n v="78364"/>
    <n v="641174.24800000002"/>
    <n v="16"/>
    <n v="80418"/>
    <n v="1052768.1216"/>
    <m/>
    <m/>
    <n v="0"/>
    <m/>
    <m/>
    <n v="0"/>
    <n v="32"/>
    <n v="58980"/>
    <n v="1544237.952"/>
    <n v="20"/>
    <n v="64022"/>
    <n v="1047656.008"/>
    <m/>
    <m/>
    <n v="0"/>
    <m/>
    <m/>
    <n v="0"/>
  </r>
  <r>
    <x v="9"/>
    <s v="University of North Carolina at Wilmington"/>
    <n v="199218"/>
    <x v="2"/>
    <n v="120"/>
    <n v="90306"/>
    <n v="10836720"/>
    <n v="126"/>
    <n v="93177"/>
    <n v="11740302"/>
    <n v="131"/>
    <n v="72307"/>
    <n v="9472217"/>
    <n v="141"/>
    <n v="74208"/>
    <n v="10463328"/>
    <n v="168"/>
    <n v="60484"/>
    <n v="10161312"/>
    <n v="179"/>
    <n v="62137"/>
    <n v="11122523"/>
    <m/>
    <m/>
    <n v="0"/>
    <m/>
    <m/>
    <n v="0"/>
    <n v="81"/>
    <n v="44908"/>
    <n v="3637548"/>
    <n v="90"/>
    <n v="46701"/>
    <n v="4203090"/>
    <m/>
    <m/>
    <n v="0"/>
    <m/>
    <m/>
    <n v="0"/>
    <n v="33"/>
    <n v="114514"/>
    <n v="3091946.7084000004"/>
    <n v="31"/>
    <n v="118476"/>
    <n v="3005048.9591999999"/>
    <n v="10"/>
    <n v="94150"/>
    <n v="770335.3"/>
    <n v="11"/>
    <n v="97902"/>
    <n v="881137.58040000009"/>
    <m/>
    <m/>
    <n v="0"/>
    <m/>
    <m/>
    <n v="0"/>
    <m/>
    <m/>
    <n v="0"/>
    <m/>
    <m/>
    <n v="0"/>
    <m/>
    <m/>
    <n v="0"/>
    <n v="2"/>
    <n v="53106"/>
    <n v="86902.6584"/>
    <m/>
    <m/>
    <n v="0"/>
    <m/>
    <m/>
    <n v="0"/>
  </r>
  <r>
    <x v="9"/>
    <s v="Western Carolina University "/>
    <n v="200004"/>
    <x v="2"/>
    <n v="69"/>
    <n v="86039"/>
    <n v="5936691"/>
    <n v="68"/>
    <n v="89609"/>
    <n v="6093412"/>
    <n v="97"/>
    <n v="70036"/>
    <n v="6793492"/>
    <n v="100"/>
    <n v="73312"/>
    <n v="7331200"/>
    <n v="147"/>
    <n v="60003"/>
    <n v="8820441"/>
    <n v="153"/>
    <n v="60441"/>
    <n v="9247473"/>
    <n v="18"/>
    <n v="46399"/>
    <n v="835182"/>
    <n v="16"/>
    <n v="49051"/>
    <n v="784816"/>
    <n v="79"/>
    <n v="54396"/>
    <n v="4297284"/>
    <n v="91"/>
    <n v="54368"/>
    <n v="4947488"/>
    <m/>
    <m/>
    <n v="0"/>
    <m/>
    <m/>
    <n v="0"/>
    <n v="8"/>
    <n v="101672"/>
    <n v="665504.24320000003"/>
    <n v="11"/>
    <n v="108172"/>
    <n v="973569.6344000001"/>
    <n v="14"/>
    <n v="101573"/>
    <n v="1163498.4004000002"/>
    <n v="17"/>
    <n v="105297"/>
    <n v="1464618.0918000001"/>
    <n v="5"/>
    <n v="65240"/>
    <n v="266896.84000000003"/>
    <n v="4"/>
    <n v="68451"/>
    <n v="224026.43280000001"/>
    <n v="8"/>
    <n v="57543"/>
    <n v="376653.4608"/>
    <n v="1"/>
    <n v="56774"/>
    <n v="46452.486799999999"/>
    <n v="11"/>
    <n v="85347"/>
    <n v="768140.06940000004"/>
    <n v="11"/>
    <n v="97250"/>
    <n v="875269.45000000007"/>
    <m/>
    <m/>
    <n v="0"/>
    <m/>
    <m/>
    <n v="0"/>
  </r>
  <r>
    <x v="9"/>
    <s v="Fayetteville State University "/>
    <n v="198543"/>
    <x v="3"/>
    <n v="37"/>
    <n v="80581"/>
    <n v="2981497"/>
    <n v="33"/>
    <n v="89391"/>
    <n v="2949903"/>
    <n v="52"/>
    <n v="66013"/>
    <n v="3432676"/>
    <n v="51"/>
    <n v="73778"/>
    <n v="3762678"/>
    <n v="125"/>
    <n v="59919"/>
    <n v="7489875"/>
    <n v="136"/>
    <n v="65014"/>
    <n v="8841904"/>
    <n v="6"/>
    <n v="50832"/>
    <n v="304992"/>
    <n v="7"/>
    <n v="55597"/>
    <n v="389179"/>
    <n v="37"/>
    <n v="50791"/>
    <n v="1879267"/>
    <n v="36"/>
    <n v="53427"/>
    <n v="1923372"/>
    <m/>
    <m/>
    <n v="0"/>
    <m/>
    <m/>
    <n v="0"/>
    <n v="11"/>
    <n v="95233"/>
    <n v="857116.0466"/>
    <n v="7"/>
    <n v="103648"/>
    <n v="593633.55520000006"/>
    <n v="7"/>
    <n v="89030"/>
    <n v="509910.42200000002"/>
    <n v="9"/>
    <n v="94186"/>
    <n v="693566.86680000008"/>
    <n v="8"/>
    <n v="75070"/>
    <n v="491378.19200000004"/>
    <n v="9"/>
    <n v="86692"/>
    <n v="638382.54960000003"/>
    <n v="1"/>
    <n v="58963"/>
    <n v="48243.526600000005"/>
    <n v="1"/>
    <n v="63726"/>
    <n v="52140.6132"/>
    <n v="15"/>
    <n v="53001"/>
    <n v="650481.27300000004"/>
    <n v="17"/>
    <n v="60723"/>
    <n v="844620.49620000005"/>
    <m/>
    <m/>
    <n v="0"/>
    <m/>
    <m/>
    <n v="0"/>
  </r>
  <r>
    <x v="9"/>
    <s v="University of North Carolina at Pembroke"/>
    <n v="199281"/>
    <x v="4"/>
    <n v="33"/>
    <n v="87750"/>
    <n v="2895750"/>
    <n v="53"/>
    <n v="85479"/>
    <n v="4530387"/>
    <n v="51"/>
    <n v="67816"/>
    <n v="3458616"/>
    <n v="52"/>
    <n v="66883"/>
    <n v="3477916"/>
    <n v="100"/>
    <n v="57349"/>
    <n v="5734900"/>
    <n v="101"/>
    <n v="58224"/>
    <n v="5880624"/>
    <n v="3"/>
    <n v="55876"/>
    <n v="167628"/>
    <n v="2"/>
    <n v="51732"/>
    <n v="103464"/>
    <n v="89"/>
    <n v="46944"/>
    <n v="4178016"/>
    <n v="74"/>
    <n v="49694"/>
    <n v="3677356"/>
    <m/>
    <m/>
    <n v="0"/>
    <m/>
    <m/>
    <n v="0"/>
    <n v="3"/>
    <n v="82598"/>
    <n v="202745.0508"/>
    <n v="2"/>
    <n v="71644"/>
    <n v="117238.24160000001"/>
    <n v="1"/>
    <n v="97448"/>
    <n v="79731.953600000008"/>
    <n v="1"/>
    <n v="98000"/>
    <n v="80183.600000000006"/>
    <m/>
    <m/>
    <n v="0"/>
    <n v="3"/>
    <n v="73896"/>
    <n v="181385.12160000001"/>
    <m/>
    <m/>
    <n v="0"/>
    <m/>
    <m/>
    <n v="0"/>
    <n v="5"/>
    <n v="73881"/>
    <n v="302247.17100000003"/>
    <n v="3"/>
    <n v="68354"/>
    <n v="167781.72840000002"/>
    <m/>
    <m/>
    <n v="0"/>
    <m/>
    <m/>
    <n v="0"/>
  </r>
  <r>
    <x v="9"/>
    <s v="Winston-Salem State University "/>
    <n v="199999"/>
    <x v="4"/>
    <n v="26"/>
    <n v="88372"/>
    <n v="2297672"/>
    <n v="26"/>
    <n v="89895"/>
    <n v="2337270"/>
    <n v="83"/>
    <n v="71773"/>
    <n v="5957159"/>
    <n v="89"/>
    <n v="74582"/>
    <n v="6637798"/>
    <n v="95"/>
    <n v="66403"/>
    <n v="6308285"/>
    <n v="96"/>
    <n v="67801"/>
    <n v="6508896"/>
    <n v="22"/>
    <n v="56033"/>
    <n v="1232726"/>
    <n v="30"/>
    <n v="59930"/>
    <n v="1797900"/>
    <n v="10"/>
    <n v="56605"/>
    <n v="566050"/>
    <n v="7"/>
    <n v="54550"/>
    <n v="381850"/>
    <m/>
    <m/>
    <n v="0"/>
    <m/>
    <m/>
    <n v="0"/>
    <n v="7"/>
    <n v="118983"/>
    <n v="681463.23420000006"/>
    <n v="7"/>
    <n v="117070"/>
    <n v="670506.71799999999"/>
    <n v="32"/>
    <n v="90046"/>
    <n v="2357620.3903999999"/>
    <n v="35"/>
    <n v="94872"/>
    <n v="2716849.4640000002"/>
    <n v="24"/>
    <n v="81661"/>
    <n v="1603560.7248"/>
    <n v="30"/>
    <n v="81318"/>
    <n v="1996031.628"/>
    <n v="1"/>
    <n v="49920"/>
    <n v="40844.544000000002"/>
    <n v="4"/>
    <n v="62894"/>
    <n v="205839.48320000002"/>
    <n v="19"/>
    <n v="71479"/>
    <n v="1111198.2382"/>
    <n v="14"/>
    <n v="71926"/>
    <n v="823897.94480000006"/>
    <m/>
    <m/>
    <n v="0"/>
    <m/>
    <m/>
    <n v="0"/>
  </r>
  <r>
    <x v="9"/>
    <s v="Elizabeth City State University "/>
    <n v="198507"/>
    <x v="5"/>
    <n v="34"/>
    <n v="79500"/>
    <n v="2703000"/>
    <n v="34"/>
    <n v="83836"/>
    <n v="2850424"/>
    <n v="42"/>
    <n v="71050"/>
    <n v="2984100"/>
    <n v="39"/>
    <n v="72525"/>
    <n v="2828475"/>
    <n v="38"/>
    <n v="60003"/>
    <n v="2280114"/>
    <n v="39"/>
    <n v="63034"/>
    <n v="2458326"/>
    <n v="4"/>
    <n v="49789"/>
    <n v="199156"/>
    <n v="4"/>
    <n v="53386"/>
    <n v="213544"/>
    <n v="47"/>
    <n v="56615"/>
    <n v="2660905"/>
    <n v="39"/>
    <n v="60507"/>
    <n v="2359773"/>
    <m/>
    <m/>
    <n v="0"/>
    <m/>
    <m/>
    <n v="0"/>
    <m/>
    <m/>
    <n v="0"/>
    <m/>
    <m/>
    <n v="0"/>
    <n v="2"/>
    <n v="77028"/>
    <n v="126048.6192"/>
    <m/>
    <m/>
    <n v="0"/>
    <n v="2"/>
    <n v="81124"/>
    <n v="132751.31359999999"/>
    <n v="2"/>
    <n v="87351"/>
    <n v="142941.1764"/>
    <m/>
    <m/>
    <n v="0"/>
    <m/>
    <m/>
    <n v="0"/>
    <n v="6"/>
    <n v="53113"/>
    <n v="260742.33960000001"/>
    <n v="4"/>
    <n v="72293"/>
    <n v="236600.53040000002"/>
    <m/>
    <m/>
    <n v="0"/>
    <m/>
    <m/>
    <n v="0"/>
  </r>
  <r>
    <x v="9"/>
    <s v="University of North Carolina at Asheville"/>
    <n v="199111"/>
    <x v="5"/>
    <n v="58"/>
    <n v="83982"/>
    <n v="4870956"/>
    <n v="58"/>
    <n v="87733"/>
    <n v="5088514"/>
    <n v="59"/>
    <n v="65496"/>
    <n v="3864264"/>
    <n v="55"/>
    <n v="67808"/>
    <n v="3729440"/>
    <n v="47"/>
    <n v="57958"/>
    <n v="2724026"/>
    <n v="50"/>
    <n v="61016"/>
    <n v="3050800"/>
    <m/>
    <m/>
    <n v="0"/>
    <m/>
    <m/>
    <n v="0"/>
    <n v="42"/>
    <n v="48106"/>
    <n v="2020452"/>
    <n v="44"/>
    <n v="48467"/>
    <n v="2132548"/>
    <m/>
    <m/>
    <n v="0"/>
    <m/>
    <m/>
    <n v="0"/>
    <m/>
    <m/>
    <n v="0"/>
    <m/>
    <m/>
    <n v="0"/>
    <m/>
    <m/>
    <n v="0"/>
    <m/>
    <m/>
    <n v="0"/>
    <n v="1"/>
    <n v="56667"/>
    <n v="46364.939400000003"/>
    <m/>
    <m/>
    <n v="0"/>
    <m/>
    <m/>
    <n v="0"/>
    <m/>
    <m/>
    <n v="0"/>
    <m/>
    <m/>
    <n v="0"/>
    <m/>
    <m/>
    <n v="0"/>
    <m/>
    <m/>
    <n v="0"/>
    <m/>
    <m/>
    <n v="0"/>
  </r>
  <r>
    <x v="9"/>
    <s v="Asheville-Buncombe Technical Community College"/>
    <n v="197887"/>
    <x v="6"/>
    <m/>
    <m/>
    <n v="0"/>
    <m/>
    <m/>
    <n v="0"/>
    <m/>
    <m/>
    <n v="0"/>
    <m/>
    <m/>
    <n v="0"/>
    <m/>
    <m/>
    <n v="0"/>
    <m/>
    <m/>
    <n v="0"/>
    <m/>
    <m/>
    <n v="0"/>
    <m/>
    <m/>
    <n v="0"/>
    <m/>
    <m/>
    <n v="0"/>
    <m/>
    <m/>
    <n v="0"/>
    <n v="157"/>
    <n v="46347"/>
    <n v="7276479"/>
    <n v="162"/>
    <n v="47375"/>
    <n v="7674750"/>
    <m/>
    <m/>
    <n v="0"/>
    <m/>
    <m/>
    <n v="0"/>
    <m/>
    <m/>
    <n v="0"/>
    <m/>
    <m/>
    <n v="0"/>
    <m/>
    <m/>
    <n v="0"/>
    <m/>
    <m/>
    <n v="0"/>
    <m/>
    <m/>
    <n v="0"/>
    <m/>
    <m/>
    <n v="0"/>
    <m/>
    <m/>
    <n v="0"/>
    <m/>
    <m/>
    <n v="0"/>
    <m/>
    <m/>
    <n v="0"/>
    <m/>
    <m/>
    <n v="0"/>
  </r>
  <r>
    <x v="9"/>
    <s v="Cape Fear Community College"/>
    <n v="198154"/>
    <x v="6"/>
    <m/>
    <m/>
    <n v="0"/>
    <m/>
    <m/>
    <n v="0"/>
    <m/>
    <m/>
    <n v="0"/>
    <m/>
    <m/>
    <n v="0"/>
    <m/>
    <m/>
    <n v="0"/>
    <m/>
    <m/>
    <n v="0"/>
    <m/>
    <m/>
    <n v="0"/>
    <m/>
    <m/>
    <n v="0"/>
    <m/>
    <m/>
    <n v="0"/>
    <m/>
    <m/>
    <n v="0"/>
    <n v="227"/>
    <n v="46350"/>
    <n v="10521450"/>
    <n v="235"/>
    <n v="47965"/>
    <n v="11271775"/>
    <m/>
    <m/>
    <n v="0"/>
    <m/>
    <m/>
    <n v="0"/>
    <m/>
    <m/>
    <n v="0"/>
    <m/>
    <m/>
    <n v="0"/>
    <m/>
    <m/>
    <n v="0"/>
    <m/>
    <m/>
    <n v="0"/>
    <m/>
    <m/>
    <n v="0"/>
    <m/>
    <m/>
    <n v="0"/>
    <m/>
    <m/>
    <n v="0"/>
    <m/>
    <m/>
    <n v="0"/>
    <m/>
    <m/>
    <n v="0"/>
    <m/>
    <m/>
    <n v="0"/>
  </r>
  <r>
    <x v="9"/>
    <s v="Catawba Valley Community College"/>
    <n v="198233"/>
    <x v="6"/>
    <m/>
    <m/>
    <n v="0"/>
    <m/>
    <m/>
    <n v="0"/>
    <m/>
    <m/>
    <n v="0"/>
    <m/>
    <m/>
    <n v="0"/>
    <m/>
    <m/>
    <n v="0"/>
    <m/>
    <m/>
    <n v="0"/>
    <m/>
    <m/>
    <n v="0"/>
    <m/>
    <m/>
    <n v="0"/>
    <m/>
    <m/>
    <n v="0"/>
    <m/>
    <m/>
    <n v="0"/>
    <n v="124"/>
    <n v="44568"/>
    <n v="5526432"/>
    <n v="125"/>
    <n v="45888"/>
    <n v="5736000"/>
    <m/>
    <m/>
    <n v="0"/>
    <m/>
    <m/>
    <n v="0"/>
    <m/>
    <m/>
    <n v="0"/>
    <m/>
    <m/>
    <n v="0"/>
    <m/>
    <m/>
    <n v="0"/>
    <m/>
    <m/>
    <n v="0"/>
    <m/>
    <m/>
    <n v="0"/>
    <m/>
    <m/>
    <n v="0"/>
    <m/>
    <m/>
    <n v="0"/>
    <m/>
    <m/>
    <n v="0"/>
    <m/>
    <m/>
    <n v="0"/>
    <m/>
    <m/>
    <n v="0"/>
  </r>
  <r>
    <x v="9"/>
    <s v="Central Carolina Commuity College"/>
    <n v="198251"/>
    <x v="6"/>
    <m/>
    <m/>
    <n v="0"/>
    <m/>
    <m/>
    <n v="0"/>
    <m/>
    <m/>
    <n v="0"/>
    <m/>
    <m/>
    <n v="0"/>
    <m/>
    <m/>
    <n v="0"/>
    <m/>
    <m/>
    <n v="0"/>
    <m/>
    <m/>
    <n v="0"/>
    <m/>
    <m/>
    <n v="0"/>
    <m/>
    <m/>
    <n v="0"/>
    <m/>
    <m/>
    <n v="0"/>
    <n v="140"/>
    <n v="42644"/>
    <n v="5970160"/>
    <n v="146"/>
    <n v="42833"/>
    <n v="6253618"/>
    <m/>
    <m/>
    <n v="0"/>
    <m/>
    <m/>
    <n v="0"/>
    <m/>
    <m/>
    <n v="0"/>
    <m/>
    <m/>
    <n v="0"/>
    <m/>
    <m/>
    <n v="0"/>
    <m/>
    <m/>
    <n v="0"/>
    <m/>
    <m/>
    <n v="0"/>
    <m/>
    <m/>
    <n v="0"/>
    <m/>
    <m/>
    <n v="0"/>
    <m/>
    <m/>
    <n v="0"/>
    <m/>
    <m/>
    <n v="0"/>
    <m/>
    <m/>
    <n v="0"/>
  </r>
  <r>
    <x v="9"/>
    <s v="Central Piedmont Community College "/>
    <n v="198260"/>
    <x v="6"/>
    <m/>
    <m/>
    <n v="0"/>
    <m/>
    <m/>
    <n v="0"/>
    <m/>
    <m/>
    <n v="0"/>
    <m/>
    <m/>
    <n v="0"/>
    <m/>
    <m/>
    <n v="0"/>
    <m/>
    <m/>
    <n v="0"/>
    <m/>
    <m/>
    <n v="0"/>
    <m/>
    <m/>
    <n v="0"/>
    <m/>
    <m/>
    <n v="0"/>
    <m/>
    <m/>
    <n v="0"/>
    <n v="286"/>
    <n v="51883"/>
    <n v="14838538"/>
    <n v="304"/>
    <n v="53118"/>
    <n v="16147872"/>
    <m/>
    <m/>
    <n v="0"/>
    <m/>
    <m/>
    <n v="0"/>
    <m/>
    <m/>
    <n v="0"/>
    <m/>
    <m/>
    <n v="0"/>
    <m/>
    <m/>
    <n v="0"/>
    <m/>
    <m/>
    <n v="0"/>
    <m/>
    <m/>
    <n v="0"/>
    <m/>
    <m/>
    <n v="0"/>
    <m/>
    <m/>
    <n v="0"/>
    <m/>
    <m/>
    <n v="0"/>
    <m/>
    <m/>
    <n v="0"/>
    <m/>
    <m/>
    <n v="0"/>
  </r>
  <r>
    <x v="9"/>
    <s v="Durham Technical Community College"/>
    <n v="198455"/>
    <x v="6"/>
    <m/>
    <m/>
    <n v="0"/>
    <m/>
    <m/>
    <n v="0"/>
    <m/>
    <m/>
    <n v="0"/>
    <m/>
    <m/>
    <n v="0"/>
    <m/>
    <m/>
    <n v="0"/>
    <m/>
    <m/>
    <n v="0"/>
    <m/>
    <m/>
    <n v="0"/>
    <m/>
    <m/>
    <n v="0"/>
    <m/>
    <m/>
    <n v="0"/>
    <m/>
    <m/>
    <n v="0"/>
    <n v="146"/>
    <n v="49925"/>
    <n v="7289050"/>
    <n v="142"/>
    <n v="51128"/>
    <n v="7260176"/>
    <m/>
    <m/>
    <n v="0"/>
    <m/>
    <m/>
    <n v="0"/>
    <m/>
    <m/>
    <n v="0"/>
    <m/>
    <m/>
    <n v="0"/>
    <m/>
    <m/>
    <n v="0"/>
    <m/>
    <m/>
    <n v="0"/>
    <m/>
    <m/>
    <n v="0"/>
    <m/>
    <m/>
    <n v="0"/>
    <m/>
    <m/>
    <n v="0"/>
    <m/>
    <m/>
    <n v="0"/>
    <m/>
    <m/>
    <n v="0"/>
    <m/>
    <m/>
    <n v="0"/>
  </r>
  <r>
    <x v="9"/>
    <s v="Fayetteville Technical Community College"/>
    <n v="198534"/>
    <x v="6"/>
    <m/>
    <m/>
    <n v="0"/>
    <m/>
    <m/>
    <n v="0"/>
    <m/>
    <m/>
    <n v="0"/>
    <m/>
    <m/>
    <n v="0"/>
    <m/>
    <m/>
    <n v="0"/>
    <m/>
    <m/>
    <n v="0"/>
    <m/>
    <m/>
    <n v="0"/>
    <m/>
    <m/>
    <n v="0"/>
    <m/>
    <m/>
    <n v="0"/>
    <m/>
    <m/>
    <n v="0"/>
    <n v="249"/>
    <n v="47564"/>
    <n v="11843436"/>
    <n v="247"/>
    <n v="48535"/>
    <n v="11988145"/>
    <m/>
    <m/>
    <n v="0"/>
    <m/>
    <m/>
    <n v="0"/>
    <m/>
    <m/>
    <n v="0"/>
    <m/>
    <m/>
    <n v="0"/>
    <m/>
    <m/>
    <n v="0"/>
    <m/>
    <m/>
    <n v="0"/>
    <m/>
    <m/>
    <n v="0"/>
    <m/>
    <m/>
    <n v="0"/>
    <m/>
    <m/>
    <n v="0"/>
    <m/>
    <m/>
    <n v="0"/>
    <m/>
    <m/>
    <n v="0"/>
    <m/>
    <m/>
    <n v="0"/>
  </r>
  <r>
    <x v="9"/>
    <s v="Forsyth Technical Community College"/>
    <n v="198552"/>
    <x v="6"/>
    <m/>
    <m/>
    <n v="0"/>
    <m/>
    <m/>
    <n v="0"/>
    <m/>
    <m/>
    <n v="0"/>
    <m/>
    <m/>
    <n v="0"/>
    <m/>
    <m/>
    <n v="0"/>
    <m/>
    <m/>
    <n v="0"/>
    <m/>
    <m/>
    <n v="0"/>
    <m/>
    <m/>
    <n v="0"/>
    <m/>
    <m/>
    <n v="0"/>
    <m/>
    <m/>
    <n v="0"/>
    <n v="175"/>
    <n v="43122"/>
    <n v="7546350"/>
    <n v="176"/>
    <n v="44290"/>
    <n v="7795040"/>
    <m/>
    <m/>
    <n v="0"/>
    <m/>
    <m/>
    <n v="0"/>
    <m/>
    <m/>
    <n v="0"/>
    <m/>
    <m/>
    <n v="0"/>
    <m/>
    <m/>
    <n v="0"/>
    <m/>
    <m/>
    <n v="0"/>
    <m/>
    <m/>
    <n v="0"/>
    <m/>
    <m/>
    <n v="0"/>
    <m/>
    <m/>
    <n v="0"/>
    <m/>
    <m/>
    <n v="0"/>
    <m/>
    <m/>
    <n v="0"/>
    <m/>
    <m/>
    <n v="0"/>
  </r>
  <r>
    <x v="9"/>
    <s v="Guilford Technical Community College"/>
    <n v="198622"/>
    <x v="6"/>
    <m/>
    <m/>
    <n v="0"/>
    <m/>
    <m/>
    <n v="0"/>
    <m/>
    <m/>
    <n v="0"/>
    <m/>
    <m/>
    <n v="0"/>
    <m/>
    <m/>
    <n v="0"/>
    <m/>
    <m/>
    <n v="0"/>
    <m/>
    <m/>
    <n v="0"/>
    <m/>
    <m/>
    <n v="0"/>
    <m/>
    <m/>
    <n v="0"/>
    <m/>
    <m/>
    <n v="0"/>
    <n v="251"/>
    <n v="50260"/>
    <n v="12615260"/>
    <n v="264"/>
    <n v="52900"/>
    <n v="13965600"/>
    <m/>
    <m/>
    <n v="0"/>
    <m/>
    <m/>
    <n v="0"/>
    <m/>
    <m/>
    <n v="0"/>
    <m/>
    <m/>
    <n v="0"/>
    <m/>
    <m/>
    <n v="0"/>
    <m/>
    <m/>
    <n v="0"/>
    <m/>
    <m/>
    <n v="0"/>
    <m/>
    <m/>
    <n v="0"/>
    <m/>
    <m/>
    <n v="0"/>
    <m/>
    <m/>
    <n v="0"/>
    <m/>
    <m/>
    <n v="0"/>
    <m/>
    <m/>
    <n v="0"/>
  </r>
  <r>
    <x v="9"/>
    <s v="Pitt Community College"/>
    <n v="199333"/>
    <x v="6"/>
    <m/>
    <m/>
    <n v="0"/>
    <m/>
    <m/>
    <n v="0"/>
    <m/>
    <m/>
    <n v="0"/>
    <m/>
    <m/>
    <n v="0"/>
    <m/>
    <m/>
    <n v="0"/>
    <m/>
    <m/>
    <n v="0"/>
    <m/>
    <m/>
    <n v="0"/>
    <m/>
    <m/>
    <n v="0"/>
    <m/>
    <m/>
    <n v="0"/>
    <m/>
    <m/>
    <n v="0"/>
    <n v="172"/>
    <n v="47032"/>
    <n v="8089504"/>
    <n v="182"/>
    <n v="47777"/>
    <n v="8695414"/>
    <m/>
    <m/>
    <n v="0"/>
    <m/>
    <m/>
    <n v="0"/>
    <m/>
    <m/>
    <n v="0"/>
    <m/>
    <m/>
    <n v="0"/>
    <m/>
    <m/>
    <n v="0"/>
    <m/>
    <m/>
    <n v="0"/>
    <m/>
    <m/>
    <n v="0"/>
    <m/>
    <m/>
    <n v="0"/>
    <m/>
    <m/>
    <n v="0"/>
    <m/>
    <m/>
    <n v="0"/>
    <m/>
    <m/>
    <n v="0"/>
    <m/>
    <m/>
    <n v="0"/>
  </r>
  <r>
    <x v="9"/>
    <s v="Rowan-Cabarrus Community College"/>
    <n v="199494"/>
    <x v="6"/>
    <m/>
    <m/>
    <n v="0"/>
    <m/>
    <m/>
    <n v="0"/>
    <m/>
    <m/>
    <n v="0"/>
    <m/>
    <m/>
    <n v="0"/>
    <m/>
    <m/>
    <n v="0"/>
    <m/>
    <m/>
    <n v="0"/>
    <m/>
    <m/>
    <n v="0"/>
    <m/>
    <m/>
    <n v="0"/>
    <m/>
    <m/>
    <n v="0"/>
    <m/>
    <m/>
    <n v="0"/>
    <n v="137"/>
    <n v="48785"/>
    <n v="6683545"/>
    <n v="138"/>
    <n v="49505"/>
    <n v="6831690"/>
    <m/>
    <m/>
    <n v="0"/>
    <m/>
    <m/>
    <n v="0"/>
    <m/>
    <m/>
    <n v="0"/>
    <m/>
    <m/>
    <n v="0"/>
    <m/>
    <m/>
    <n v="0"/>
    <m/>
    <m/>
    <n v="0"/>
    <m/>
    <m/>
    <n v="0"/>
    <m/>
    <m/>
    <n v="0"/>
    <m/>
    <m/>
    <n v="0"/>
    <m/>
    <m/>
    <n v="0"/>
    <m/>
    <m/>
    <n v="0"/>
    <m/>
    <m/>
    <n v="0"/>
  </r>
  <r>
    <x v="9"/>
    <s v="Wake Technical Community College"/>
    <n v="199856"/>
    <x v="6"/>
    <m/>
    <m/>
    <n v="0"/>
    <m/>
    <m/>
    <n v="0"/>
    <m/>
    <m/>
    <n v="0"/>
    <m/>
    <m/>
    <n v="0"/>
    <m/>
    <m/>
    <n v="0"/>
    <m/>
    <m/>
    <n v="0"/>
    <m/>
    <m/>
    <n v="0"/>
    <m/>
    <m/>
    <n v="0"/>
    <m/>
    <m/>
    <n v="0"/>
    <m/>
    <m/>
    <n v="0"/>
    <n v="385"/>
    <n v="43022"/>
    <n v="16563470"/>
    <n v="412"/>
    <n v="44500"/>
    <n v="18334000"/>
    <m/>
    <m/>
    <n v="0"/>
    <m/>
    <m/>
    <n v="0"/>
    <m/>
    <m/>
    <n v="0"/>
    <m/>
    <m/>
    <n v="0"/>
    <m/>
    <m/>
    <n v="0"/>
    <m/>
    <m/>
    <n v="0"/>
    <m/>
    <m/>
    <n v="0"/>
    <m/>
    <m/>
    <n v="0"/>
    <m/>
    <m/>
    <n v="0"/>
    <m/>
    <m/>
    <n v="0"/>
    <m/>
    <m/>
    <n v="0"/>
    <m/>
    <m/>
    <n v="0"/>
  </r>
  <r>
    <x v="9"/>
    <s v="Alamance Community College"/>
    <n v="199786"/>
    <x v="7"/>
    <m/>
    <m/>
    <n v="0"/>
    <m/>
    <m/>
    <n v="0"/>
    <m/>
    <m/>
    <n v="0"/>
    <m/>
    <m/>
    <n v="0"/>
    <m/>
    <m/>
    <n v="0"/>
    <m/>
    <m/>
    <n v="0"/>
    <m/>
    <m/>
    <n v="0"/>
    <m/>
    <m/>
    <n v="0"/>
    <m/>
    <m/>
    <n v="0"/>
    <m/>
    <m/>
    <n v="0"/>
    <n v="108"/>
    <n v="46764"/>
    <n v="5050512"/>
    <n v="105"/>
    <n v="49256"/>
    <n v="5171880"/>
    <m/>
    <m/>
    <n v="0"/>
    <m/>
    <m/>
    <n v="0"/>
    <m/>
    <m/>
    <n v="0"/>
    <m/>
    <m/>
    <n v="0"/>
    <m/>
    <m/>
    <n v="0"/>
    <m/>
    <m/>
    <n v="0"/>
    <m/>
    <m/>
    <n v="0"/>
    <m/>
    <m/>
    <n v="0"/>
    <m/>
    <m/>
    <n v="0"/>
    <m/>
    <m/>
    <n v="0"/>
    <m/>
    <m/>
    <n v="0"/>
    <m/>
    <m/>
    <n v="0"/>
  </r>
  <r>
    <x v="9"/>
    <s v="Blue Ridge Community College"/>
    <n v="198039"/>
    <x v="7"/>
    <m/>
    <m/>
    <n v="0"/>
    <m/>
    <m/>
    <n v="0"/>
    <m/>
    <m/>
    <n v="0"/>
    <m/>
    <m/>
    <n v="0"/>
    <m/>
    <m/>
    <n v="0"/>
    <m/>
    <m/>
    <n v="0"/>
    <m/>
    <m/>
    <n v="0"/>
    <m/>
    <m/>
    <n v="0"/>
    <m/>
    <m/>
    <n v="0"/>
    <m/>
    <m/>
    <n v="0"/>
    <n v="55"/>
    <n v="42566"/>
    <n v="2341130"/>
    <n v="57"/>
    <n v="46454"/>
    <n v="2647878"/>
    <m/>
    <m/>
    <n v="0"/>
    <m/>
    <m/>
    <n v="0"/>
    <m/>
    <m/>
    <n v="0"/>
    <m/>
    <m/>
    <n v="0"/>
    <m/>
    <m/>
    <n v="0"/>
    <m/>
    <m/>
    <n v="0"/>
    <m/>
    <m/>
    <n v="0"/>
    <m/>
    <m/>
    <n v="0"/>
    <m/>
    <m/>
    <n v="0"/>
    <m/>
    <m/>
    <n v="0"/>
    <m/>
    <m/>
    <n v="0"/>
    <m/>
    <m/>
    <n v="0"/>
  </r>
  <r>
    <x v="9"/>
    <s v="Caldwell Community College &amp; Technical Institute"/>
    <n v="198118"/>
    <x v="7"/>
    <m/>
    <m/>
    <n v="0"/>
    <m/>
    <m/>
    <n v="0"/>
    <m/>
    <m/>
    <n v="0"/>
    <m/>
    <m/>
    <n v="0"/>
    <m/>
    <m/>
    <n v="0"/>
    <m/>
    <m/>
    <n v="0"/>
    <m/>
    <m/>
    <n v="0"/>
    <m/>
    <m/>
    <n v="0"/>
    <m/>
    <m/>
    <n v="0"/>
    <m/>
    <m/>
    <n v="0"/>
    <n v="115"/>
    <n v="43659"/>
    <n v="5020785"/>
    <n v="121"/>
    <n v="44646"/>
    <n v="5402166"/>
    <m/>
    <m/>
    <n v="0"/>
    <m/>
    <m/>
    <n v="0"/>
    <m/>
    <m/>
    <n v="0"/>
    <m/>
    <m/>
    <n v="0"/>
    <m/>
    <m/>
    <n v="0"/>
    <m/>
    <m/>
    <n v="0"/>
    <m/>
    <m/>
    <n v="0"/>
    <m/>
    <m/>
    <n v="0"/>
    <m/>
    <m/>
    <n v="0"/>
    <m/>
    <m/>
    <n v="0"/>
    <m/>
    <m/>
    <n v="0"/>
    <m/>
    <m/>
    <n v="0"/>
  </r>
  <r>
    <x v="9"/>
    <s v="Cleveland Community College"/>
    <n v="198321"/>
    <x v="7"/>
    <m/>
    <m/>
    <n v="0"/>
    <m/>
    <m/>
    <n v="0"/>
    <m/>
    <m/>
    <n v="0"/>
    <m/>
    <m/>
    <n v="0"/>
    <m/>
    <m/>
    <n v="0"/>
    <m/>
    <m/>
    <n v="0"/>
    <m/>
    <m/>
    <n v="0"/>
    <m/>
    <m/>
    <n v="0"/>
    <m/>
    <m/>
    <n v="0"/>
    <m/>
    <m/>
    <n v="0"/>
    <n v="81"/>
    <n v="44427"/>
    <n v="3598587"/>
    <n v="81"/>
    <n v="45843"/>
    <n v="3713283"/>
    <m/>
    <m/>
    <n v="0"/>
    <m/>
    <m/>
    <n v="0"/>
    <m/>
    <m/>
    <n v="0"/>
    <m/>
    <m/>
    <n v="0"/>
    <m/>
    <m/>
    <n v="0"/>
    <m/>
    <m/>
    <n v="0"/>
    <m/>
    <m/>
    <n v="0"/>
    <m/>
    <m/>
    <n v="0"/>
    <m/>
    <m/>
    <n v="0"/>
    <m/>
    <m/>
    <n v="0"/>
    <m/>
    <m/>
    <n v="0"/>
    <m/>
    <m/>
    <n v="0"/>
  </r>
  <r>
    <x v="9"/>
    <s v="Coastal Carolina Community College "/>
    <n v="198330"/>
    <x v="7"/>
    <m/>
    <m/>
    <n v="0"/>
    <m/>
    <m/>
    <n v="0"/>
    <m/>
    <m/>
    <n v="0"/>
    <m/>
    <m/>
    <n v="0"/>
    <m/>
    <m/>
    <n v="0"/>
    <m/>
    <m/>
    <n v="0"/>
    <m/>
    <m/>
    <n v="0"/>
    <m/>
    <m/>
    <n v="0"/>
    <m/>
    <m/>
    <n v="0"/>
    <m/>
    <m/>
    <n v="0"/>
    <n v="128"/>
    <n v="44085"/>
    <n v="5642880"/>
    <n v="128"/>
    <n v="44988"/>
    <n v="5758464"/>
    <m/>
    <m/>
    <n v="0"/>
    <m/>
    <m/>
    <n v="0"/>
    <m/>
    <m/>
    <n v="0"/>
    <m/>
    <m/>
    <n v="0"/>
    <m/>
    <m/>
    <n v="0"/>
    <m/>
    <m/>
    <n v="0"/>
    <m/>
    <m/>
    <n v="0"/>
    <m/>
    <m/>
    <n v="0"/>
    <m/>
    <m/>
    <n v="0"/>
    <m/>
    <m/>
    <n v="0"/>
    <m/>
    <m/>
    <n v="0"/>
    <m/>
    <m/>
    <n v="0"/>
  </r>
  <r>
    <x v="9"/>
    <s v="College of the Albemarle"/>
    <n v="197814"/>
    <x v="7"/>
    <m/>
    <m/>
    <n v="0"/>
    <m/>
    <m/>
    <n v="0"/>
    <m/>
    <m/>
    <n v="0"/>
    <m/>
    <m/>
    <n v="0"/>
    <m/>
    <m/>
    <n v="0"/>
    <m/>
    <m/>
    <n v="0"/>
    <m/>
    <m/>
    <n v="0"/>
    <m/>
    <m/>
    <n v="0"/>
    <m/>
    <m/>
    <n v="0"/>
    <m/>
    <m/>
    <n v="0"/>
    <n v="76"/>
    <n v="40827"/>
    <n v="3102852"/>
    <n v="76"/>
    <n v="43141"/>
    <n v="3278716"/>
    <m/>
    <m/>
    <n v="0"/>
    <m/>
    <m/>
    <n v="0"/>
    <m/>
    <m/>
    <n v="0"/>
    <m/>
    <m/>
    <n v="0"/>
    <m/>
    <m/>
    <n v="0"/>
    <m/>
    <m/>
    <n v="0"/>
    <m/>
    <m/>
    <n v="0"/>
    <m/>
    <m/>
    <n v="0"/>
    <m/>
    <m/>
    <n v="0"/>
    <m/>
    <m/>
    <n v="0"/>
    <m/>
    <m/>
    <n v="0"/>
    <m/>
    <m/>
    <n v="0"/>
  </r>
  <r>
    <x v="9"/>
    <s v="Craven Community College "/>
    <n v="198367"/>
    <x v="7"/>
    <m/>
    <m/>
    <n v="0"/>
    <m/>
    <m/>
    <n v="0"/>
    <m/>
    <m/>
    <n v="0"/>
    <m/>
    <m/>
    <n v="0"/>
    <m/>
    <m/>
    <n v="0"/>
    <m/>
    <m/>
    <n v="0"/>
    <m/>
    <m/>
    <n v="0"/>
    <m/>
    <m/>
    <n v="0"/>
    <m/>
    <m/>
    <n v="0"/>
    <m/>
    <m/>
    <n v="0"/>
    <n v="72"/>
    <n v="47485"/>
    <n v="3418920"/>
    <n v="70"/>
    <n v="49665"/>
    <n v="3476550"/>
    <m/>
    <m/>
    <n v="0"/>
    <m/>
    <m/>
    <n v="0"/>
    <m/>
    <m/>
    <n v="0"/>
    <m/>
    <m/>
    <n v="0"/>
    <m/>
    <m/>
    <n v="0"/>
    <m/>
    <m/>
    <n v="0"/>
    <m/>
    <m/>
    <n v="0"/>
    <m/>
    <m/>
    <n v="0"/>
    <m/>
    <m/>
    <n v="0"/>
    <m/>
    <m/>
    <n v="0"/>
    <m/>
    <m/>
    <n v="0"/>
    <m/>
    <m/>
    <n v="0"/>
  </r>
  <r>
    <x v="9"/>
    <s v="Davidson County Community College "/>
    <n v="198376"/>
    <x v="7"/>
    <m/>
    <m/>
    <n v="0"/>
    <m/>
    <m/>
    <n v="0"/>
    <m/>
    <m/>
    <n v="0"/>
    <m/>
    <m/>
    <n v="0"/>
    <m/>
    <m/>
    <n v="0"/>
    <m/>
    <m/>
    <n v="0"/>
    <m/>
    <m/>
    <n v="0"/>
    <m/>
    <m/>
    <n v="0"/>
    <m/>
    <m/>
    <n v="0"/>
    <m/>
    <m/>
    <n v="0"/>
    <n v="94"/>
    <n v="47112"/>
    <n v="4428528"/>
    <n v="89"/>
    <n v="47682"/>
    <n v="4243698"/>
    <m/>
    <m/>
    <n v="0"/>
    <m/>
    <m/>
    <n v="0"/>
    <m/>
    <m/>
    <n v="0"/>
    <m/>
    <m/>
    <n v="0"/>
    <m/>
    <m/>
    <n v="0"/>
    <m/>
    <m/>
    <n v="0"/>
    <m/>
    <m/>
    <n v="0"/>
    <m/>
    <m/>
    <n v="0"/>
    <m/>
    <m/>
    <n v="0"/>
    <m/>
    <m/>
    <n v="0"/>
    <m/>
    <m/>
    <n v="0"/>
    <m/>
    <m/>
    <n v="0"/>
  </r>
  <r>
    <x v="9"/>
    <s v="Edgecombe Community College"/>
    <n v="198491"/>
    <x v="7"/>
    <m/>
    <m/>
    <n v="0"/>
    <m/>
    <m/>
    <n v="0"/>
    <m/>
    <m/>
    <n v="0"/>
    <m/>
    <m/>
    <n v="0"/>
    <m/>
    <m/>
    <n v="0"/>
    <m/>
    <m/>
    <n v="0"/>
    <m/>
    <m/>
    <n v="0"/>
    <m/>
    <m/>
    <n v="0"/>
    <m/>
    <m/>
    <n v="0"/>
    <m/>
    <m/>
    <n v="0"/>
    <n v="78"/>
    <n v="43973"/>
    <n v="3429894"/>
    <n v="73"/>
    <n v="45134"/>
    <n v="3294782"/>
    <m/>
    <m/>
    <n v="0"/>
    <m/>
    <m/>
    <n v="0"/>
    <m/>
    <m/>
    <n v="0"/>
    <m/>
    <m/>
    <n v="0"/>
    <m/>
    <m/>
    <n v="0"/>
    <m/>
    <m/>
    <n v="0"/>
    <m/>
    <m/>
    <n v="0"/>
    <m/>
    <m/>
    <n v="0"/>
    <m/>
    <m/>
    <n v="0"/>
    <m/>
    <m/>
    <n v="0"/>
    <m/>
    <m/>
    <n v="0"/>
    <m/>
    <m/>
    <n v="0"/>
  </r>
  <r>
    <x v="9"/>
    <s v="Gaston College "/>
    <n v="198570"/>
    <x v="7"/>
    <m/>
    <m/>
    <n v="0"/>
    <m/>
    <m/>
    <n v="0"/>
    <m/>
    <m/>
    <n v="0"/>
    <m/>
    <m/>
    <n v="0"/>
    <m/>
    <m/>
    <n v="0"/>
    <m/>
    <m/>
    <n v="0"/>
    <m/>
    <m/>
    <n v="0"/>
    <m/>
    <m/>
    <n v="0"/>
    <m/>
    <m/>
    <n v="0"/>
    <m/>
    <m/>
    <n v="0"/>
    <n v="127"/>
    <n v="49739"/>
    <n v="6316853"/>
    <n v="138"/>
    <n v="50665"/>
    <n v="6991770"/>
    <m/>
    <m/>
    <n v="0"/>
    <m/>
    <m/>
    <n v="0"/>
    <m/>
    <m/>
    <n v="0"/>
    <m/>
    <m/>
    <n v="0"/>
    <m/>
    <m/>
    <n v="0"/>
    <m/>
    <m/>
    <n v="0"/>
    <m/>
    <m/>
    <n v="0"/>
    <m/>
    <m/>
    <n v="0"/>
    <m/>
    <m/>
    <n v="0"/>
    <m/>
    <m/>
    <n v="0"/>
    <m/>
    <m/>
    <n v="0"/>
    <m/>
    <m/>
    <n v="0"/>
  </r>
  <r>
    <x v="9"/>
    <s v="Haywood Community College"/>
    <n v="198668"/>
    <x v="7"/>
    <m/>
    <m/>
    <n v="0"/>
    <m/>
    <m/>
    <n v="0"/>
    <m/>
    <m/>
    <n v="0"/>
    <m/>
    <m/>
    <n v="0"/>
    <m/>
    <m/>
    <n v="0"/>
    <m/>
    <m/>
    <n v="0"/>
    <m/>
    <m/>
    <n v="0"/>
    <m/>
    <m/>
    <n v="0"/>
    <m/>
    <m/>
    <n v="0"/>
    <m/>
    <m/>
    <n v="0"/>
    <n v="59"/>
    <n v="47142"/>
    <n v="2781378"/>
    <n v="62"/>
    <n v="48155"/>
    <n v="2985610"/>
    <m/>
    <m/>
    <n v="0"/>
    <m/>
    <m/>
    <n v="0"/>
    <m/>
    <m/>
    <n v="0"/>
    <m/>
    <m/>
    <n v="0"/>
    <m/>
    <m/>
    <n v="0"/>
    <m/>
    <m/>
    <n v="0"/>
    <m/>
    <m/>
    <n v="0"/>
    <m/>
    <m/>
    <n v="0"/>
    <m/>
    <m/>
    <n v="0"/>
    <m/>
    <m/>
    <n v="0"/>
    <m/>
    <m/>
    <n v="0"/>
    <m/>
    <m/>
    <n v="0"/>
  </r>
  <r>
    <x v="9"/>
    <s v="Isothermal Community College "/>
    <n v="198710"/>
    <x v="7"/>
    <m/>
    <m/>
    <n v="0"/>
    <m/>
    <m/>
    <n v="0"/>
    <m/>
    <m/>
    <n v="0"/>
    <m/>
    <m/>
    <n v="0"/>
    <m/>
    <m/>
    <n v="0"/>
    <m/>
    <m/>
    <n v="0"/>
    <m/>
    <m/>
    <n v="0"/>
    <m/>
    <m/>
    <n v="0"/>
    <m/>
    <m/>
    <n v="0"/>
    <m/>
    <m/>
    <n v="0"/>
    <n v="69"/>
    <n v="44770"/>
    <n v="3089130"/>
    <n v="69"/>
    <n v="45311"/>
    <n v="3126459"/>
    <m/>
    <m/>
    <n v="0"/>
    <m/>
    <m/>
    <n v="0"/>
    <m/>
    <m/>
    <n v="0"/>
    <m/>
    <m/>
    <n v="0"/>
    <m/>
    <m/>
    <n v="0"/>
    <m/>
    <m/>
    <n v="0"/>
    <m/>
    <m/>
    <n v="0"/>
    <m/>
    <m/>
    <n v="0"/>
    <m/>
    <m/>
    <n v="0"/>
    <m/>
    <m/>
    <n v="0"/>
    <m/>
    <m/>
    <n v="0"/>
    <m/>
    <m/>
    <n v="0"/>
  </r>
  <r>
    <x v="9"/>
    <s v="Johnston Community College"/>
    <n v="198774"/>
    <x v="7"/>
    <m/>
    <m/>
    <n v="0"/>
    <m/>
    <m/>
    <n v="0"/>
    <m/>
    <m/>
    <n v="0"/>
    <m/>
    <m/>
    <n v="0"/>
    <m/>
    <m/>
    <n v="0"/>
    <m/>
    <m/>
    <n v="0"/>
    <m/>
    <m/>
    <n v="0"/>
    <m/>
    <m/>
    <n v="0"/>
    <m/>
    <m/>
    <n v="0"/>
    <m/>
    <m/>
    <n v="0"/>
    <n v="123"/>
    <n v="50179"/>
    <n v="6172017"/>
    <n v="127"/>
    <n v="51081"/>
    <n v="6487287"/>
    <m/>
    <m/>
    <n v="0"/>
    <m/>
    <m/>
    <n v="0"/>
    <m/>
    <m/>
    <n v="0"/>
    <m/>
    <m/>
    <n v="0"/>
    <m/>
    <m/>
    <n v="0"/>
    <m/>
    <m/>
    <n v="0"/>
    <m/>
    <m/>
    <n v="0"/>
    <m/>
    <m/>
    <n v="0"/>
    <m/>
    <m/>
    <n v="0"/>
    <m/>
    <m/>
    <n v="0"/>
    <m/>
    <m/>
    <n v="0"/>
    <m/>
    <m/>
    <n v="0"/>
  </r>
  <r>
    <x v="9"/>
    <s v="Lenoir Community College "/>
    <n v="198817"/>
    <x v="7"/>
    <m/>
    <m/>
    <n v="0"/>
    <m/>
    <m/>
    <n v="0"/>
    <m/>
    <m/>
    <n v="0"/>
    <m/>
    <m/>
    <n v="0"/>
    <m/>
    <m/>
    <n v="0"/>
    <m/>
    <m/>
    <n v="0"/>
    <m/>
    <m/>
    <n v="0"/>
    <m/>
    <m/>
    <n v="0"/>
    <m/>
    <m/>
    <n v="0"/>
    <m/>
    <m/>
    <n v="0"/>
    <n v="96"/>
    <n v="43172"/>
    <n v="4144512"/>
    <n v="99"/>
    <n v="44630"/>
    <n v="4418370"/>
    <m/>
    <m/>
    <n v="0"/>
    <m/>
    <m/>
    <n v="0"/>
    <m/>
    <m/>
    <n v="0"/>
    <m/>
    <m/>
    <n v="0"/>
    <m/>
    <m/>
    <n v="0"/>
    <m/>
    <m/>
    <n v="0"/>
    <m/>
    <m/>
    <n v="0"/>
    <m/>
    <m/>
    <n v="0"/>
    <m/>
    <m/>
    <n v="0"/>
    <m/>
    <m/>
    <n v="0"/>
    <m/>
    <m/>
    <n v="0"/>
    <m/>
    <m/>
    <n v="0"/>
  </r>
  <r>
    <x v="9"/>
    <s v="Mayland Community College"/>
    <n v="198914"/>
    <x v="7"/>
    <m/>
    <m/>
    <n v="0"/>
    <m/>
    <m/>
    <n v="0"/>
    <m/>
    <m/>
    <n v="0"/>
    <m/>
    <m/>
    <n v="0"/>
    <m/>
    <m/>
    <n v="0"/>
    <m/>
    <m/>
    <n v="0"/>
    <m/>
    <m/>
    <n v="0"/>
    <m/>
    <m/>
    <n v="0"/>
    <m/>
    <m/>
    <n v="0"/>
    <m/>
    <m/>
    <n v="0"/>
    <n v="46"/>
    <n v="42079"/>
    <n v="1935634"/>
    <n v="42"/>
    <n v="43539"/>
    <n v="1828638"/>
    <m/>
    <m/>
    <n v="0"/>
    <m/>
    <m/>
    <n v="0"/>
    <m/>
    <m/>
    <n v="0"/>
    <m/>
    <m/>
    <n v="0"/>
    <m/>
    <m/>
    <n v="0"/>
    <m/>
    <m/>
    <n v="0"/>
    <m/>
    <m/>
    <n v="0"/>
    <m/>
    <m/>
    <n v="0"/>
    <m/>
    <m/>
    <n v="0"/>
    <m/>
    <m/>
    <n v="0"/>
    <m/>
    <m/>
    <n v="0"/>
    <m/>
    <m/>
    <n v="0"/>
  </r>
  <r>
    <x v="9"/>
    <s v="Mitchell Community College "/>
    <n v="198987"/>
    <x v="7"/>
    <m/>
    <m/>
    <n v="0"/>
    <m/>
    <m/>
    <n v="0"/>
    <m/>
    <m/>
    <n v="0"/>
    <m/>
    <m/>
    <n v="0"/>
    <m/>
    <m/>
    <n v="0"/>
    <m/>
    <m/>
    <n v="0"/>
    <m/>
    <m/>
    <n v="0"/>
    <m/>
    <m/>
    <n v="0"/>
    <m/>
    <m/>
    <n v="0"/>
    <m/>
    <m/>
    <n v="0"/>
    <n v="71"/>
    <n v="48057"/>
    <n v="3412047"/>
    <n v="79"/>
    <n v="49061"/>
    <n v="3875819"/>
    <m/>
    <m/>
    <n v="0"/>
    <m/>
    <m/>
    <n v="0"/>
    <m/>
    <m/>
    <n v="0"/>
    <m/>
    <m/>
    <n v="0"/>
    <m/>
    <m/>
    <n v="0"/>
    <m/>
    <m/>
    <n v="0"/>
    <m/>
    <m/>
    <n v="0"/>
    <m/>
    <m/>
    <n v="0"/>
    <m/>
    <m/>
    <n v="0"/>
    <m/>
    <m/>
    <n v="0"/>
    <m/>
    <m/>
    <n v="0"/>
    <m/>
    <m/>
    <n v="0"/>
  </r>
  <r>
    <x v="9"/>
    <s v="Nash Community College"/>
    <n v="199087"/>
    <x v="7"/>
    <m/>
    <m/>
    <n v="0"/>
    <m/>
    <m/>
    <n v="0"/>
    <m/>
    <m/>
    <n v="0"/>
    <m/>
    <m/>
    <n v="0"/>
    <m/>
    <m/>
    <n v="0"/>
    <m/>
    <m/>
    <n v="0"/>
    <m/>
    <m/>
    <n v="0"/>
    <m/>
    <m/>
    <n v="0"/>
    <m/>
    <m/>
    <n v="0"/>
    <m/>
    <m/>
    <n v="0"/>
    <n v="81"/>
    <n v="46178"/>
    <n v="3740418"/>
    <n v="87"/>
    <n v="46421"/>
    <n v="4038627"/>
    <m/>
    <m/>
    <n v="0"/>
    <m/>
    <m/>
    <n v="0"/>
    <m/>
    <m/>
    <n v="0"/>
    <m/>
    <m/>
    <n v="0"/>
    <m/>
    <m/>
    <n v="0"/>
    <m/>
    <m/>
    <n v="0"/>
    <m/>
    <m/>
    <n v="0"/>
    <m/>
    <m/>
    <n v="0"/>
    <m/>
    <m/>
    <n v="0"/>
    <m/>
    <m/>
    <n v="0"/>
    <m/>
    <m/>
    <n v="0"/>
    <m/>
    <m/>
    <n v="0"/>
  </r>
  <r>
    <x v="9"/>
    <s v="Piedmont Community College"/>
    <n v="199324"/>
    <x v="7"/>
    <m/>
    <m/>
    <n v="0"/>
    <m/>
    <m/>
    <n v="0"/>
    <m/>
    <m/>
    <n v="0"/>
    <m/>
    <m/>
    <n v="0"/>
    <m/>
    <m/>
    <n v="0"/>
    <m/>
    <m/>
    <n v="0"/>
    <m/>
    <m/>
    <n v="0"/>
    <m/>
    <m/>
    <n v="0"/>
    <m/>
    <m/>
    <n v="0"/>
    <m/>
    <m/>
    <n v="0"/>
    <n v="83"/>
    <n v="43858"/>
    <n v="3640214"/>
    <n v="84"/>
    <n v="45864"/>
    <n v="3852576"/>
    <m/>
    <m/>
    <n v="0"/>
    <m/>
    <m/>
    <n v="0"/>
    <m/>
    <m/>
    <n v="0"/>
    <m/>
    <m/>
    <n v="0"/>
    <m/>
    <m/>
    <n v="0"/>
    <m/>
    <m/>
    <n v="0"/>
    <m/>
    <m/>
    <n v="0"/>
    <m/>
    <m/>
    <n v="0"/>
    <m/>
    <m/>
    <n v="0"/>
    <m/>
    <m/>
    <n v="0"/>
    <m/>
    <m/>
    <n v="0"/>
    <m/>
    <m/>
    <n v="0"/>
  </r>
  <r>
    <x v="9"/>
    <s v="Randolph Community College"/>
    <n v="199421"/>
    <x v="7"/>
    <m/>
    <m/>
    <n v="0"/>
    <m/>
    <m/>
    <n v="0"/>
    <m/>
    <m/>
    <n v="0"/>
    <m/>
    <m/>
    <n v="0"/>
    <m/>
    <m/>
    <n v="0"/>
    <m/>
    <m/>
    <n v="0"/>
    <m/>
    <m/>
    <n v="0"/>
    <m/>
    <m/>
    <n v="0"/>
    <m/>
    <m/>
    <n v="0"/>
    <m/>
    <m/>
    <n v="0"/>
    <n v="57"/>
    <n v="44640"/>
    <n v="2544480"/>
    <n v="57"/>
    <n v="46338"/>
    <n v="2641266"/>
    <m/>
    <m/>
    <n v="0"/>
    <m/>
    <m/>
    <n v="0"/>
    <m/>
    <m/>
    <n v="0"/>
    <m/>
    <m/>
    <n v="0"/>
    <m/>
    <m/>
    <n v="0"/>
    <m/>
    <m/>
    <n v="0"/>
    <m/>
    <m/>
    <n v="0"/>
    <m/>
    <m/>
    <n v="0"/>
    <m/>
    <m/>
    <n v="0"/>
    <m/>
    <m/>
    <n v="0"/>
    <m/>
    <m/>
    <n v="0"/>
    <m/>
    <m/>
    <n v="0"/>
  </r>
  <r>
    <x v="9"/>
    <s v="Richmond Community College"/>
    <n v="199449"/>
    <x v="7"/>
    <m/>
    <m/>
    <n v="0"/>
    <m/>
    <m/>
    <n v="0"/>
    <m/>
    <m/>
    <n v="0"/>
    <m/>
    <m/>
    <n v="0"/>
    <m/>
    <m/>
    <n v="0"/>
    <m/>
    <m/>
    <n v="0"/>
    <m/>
    <m/>
    <n v="0"/>
    <m/>
    <m/>
    <n v="0"/>
    <m/>
    <m/>
    <n v="0"/>
    <m/>
    <m/>
    <n v="0"/>
    <n v="50"/>
    <n v="53879"/>
    <n v="2693950"/>
    <n v="53"/>
    <n v="55704"/>
    <n v="2952312"/>
    <m/>
    <m/>
    <n v="0"/>
    <m/>
    <m/>
    <n v="0"/>
    <m/>
    <m/>
    <n v="0"/>
    <m/>
    <m/>
    <n v="0"/>
    <m/>
    <m/>
    <n v="0"/>
    <m/>
    <m/>
    <n v="0"/>
    <m/>
    <m/>
    <n v="0"/>
    <m/>
    <m/>
    <n v="0"/>
    <m/>
    <m/>
    <n v="0"/>
    <m/>
    <m/>
    <n v="0"/>
    <m/>
    <m/>
    <n v="0"/>
    <m/>
    <m/>
    <n v="0"/>
  </r>
  <r>
    <x v="9"/>
    <s v="Robeson Community College"/>
    <n v="199476"/>
    <x v="7"/>
    <m/>
    <m/>
    <n v="0"/>
    <m/>
    <m/>
    <n v="0"/>
    <m/>
    <m/>
    <n v="0"/>
    <m/>
    <m/>
    <n v="0"/>
    <m/>
    <m/>
    <n v="0"/>
    <m/>
    <m/>
    <n v="0"/>
    <m/>
    <m/>
    <n v="0"/>
    <m/>
    <m/>
    <n v="0"/>
    <m/>
    <m/>
    <n v="0"/>
    <m/>
    <m/>
    <n v="0"/>
    <n v="68"/>
    <n v="48615"/>
    <n v="3305820"/>
    <n v="66"/>
    <n v="49961"/>
    <n v="3297426"/>
    <m/>
    <m/>
    <n v="0"/>
    <m/>
    <m/>
    <n v="0"/>
    <m/>
    <m/>
    <n v="0"/>
    <m/>
    <m/>
    <n v="0"/>
    <m/>
    <m/>
    <n v="0"/>
    <m/>
    <m/>
    <n v="0"/>
    <m/>
    <m/>
    <n v="0"/>
    <m/>
    <m/>
    <n v="0"/>
    <m/>
    <m/>
    <n v="0"/>
    <m/>
    <m/>
    <n v="0"/>
    <m/>
    <m/>
    <n v="0"/>
    <m/>
    <m/>
    <n v="0"/>
  </r>
  <r>
    <x v="9"/>
    <s v="Rockingham Community College "/>
    <n v="199485"/>
    <x v="7"/>
    <m/>
    <m/>
    <n v="0"/>
    <m/>
    <m/>
    <n v="0"/>
    <m/>
    <m/>
    <n v="0"/>
    <m/>
    <m/>
    <n v="0"/>
    <m/>
    <m/>
    <n v="0"/>
    <m/>
    <m/>
    <n v="0"/>
    <m/>
    <m/>
    <n v="0"/>
    <m/>
    <m/>
    <n v="0"/>
    <m/>
    <m/>
    <n v="0"/>
    <m/>
    <m/>
    <n v="0"/>
    <n v="69"/>
    <n v="45075"/>
    <n v="3110175"/>
    <n v="64"/>
    <n v="46406"/>
    <n v="2969984"/>
    <m/>
    <m/>
    <n v="0"/>
    <m/>
    <m/>
    <n v="0"/>
    <m/>
    <m/>
    <n v="0"/>
    <m/>
    <m/>
    <n v="0"/>
    <m/>
    <m/>
    <n v="0"/>
    <m/>
    <m/>
    <n v="0"/>
    <m/>
    <m/>
    <n v="0"/>
    <m/>
    <m/>
    <n v="0"/>
    <m/>
    <m/>
    <n v="0"/>
    <m/>
    <m/>
    <n v="0"/>
    <m/>
    <m/>
    <n v="0"/>
    <m/>
    <m/>
    <n v="0"/>
  </r>
  <r>
    <x v="9"/>
    <s v="Sandhills Community College "/>
    <n v="199634"/>
    <x v="7"/>
    <m/>
    <m/>
    <n v="0"/>
    <m/>
    <m/>
    <n v="0"/>
    <m/>
    <m/>
    <n v="0"/>
    <m/>
    <m/>
    <n v="0"/>
    <m/>
    <m/>
    <n v="0"/>
    <m/>
    <m/>
    <n v="0"/>
    <m/>
    <m/>
    <n v="0"/>
    <m/>
    <m/>
    <n v="0"/>
    <m/>
    <m/>
    <n v="0"/>
    <m/>
    <m/>
    <n v="0"/>
    <n v="119"/>
    <n v="50358"/>
    <n v="5992602"/>
    <n v="116"/>
    <n v="51523"/>
    <n v="5976668"/>
    <m/>
    <m/>
    <n v="0"/>
    <m/>
    <m/>
    <n v="0"/>
    <m/>
    <m/>
    <n v="0"/>
    <m/>
    <m/>
    <n v="0"/>
    <m/>
    <m/>
    <n v="0"/>
    <m/>
    <m/>
    <n v="0"/>
    <m/>
    <m/>
    <n v="0"/>
    <m/>
    <m/>
    <n v="0"/>
    <m/>
    <m/>
    <n v="0"/>
    <m/>
    <m/>
    <n v="0"/>
    <m/>
    <m/>
    <n v="0"/>
    <m/>
    <m/>
    <n v="0"/>
  </r>
  <r>
    <x v="9"/>
    <s v="South Piedmont Community College"/>
    <n v="197850"/>
    <x v="7"/>
    <m/>
    <m/>
    <n v="0"/>
    <m/>
    <m/>
    <n v="0"/>
    <m/>
    <m/>
    <n v="0"/>
    <m/>
    <m/>
    <n v="0"/>
    <m/>
    <m/>
    <n v="0"/>
    <m/>
    <m/>
    <n v="0"/>
    <m/>
    <m/>
    <n v="0"/>
    <m/>
    <m/>
    <n v="0"/>
    <m/>
    <m/>
    <n v="0"/>
    <m/>
    <m/>
    <n v="0"/>
    <n v="61"/>
    <n v="43128"/>
    <n v="2630808"/>
    <n v="64"/>
    <n v="44770"/>
    <n v="2865280"/>
    <m/>
    <m/>
    <n v="0"/>
    <m/>
    <m/>
    <n v="0"/>
    <m/>
    <m/>
    <n v="0"/>
    <m/>
    <m/>
    <n v="0"/>
    <m/>
    <m/>
    <n v="0"/>
    <m/>
    <m/>
    <n v="0"/>
    <m/>
    <m/>
    <n v="0"/>
    <m/>
    <m/>
    <n v="0"/>
    <m/>
    <m/>
    <n v="0"/>
    <m/>
    <m/>
    <n v="0"/>
    <m/>
    <m/>
    <n v="0"/>
    <m/>
    <m/>
    <n v="0"/>
  </r>
  <r>
    <x v="9"/>
    <s v="Southeastern Community College "/>
    <n v="199722"/>
    <x v="7"/>
    <m/>
    <m/>
    <n v="0"/>
    <m/>
    <m/>
    <n v="0"/>
    <m/>
    <m/>
    <n v="0"/>
    <m/>
    <m/>
    <n v="0"/>
    <m/>
    <m/>
    <n v="0"/>
    <m/>
    <m/>
    <n v="0"/>
    <m/>
    <m/>
    <n v="0"/>
    <m/>
    <m/>
    <n v="0"/>
    <m/>
    <m/>
    <n v="0"/>
    <m/>
    <m/>
    <n v="0"/>
    <n v="64"/>
    <n v="53285"/>
    <n v="3410240"/>
    <n v="61"/>
    <n v="53782"/>
    <n v="3280702"/>
    <m/>
    <m/>
    <n v="0"/>
    <m/>
    <m/>
    <n v="0"/>
    <m/>
    <m/>
    <n v="0"/>
    <m/>
    <m/>
    <n v="0"/>
    <m/>
    <m/>
    <n v="0"/>
    <m/>
    <m/>
    <n v="0"/>
    <m/>
    <m/>
    <n v="0"/>
    <m/>
    <m/>
    <n v="0"/>
    <m/>
    <m/>
    <n v="0"/>
    <m/>
    <m/>
    <n v="0"/>
    <m/>
    <m/>
    <n v="0"/>
    <m/>
    <m/>
    <n v="0"/>
  </r>
  <r>
    <x v="9"/>
    <s v="Southwestern Community College "/>
    <n v="199731"/>
    <x v="7"/>
    <m/>
    <m/>
    <n v="0"/>
    <m/>
    <m/>
    <n v="0"/>
    <m/>
    <m/>
    <n v="0"/>
    <m/>
    <m/>
    <n v="0"/>
    <m/>
    <m/>
    <n v="0"/>
    <m/>
    <m/>
    <n v="0"/>
    <m/>
    <m/>
    <n v="0"/>
    <m/>
    <m/>
    <n v="0"/>
    <m/>
    <m/>
    <n v="0"/>
    <m/>
    <m/>
    <n v="0"/>
    <n v="63"/>
    <n v="47535"/>
    <n v="2994705"/>
    <n v="68"/>
    <n v="48006"/>
    <n v="3264408"/>
    <m/>
    <m/>
    <n v="0"/>
    <m/>
    <m/>
    <n v="0"/>
    <m/>
    <m/>
    <n v="0"/>
    <m/>
    <m/>
    <n v="0"/>
    <m/>
    <m/>
    <n v="0"/>
    <m/>
    <m/>
    <n v="0"/>
    <m/>
    <m/>
    <n v="0"/>
    <m/>
    <m/>
    <n v="0"/>
    <m/>
    <m/>
    <n v="0"/>
    <m/>
    <m/>
    <n v="0"/>
    <m/>
    <m/>
    <n v="0"/>
    <m/>
    <m/>
    <n v="0"/>
  </r>
  <r>
    <x v="9"/>
    <s v="Stanly Community College"/>
    <n v="199740"/>
    <x v="7"/>
    <m/>
    <m/>
    <n v="0"/>
    <m/>
    <m/>
    <n v="0"/>
    <m/>
    <m/>
    <n v="0"/>
    <m/>
    <m/>
    <n v="0"/>
    <m/>
    <m/>
    <n v="0"/>
    <m/>
    <m/>
    <n v="0"/>
    <m/>
    <m/>
    <n v="0"/>
    <m/>
    <m/>
    <n v="0"/>
    <m/>
    <m/>
    <n v="0"/>
    <m/>
    <m/>
    <n v="0"/>
    <n v="71"/>
    <n v="44536"/>
    <n v="3162056"/>
    <n v="77"/>
    <n v="45479"/>
    <n v="3501883"/>
    <m/>
    <m/>
    <n v="0"/>
    <m/>
    <m/>
    <n v="0"/>
    <m/>
    <m/>
    <n v="0"/>
    <m/>
    <m/>
    <n v="0"/>
    <m/>
    <m/>
    <n v="0"/>
    <m/>
    <m/>
    <n v="0"/>
    <m/>
    <m/>
    <n v="0"/>
    <m/>
    <m/>
    <n v="0"/>
    <m/>
    <m/>
    <n v="0"/>
    <m/>
    <m/>
    <n v="0"/>
    <m/>
    <m/>
    <n v="0"/>
    <m/>
    <m/>
    <n v="0"/>
  </r>
  <r>
    <x v="9"/>
    <s v="Surry Community College "/>
    <n v="199768"/>
    <x v="7"/>
    <m/>
    <m/>
    <n v="0"/>
    <m/>
    <m/>
    <n v="0"/>
    <m/>
    <m/>
    <n v="0"/>
    <m/>
    <m/>
    <n v="0"/>
    <m/>
    <m/>
    <n v="0"/>
    <m/>
    <m/>
    <n v="0"/>
    <m/>
    <m/>
    <n v="0"/>
    <m/>
    <m/>
    <n v="0"/>
    <m/>
    <m/>
    <n v="0"/>
    <m/>
    <m/>
    <n v="0"/>
    <n v="89"/>
    <n v="48141"/>
    <n v="4284549"/>
    <n v="97"/>
    <n v="48152"/>
    <n v="4670744"/>
    <m/>
    <m/>
    <n v="0"/>
    <m/>
    <m/>
    <n v="0"/>
    <m/>
    <m/>
    <n v="0"/>
    <m/>
    <m/>
    <n v="0"/>
    <m/>
    <m/>
    <n v="0"/>
    <m/>
    <m/>
    <n v="0"/>
    <m/>
    <m/>
    <n v="0"/>
    <m/>
    <m/>
    <n v="0"/>
    <m/>
    <m/>
    <n v="0"/>
    <m/>
    <m/>
    <n v="0"/>
    <m/>
    <m/>
    <n v="0"/>
    <m/>
    <m/>
    <n v="0"/>
  </r>
  <r>
    <x v="9"/>
    <s v="Vance-Granville Community College "/>
    <n v="199838"/>
    <x v="7"/>
    <m/>
    <m/>
    <n v="0"/>
    <m/>
    <m/>
    <n v="0"/>
    <m/>
    <m/>
    <n v="0"/>
    <m/>
    <m/>
    <n v="0"/>
    <m/>
    <m/>
    <n v="0"/>
    <m/>
    <m/>
    <n v="0"/>
    <m/>
    <m/>
    <n v="0"/>
    <m/>
    <m/>
    <n v="0"/>
    <m/>
    <m/>
    <n v="0"/>
    <m/>
    <m/>
    <n v="0"/>
    <n v="120"/>
    <n v="44713"/>
    <n v="5365560"/>
    <n v="114"/>
    <n v="46249"/>
    <n v="5272386"/>
    <m/>
    <m/>
    <n v="0"/>
    <m/>
    <m/>
    <n v="0"/>
    <m/>
    <m/>
    <n v="0"/>
    <m/>
    <m/>
    <n v="0"/>
    <m/>
    <m/>
    <n v="0"/>
    <m/>
    <m/>
    <n v="0"/>
    <m/>
    <m/>
    <n v="0"/>
    <m/>
    <m/>
    <n v="0"/>
    <m/>
    <m/>
    <n v="0"/>
    <m/>
    <m/>
    <n v="0"/>
    <m/>
    <m/>
    <n v="0"/>
    <m/>
    <m/>
    <n v="0"/>
  </r>
  <r>
    <x v="9"/>
    <s v="Wayne Community College"/>
    <n v="199892"/>
    <x v="7"/>
    <m/>
    <m/>
    <n v="0"/>
    <m/>
    <m/>
    <n v="0"/>
    <m/>
    <m/>
    <n v="0"/>
    <m/>
    <m/>
    <n v="0"/>
    <m/>
    <m/>
    <n v="0"/>
    <m/>
    <m/>
    <n v="0"/>
    <m/>
    <m/>
    <n v="0"/>
    <m/>
    <m/>
    <n v="0"/>
    <m/>
    <m/>
    <n v="0"/>
    <m/>
    <m/>
    <n v="0"/>
    <n v="97"/>
    <n v="45031"/>
    <n v="4368007"/>
    <n v="102"/>
    <n v="45509"/>
    <n v="4641918"/>
    <m/>
    <m/>
    <n v="0"/>
    <m/>
    <m/>
    <n v="0"/>
    <m/>
    <m/>
    <n v="0"/>
    <m/>
    <m/>
    <n v="0"/>
    <m/>
    <m/>
    <n v="0"/>
    <m/>
    <m/>
    <n v="0"/>
    <m/>
    <m/>
    <n v="0"/>
    <m/>
    <m/>
    <n v="0"/>
    <m/>
    <m/>
    <n v="0"/>
    <m/>
    <m/>
    <n v="0"/>
    <m/>
    <m/>
    <n v="0"/>
    <m/>
    <m/>
    <n v="0"/>
  </r>
  <r>
    <x v="9"/>
    <s v="Western Piedmont Community College "/>
    <n v="199908"/>
    <x v="7"/>
    <m/>
    <m/>
    <n v="0"/>
    <m/>
    <m/>
    <n v="0"/>
    <m/>
    <m/>
    <n v="0"/>
    <m/>
    <m/>
    <n v="0"/>
    <m/>
    <m/>
    <n v="0"/>
    <m/>
    <m/>
    <n v="0"/>
    <m/>
    <m/>
    <n v="0"/>
    <m/>
    <m/>
    <n v="0"/>
    <m/>
    <m/>
    <n v="0"/>
    <m/>
    <m/>
    <n v="0"/>
    <n v="72"/>
    <n v="44043"/>
    <n v="3171096"/>
    <n v="78"/>
    <n v="51504"/>
    <n v="4017312"/>
    <m/>
    <m/>
    <n v="0"/>
    <m/>
    <m/>
    <n v="0"/>
    <m/>
    <m/>
    <n v="0"/>
    <m/>
    <m/>
    <n v="0"/>
    <m/>
    <m/>
    <n v="0"/>
    <m/>
    <m/>
    <n v="0"/>
    <m/>
    <m/>
    <n v="0"/>
    <m/>
    <m/>
    <n v="0"/>
    <m/>
    <m/>
    <n v="0"/>
    <m/>
    <m/>
    <n v="0"/>
    <m/>
    <m/>
    <n v="0"/>
    <m/>
    <m/>
    <n v="0"/>
  </r>
  <r>
    <x v="9"/>
    <s v="Wilkes Community College "/>
    <n v="199926"/>
    <x v="7"/>
    <m/>
    <m/>
    <n v="0"/>
    <m/>
    <m/>
    <n v="0"/>
    <m/>
    <m/>
    <n v="0"/>
    <m/>
    <m/>
    <n v="0"/>
    <m/>
    <m/>
    <n v="0"/>
    <m/>
    <m/>
    <n v="0"/>
    <m/>
    <m/>
    <n v="0"/>
    <m/>
    <m/>
    <n v="0"/>
    <m/>
    <m/>
    <n v="0"/>
    <m/>
    <m/>
    <n v="0"/>
    <n v="74"/>
    <n v="45818"/>
    <n v="3390532"/>
    <n v="73"/>
    <n v="47128"/>
    <n v="3440344"/>
    <m/>
    <m/>
    <n v="0"/>
    <m/>
    <m/>
    <n v="0"/>
    <m/>
    <m/>
    <n v="0"/>
    <m/>
    <m/>
    <n v="0"/>
    <m/>
    <m/>
    <n v="0"/>
    <m/>
    <m/>
    <n v="0"/>
    <m/>
    <m/>
    <n v="0"/>
    <m/>
    <m/>
    <n v="0"/>
    <m/>
    <m/>
    <n v="0"/>
    <m/>
    <m/>
    <n v="0"/>
    <m/>
    <m/>
    <n v="0"/>
    <m/>
    <m/>
    <n v="0"/>
  </r>
  <r>
    <x v="9"/>
    <s v="Wilson Technical Community College"/>
    <n v="199953"/>
    <x v="7"/>
    <m/>
    <m/>
    <n v="0"/>
    <m/>
    <m/>
    <n v="0"/>
    <m/>
    <m/>
    <n v="0"/>
    <m/>
    <m/>
    <n v="0"/>
    <m/>
    <m/>
    <n v="0"/>
    <m/>
    <m/>
    <n v="0"/>
    <m/>
    <m/>
    <n v="0"/>
    <m/>
    <m/>
    <n v="0"/>
    <m/>
    <m/>
    <n v="0"/>
    <m/>
    <m/>
    <n v="0"/>
    <n v="56"/>
    <n v="46757"/>
    <n v="2618392"/>
    <n v="55"/>
    <n v="48038"/>
    <n v="2642090"/>
    <m/>
    <m/>
    <n v="0"/>
    <m/>
    <m/>
    <n v="0"/>
    <m/>
    <m/>
    <n v="0"/>
    <m/>
    <m/>
    <n v="0"/>
    <m/>
    <m/>
    <n v="0"/>
    <m/>
    <m/>
    <n v="0"/>
    <m/>
    <m/>
    <n v="0"/>
    <m/>
    <m/>
    <n v="0"/>
    <m/>
    <m/>
    <n v="0"/>
    <m/>
    <m/>
    <n v="0"/>
    <m/>
    <m/>
    <n v="0"/>
    <m/>
    <m/>
    <n v="0"/>
  </r>
  <r>
    <x v="9"/>
    <s v="Beaufort County Community College "/>
    <n v="197966"/>
    <x v="8"/>
    <m/>
    <m/>
    <n v="0"/>
    <m/>
    <m/>
    <n v="0"/>
    <m/>
    <m/>
    <n v="0"/>
    <m/>
    <m/>
    <n v="0"/>
    <m/>
    <m/>
    <n v="0"/>
    <m/>
    <m/>
    <n v="0"/>
    <m/>
    <m/>
    <n v="0"/>
    <m/>
    <m/>
    <n v="0"/>
    <m/>
    <m/>
    <n v="0"/>
    <m/>
    <m/>
    <n v="0"/>
    <n v="61"/>
    <n v="44364"/>
    <n v="2706204"/>
    <n v="63"/>
    <n v="45859"/>
    <n v="2889117"/>
    <m/>
    <m/>
    <n v="0"/>
    <m/>
    <m/>
    <n v="0"/>
    <m/>
    <m/>
    <n v="0"/>
    <m/>
    <m/>
    <n v="0"/>
    <m/>
    <m/>
    <n v="0"/>
    <m/>
    <m/>
    <n v="0"/>
    <m/>
    <m/>
    <n v="0"/>
    <m/>
    <m/>
    <n v="0"/>
    <m/>
    <m/>
    <n v="0"/>
    <m/>
    <m/>
    <n v="0"/>
    <m/>
    <m/>
    <n v="0"/>
    <m/>
    <m/>
    <n v="0"/>
  </r>
  <r>
    <x v="9"/>
    <s v="Bladen Community College"/>
    <n v="198011"/>
    <x v="8"/>
    <m/>
    <m/>
    <n v="0"/>
    <m/>
    <m/>
    <n v="0"/>
    <m/>
    <m/>
    <n v="0"/>
    <m/>
    <m/>
    <n v="0"/>
    <m/>
    <m/>
    <n v="0"/>
    <m/>
    <m/>
    <n v="0"/>
    <m/>
    <m/>
    <n v="0"/>
    <m/>
    <m/>
    <n v="0"/>
    <m/>
    <m/>
    <n v="0"/>
    <m/>
    <m/>
    <n v="0"/>
    <n v="43"/>
    <n v="44114"/>
    <n v="1896902"/>
    <n v="43"/>
    <n v="46457"/>
    <n v="1997651"/>
    <m/>
    <m/>
    <n v="0"/>
    <m/>
    <m/>
    <n v="0"/>
    <m/>
    <m/>
    <n v="0"/>
    <m/>
    <m/>
    <n v="0"/>
    <m/>
    <m/>
    <n v="0"/>
    <m/>
    <m/>
    <n v="0"/>
    <m/>
    <m/>
    <n v="0"/>
    <m/>
    <m/>
    <n v="0"/>
    <m/>
    <m/>
    <n v="0"/>
    <m/>
    <m/>
    <n v="0"/>
    <m/>
    <m/>
    <n v="0"/>
    <m/>
    <m/>
    <n v="0"/>
  </r>
  <r>
    <x v="9"/>
    <s v="Brunswick Community College"/>
    <n v="198084"/>
    <x v="8"/>
    <m/>
    <m/>
    <n v="0"/>
    <m/>
    <m/>
    <n v="0"/>
    <m/>
    <m/>
    <n v="0"/>
    <m/>
    <m/>
    <n v="0"/>
    <m/>
    <m/>
    <n v="0"/>
    <m/>
    <m/>
    <n v="0"/>
    <m/>
    <m/>
    <n v="0"/>
    <m/>
    <m/>
    <n v="0"/>
    <m/>
    <m/>
    <n v="0"/>
    <m/>
    <m/>
    <n v="0"/>
    <n v="37"/>
    <n v="43069"/>
    <n v="1593553"/>
    <n v="38"/>
    <n v="43525"/>
    <n v="1653950"/>
    <m/>
    <m/>
    <n v="0"/>
    <m/>
    <m/>
    <n v="0"/>
    <m/>
    <m/>
    <n v="0"/>
    <m/>
    <m/>
    <n v="0"/>
    <m/>
    <m/>
    <n v="0"/>
    <m/>
    <m/>
    <n v="0"/>
    <m/>
    <m/>
    <n v="0"/>
    <m/>
    <m/>
    <n v="0"/>
    <m/>
    <m/>
    <n v="0"/>
    <m/>
    <m/>
    <n v="0"/>
    <m/>
    <m/>
    <n v="0"/>
    <m/>
    <m/>
    <n v="0"/>
  </r>
  <r>
    <x v="9"/>
    <s v="Carteret Community College"/>
    <n v="198206"/>
    <x v="8"/>
    <m/>
    <m/>
    <n v="0"/>
    <m/>
    <m/>
    <n v="0"/>
    <m/>
    <m/>
    <n v="0"/>
    <m/>
    <m/>
    <n v="0"/>
    <m/>
    <m/>
    <n v="0"/>
    <m/>
    <m/>
    <n v="0"/>
    <m/>
    <m/>
    <n v="0"/>
    <m/>
    <m/>
    <n v="0"/>
    <m/>
    <m/>
    <n v="0"/>
    <m/>
    <m/>
    <n v="0"/>
    <n v="60"/>
    <n v="45235"/>
    <n v="2714100"/>
    <n v="60"/>
    <n v="45918"/>
    <n v="2755080"/>
    <m/>
    <m/>
    <n v="0"/>
    <m/>
    <m/>
    <n v="0"/>
    <m/>
    <m/>
    <n v="0"/>
    <m/>
    <m/>
    <n v="0"/>
    <m/>
    <m/>
    <n v="0"/>
    <m/>
    <m/>
    <n v="0"/>
    <m/>
    <m/>
    <n v="0"/>
    <m/>
    <m/>
    <n v="0"/>
    <m/>
    <m/>
    <n v="0"/>
    <m/>
    <m/>
    <n v="0"/>
    <m/>
    <m/>
    <n v="0"/>
    <m/>
    <m/>
    <n v="0"/>
  </r>
  <r>
    <x v="9"/>
    <s v="Halifax Community College "/>
    <n v="198640"/>
    <x v="8"/>
    <m/>
    <m/>
    <n v="0"/>
    <m/>
    <m/>
    <n v="0"/>
    <m/>
    <m/>
    <n v="0"/>
    <m/>
    <m/>
    <n v="0"/>
    <m/>
    <m/>
    <n v="0"/>
    <m/>
    <m/>
    <n v="0"/>
    <m/>
    <m/>
    <n v="0"/>
    <m/>
    <m/>
    <n v="0"/>
    <m/>
    <m/>
    <n v="0"/>
    <m/>
    <m/>
    <n v="0"/>
    <n v="63"/>
    <n v="43991"/>
    <n v="2771433"/>
    <n v="62"/>
    <n v="45537"/>
    <n v="2823294"/>
    <m/>
    <m/>
    <n v="0"/>
    <m/>
    <m/>
    <n v="0"/>
    <m/>
    <m/>
    <n v="0"/>
    <m/>
    <m/>
    <n v="0"/>
    <m/>
    <m/>
    <n v="0"/>
    <m/>
    <m/>
    <n v="0"/>
    <m/>
    <m/>
    <n v="0"/>
    <m/>
    <m/>
    <n v="0"/>
    <m/>
    <m/>
    <n v="0"/>
    <m/>
    <m/>
    <n v="0"/>
    <m/>
    <m/>
    <n v="0"/>
    <m/>
    <m/>
    <n v="0"/>
  </r>
  <r>
    <x v="9"/>
    <s v="James Sprunt Community College"/>
    <n v="198729"/>
    <x v="8"/>
    <m/>
    <m/>
    <n v="0"/>
    <m/>
    <m/>
    <n v="0"/>
    <m/>
    <m/>
    <n v="0"/>
    <m/>
    <m/>
    <n v="0"/>
    <m/>
    <m/>
    <n v="0"/>
    <m/>
    <m/>
    <n v="0"/>
    <m/>
    <m/>
    <n v="0"/>
    <m/>
    <m/>
    <n v="0"/>
    <m/>
    <m/>
    <n v="0"/>
    <m/>
    <m/>
    <n v="0"/>
    <n v="53"/>
    <n v="43679"/>
    <n v="2314987"/>
    <n v="51"/>
    <n v="43857"/>
    <n v="2236707"/>
    <m/>
    <m/>
    <n v="0"/>
    <m/>
    <m/>
    <n v="0"/>
    <m/>
    <m/>
    <n v="0"/>
    <m/>
    <m/>
    <n v="0"/>
    <m/>
    <m/>
    <n v="0"/>
    <m/>
    <m/>
    <n v="0"/>
    <m/>
    <m/>
    <n v="0"/>
    <m/>
    <m/>
    <n v="0"/>
    <m/>
    <m/>
    <n v="0"/>
    <m/>
    <m/>
    <n v="0"/>
    <m/>
    <m/>
    <n v="0"/>
    <m/>
    <m/>
    <n v="0"/>
  </r>
  <r>
    <x v="9"/>
    <s v="Martin Community College "/>
    <n v="198905"/>
    <x v="8"/>
    <m/>
    <m/>
    <n v="0"/>
    <m/>
    <m/>
    <n v="0"/>
    <m/>
    <m/>
    <n v="0"/>
    <m/>
    <m/>
    <n v="0"/>
    <m/>
    <m/>
    <n v="0"/>
    <m/>
    <m/>
    <n v="0"/>
    <m/>
    <m/>
    <n v="0"/>
    <m/>
    <m/>
    <n v="0"/>
    <m/>
    <m/>
    <n v="0"/>
    <m/>
    <m/>
    <n v="0"/>
    <n v="24"/>
    <n v="41334"/>
    <n v="992016"/>
    <n v="26"/>
    <n v="41892"/>
    <n v="1089192"/>
    <m/>
    <m/>
    <n v="0"/>
    <m/>
    <m/>
    <n v="0"/>
    <m/>
    <m/>
    <n v="0"/>
    <m/>
    <m/>
    <n v="0"/>
    <m/>
    <m/>
    <n v="0"/>
    <m/>
    <m/>
    <n v="0"/>
    <m/>
    <m/>
    <n v="0"/>
    <m/>
    <m/>
    <n v="0"/>
    <m/>
    <m/>
    <n v="0"/>
    <m/>
    <m/>
    <n v="0"/>
    <m/>
    <m/>
    <n v="0"/>
    <m/>
    <m/>
    <n v="0"/>
  </r>
  <r>
    <x v="9"/>
    <s v="McDowell Technical Community College"/>
    <n v="198923"/>
    <x v="8"/>
    <m/>
    <m/>
    <n v="0"/>
    <m/>
    <m/>
    <n v="0"/>
    <m/>
    <m/>
    <n v="0"/>
    <m/>
    <m/>
    <n v="0"/>
    <m/>
    <m/>
    <n v="0"/>
    <m/>
    <m/>
    <n v="0"/>
    <m/>
    <m/>
    <n v="0"/>
    <m/>
    <m/>
    <n v="0"/>
    <m/>
    <m/>
    <n v="0"/>
    <m/>
    <m/>
    <n v="0"/>
    <n v="40"/>
    <n v="39096"/>
    <n v="1563840"/>
    <n v="41"/>
    <n v="39847"/>
    <n v="1633727"/>
    <m/>
    <m/>
    <n v="0"/>
    <m/>
    <m/>
    <n v="0"/>
    <m/>
    <m/>
    <n v="0"/>
    <m/>
    <m/>
    <n v="0"/>
    <m/>
    <m/>
    <n v="0"/>
    <m/>
    <m/>
    <n v="0"/>
    <m/>
    <m/>
    <n v="0"/>
    <m/>
    <m/>
    <n v="0"/>
    <m/>
    <m/>
    <n v="0"/>
    <m/>
    <m/>
    <n v="0"/>
    <m/>
    <m/>
    <n v="0"/>
    <m/>
    <m/>
    <n v="0"/>
  </r>
  <r>
    <x v="9"/>
    <s v="Montgomery Community College"/>
    <n v="199023"/>
    <x v="8"/>
    <m/>
    <m/>
    <n v="0"/>
    <m/>
    <m/>
    <n v="0"/>
    <m/>
    <m/>
    <n v="0"/>
    <m/>
    <m/>
    <n v="0"/>
    <m/>
    <m/>
    <n v="0"/>
    <m/>
    <m/>
    <n v="0"/>
    <m/>
    <m/>
    <n v="0"/>
    <m/>
    <m/>
    <n v="0"/>
    <m/>
    <m/>
    <n v="0"/>
    <m/>
    <m/>
    <n v="0"/>
    <n v="36"/>
    <n v="41099"/>
    <n v="1479564"/>
    <n v="37"/>
    <n v="43543"/>
    <n v="1611091"/>
    <m/>
    <m/>
    <n v="0"/>
    <m/>
    <m/>
    <n v="0"/>
    <m/>
    <m/>
    <n v="0"/>
    <m/>
    <m/>
    <n v="0"/>
    <m/>
    <m/>
    <n v="0"/>
    <m/>
    <m/>
    <n v="0"/>
    <m/>
    <m/>
    <n v="0"/>
    <m/>
    <m/>
    <n v="0"/>
    <m/>
    <m/>
    <n v="0"/>
    <m/>
    <m/>
    <n v="0"/>
    <m/>
    <m/>
    <n v="0"/>
    <m/>
    <m/>
    <n v="0"/>
  </r>
  <r>
    <x v="9"/>
    <s v="Pamlico Community College"/>
    <n v="199263"/>
    <x v="8"/>
    <m/>
    <m/>
    <n v="0"/>
    <m/>
    <m/>
    <n v="0"/>
    <m/>
    <m/>
    <n v="0"/>
    <m/>
    <m/>
    <n v="0"/>
    <m/>
    <m/>
    <n v="0"/>
    <m/>
    <m/>
    <n v="0"/>
    <m/>
    <m/>
    <n v="0"/>
    <m/>
    <m/>
    <n v="0"/>
    <m/>
    <m/>
    <n v="0"/>
    <m/>
    <m/>
    <n v="0"/>
    <n v="14"/>
    <n v="41288"/>
    <n v="578032"/>
    <n v="17"/>
    <n v="42510"/>
    <n v="722670"/>
    <m/>
    <m/>
    <n v="0"/>
    <m/>
    <m/>
    <n v="0"/>
    <m/>
    <m/>
    <n v="0"/>
    <m/>
    <m/>
    <n v="0"/>
    <m/>
    <m/>
    <n v="0"/>
    <m/>
    <m/>
    <n v="0"/>
    <m/>
    <m/>
    <n v="0"/>
    <m/>
    <m/>
    <n v="0"/>
    <m/>
    <m/>
    <n v="0"/>
    <m/>
    <m/>
    <n v="0"/>
    <m/>
    <m/>
    <n v="0"/>
    <m/>
    <m/>
    <n v="0"/>
  </r>
  <r>
    <x v="9"/>
    <s v="Roanoke-Chowan Community College"/>
    <n v="199467"/>
    <x v="8"/>
    <m/>
    <m/>
    <n v="0"/>
    <m/>
    <m/>
    <n v="0"/>
    <m/>
    <m/>
    <n v="0"/>
    <m/>
    <m/>
    <n v="0"/>
    <m/>
    <m/>
    <n v="0"/>
    <m/>
    <m/>
    <n v="0"/>
    <m/>
    <m/>
    <n v="0"/>
    <m/>
    <m/>
    <n v="0"/>
    <m/>
    <m/>
    <n v="0"/>
    <m/>
    <m/>
    <n v="0"/>
    <n v="41"/>
    <n v="49440"/>
    <n v="2027040"/>
    <n v="38"/>
    <n v="51193"/>
    <n v="1945334"/>
    <m/>
    <m/>
    <n v="0"/>
    <m/>
    <m/>
    <n v="0"/>
    <m/>
    <m/>
    <n v="0"/>
    <m/>
    <m/>
    <n v="0"/>
    <m/>
    <m/>
    <n v="0"/>
    <m/>
    <m/>
    <n v="0"/>
    <m/>
    <m/>
    <n v="0"/>
    <m/>
    <m/>
    <n v="0"/>
    <m/>
    <m/>
    <n v="0"/>
    <m/>
    <m/>
    <n v="0"/>
    <m/>
    <m/>
    <n v="0"/>
    <m/>
    <m/>
    <n v="0"/>
  </r>
  <r>
    <x v="9"/>
    <s v="Sampson Community College"/>
    <n v="199625"/>
    <x v="8"/>
    <m/>
    <m/>
    <n v="0"/>
    <m/>
    <m/>
    <n v="0"/>
    <m/>
    <m/>
    <n v="0"/>
    <m/>
    <m/>
    <n v="0"/>
    <m/>
    <m/>
    <n v="0"/>
    <m/>
    <m/>
    <n v="0"/>
    <m/>
    <m/>
    <n v="0"/>
    <m/>
    <m/>
    <n v="0"/>
    <m/>
    <m/>
    <n v="0"/>
    <m/>
    <m/>
    <n v="0"/>
    <n v="49"/>
    <n v="45429"/>
    <n v="2226021"/>
    <n v="50"/>
    <n v="46345"/>
    <n v="2317250"/>
    <m/>
    <m/>
    <n v="0"/>
    <m/>
    <m/>
    <n v="0"/>
    <m/>
    <m/>
    <n v="0"/>
    <m/>
    <m/>
    <n v="0"/>
    <m/>
    <m/>
    <n v="0"/>
    <m/>
    <m/>
    <n v="0"/>
    <m/>
    <m/>
    <n v="0"/>
    <m/>
    <m/>
    <n v="0"/>
    <m/>
    <m/>
    <n v="0"/>
    <m/>
    <m/>
    <n v="0"/>
    <m/>
    <m/>
    <n v="0"/>
    <m/>
    <m/>
    <n v="0"/>
  </r>
  <r>
    <x v="9"/>
    <s v="Tri-County Community College "/>
    <n v="199795"/>
    <x v="8"/>
    <m/>
    <m/>
    <n v="0"/>
    <m/>
    <m/>
    <n v="0"/>
    <m/>
    <m/>
    <n v="0"/>
    <m/>
    <m/>
    <n v="0"/>
    <m/>
    <m/>
    <n v="0"/>
    <m/>
    <m/>
    <n v="0"/>
    <m/>
    <m/>
    <n v="0"/>
    <m/>
    <m/>
    <n v="0"/>
    <m/>
    <m/>
    <n v="0"/>
    <m/>
    <m/>
    <n v="0"/>
    <n v="30"/>
    <n v="44481"/>
    <n v="1334430"/>
    <n v="29"/>
    <n v="46133"/>
    <n v="1337857"/>
    <m/>
    <m/>
    <n v="0"/>
    <m/>
    <m/>
    <n v="0"/>
    <m/>
    <m/>
    <n v="0"/>
    <m/>
    <m/>
    <n v="0"/>
    <m/>
    <m/>
    <n v="0"/>
    <m/>
    <m/>
    <n v="0"/>
    <m/>
    <m/>
    <n v="0"/>
    <m/>
    <m/>
    <n v="0"/>
    <m/>
    <m/>
    <n v="0"/>
    <m/>
    <m/>
    <n v="0"/>
    <m/>
    <m/>
    <n v="0"/>
    <m/>
    <m/>
    <n v="0"/>
  </r>
  <r>
    <x v="10"/>
    <s v="Oklahoma State University Main Campus"/>
    <n v="207388"/>
    <x v="0"/>
    <n v="225"/>
    <n v="101147"/>
    <n v="22758075"/>
    <n v="224"/>
    <n v="104714"/>
    <n v="23455936"/>
    <n v="231"/>
    <n v="69980"/>
    <n v="16165380"/>
    <n v="231"/>
    <n v="73233"/>
    <n v="16916823"/>
    <n v="231"/>
    <n v="63062"/>
    <n v="14567322"/>
    <n v="213"/>
    <n v="64639"/>
    <n v="13768107"/>
    <n v="55"/>
    <n v="40702"/>
    <n v="2238610"/>
    <n v="68"/>
    <n v="42806"/>
    <n v="2910808"/>
    <m/>
    <m/>
    <n v="0"/>
    <m/>
    <m/>
    <n v="0"/>
    <m/>
    <m/>
    <n v="0"/>
    <m/>
    <m/>
    <n v="0"/>
    <n v="52"/>
    <n v="130716"/>
    <n v="5561495.2224000003"/>
    <n v="60"/>
    <n v="137521"/>
    <n v="6751180.932"/>
    <n v="39"/>
    <n v="76386"/>
    <n v="2437461.9828000003"/>
    <n v="35"/>
    <n v="82116"/>
    <n v="2351555.892"/>
    <n v="21"/>
    <n v="55279"/>
    <n v="949814.83380000002"/>
    <n v="27"/>
    <n v="58385"/>
    <n v="1289806.389"/>
    <n v="55"/>
    <n v="42901"/>
    <n v="1930587.9010000001"/>
    <n v="62"/>
    <n v="45992"/>
    <n v="2333100.5728000002"/>
    <m/>
    <m/>
    <n v="0"/>
    <m/>
    <m/>
    <n v="0"/>
    <m/>
    <m/>
    <n v="0"/>
    <m/>
    <m/>
    <n v="0"/>
  </r>
  <r>
    <x v="10"/>
    <s v="University of Oklahoma Norman Campus"/>
    <n v="207500"/>
    <x v="0"/>
    <n v="298"/>
    <n v="107114"/>
    <n v="31919972"/>
    <n v="316"/>
    <n v="106281"/>
    <n v="33584796"/>
    <n v="243"/>
    <n v="69525"/>
    <n v="16894575"/>
    <n v="259"/>
    <n v="70528"/>
    <n v="18266752"/>
    <n v="272"/>
    <n v="59026"/>
    <n v="16055072"/>
    <n v="259"/>
    <n v="61807"/>
    <n v="16008013"/>
    <n v="137"/>
    <n v="38852"/>
    <n v="5322724"/>
    <n v="136"/>
    <n v="42337"/>
    <n v="5757832"/>
    <m/>
    <m/>
    <n v="0"/>
    <m/>
    <m/>
    <n v="0"/>
    <m/>
    <m/>
    <n v="0"/>
    <m/>
    <m/>
    <n v="0"/>
    <n v="75"/>
    <n v="140704"/>
    <n v="8634300.9600000009"/>
    <n v="80"/>
    <n v="143397"/>
    <n v="9386194.0319999997"/>
    <n v="38"/>
    <n v="104854"/>
    <n v="3260078.6264"/>
    <n v="35"/>
    <n v="103772"/>
    <n v="2971718.764"/>
    <n v="11"/>
    <n v="69506"/>
    <n v="625567.90120000008"/>
    <n v="12"/>
    <n v="74623"/>
    <n v="732678.4632"/>
    <n v="17"/>
    <n v="46909"/>
    <n v="652476.04460000002"/>
    <n v="15"/>
    <n v="48067"/>
    <n v="589926.29100000008"/>
    <m/>
    <m/>
    <n v="0"/>
    <m/>
    <m/>
    <n v="0"/>
    <m/>
    <m/>
    <n v="0"/>
    <m/>
    <m/>
    <n v="0"/>
  </r>
  <r>
    <x v="10"/>
    <s v="Northeastern State University"/>
    <n v="207263"/>
    <x v="2"/>
    <n v="56"/>
    <n v="68860"/>
    <n v="3856160"/>
    <n v="53"/>
    <n v="69024"/>
    <n v="3658272"/>
    <n v="73"/>
    <n v="58050"/>
    <n v="4237650"/>
    <n v="71"/>
    <n v="58256"/>
    <n v="4136176"/>
    <n v="79"/>
    <n v="49142"/>
    <n v="3882218"/>
    <n v="85"/>
    <n v="48818"/>
    <n v="4149530"/>
    <n v="73"/>
    <n v="38285"/>
    <n v="2794805"/>
    <n v="79"/>
    <n v="37992"/>
    <n v="3001368"/>
    <m/>
    <m/>
    <n v="0"/>
    <m/>
    <m/>
    <n v="0"/>
    <m/>
    <m/>
    <n v="0"/>
    <m/>
    <m/>
    <n v="0"/>
    <n v="10"/>
    <n v="99719"/>
    <n v="815900.85800000001"/>
    <n v="10"/>
    <n v="101584"/>
    <n v="831160.28800000006"/>
    <n v="8"/>
    <n v="76656"/>
    <n v="501759.51360000001"/>
    <n v="8"/>
    <n v="76287"/>
    <n v="499344.18720000004"/>
    <n v="8"/>
    <n v="69494"/>
    <n v="454879.9264"/>
    <n v="8"/>
    <n v="67118"/>
    <n v="439327.5808"/>
    <n v="13"/>
    <n v="48368"/>
    <n v="514471.06880000001"/>
    <n v="10"/>
    <n v="49562"/>
    <n v="405516.28400000004"/>
    <m/>
    <m/>
    <n v="0"/>
    <m/>
    <m/>
    <n v="0"/>
    <m/>
    <m/>
    <n v="0"/>
    <m/>
    <m/>
    <n v="0"/>
  </r>
  <r>
    <x v="10"/>
    <s v="University of Central Oklahoma"/>
    <n v="206941"/>
    <x v="2"/>
    <n v="155"/>
    <n v="77583"/>
    <n v="12025365"/>
    <n v="163"/>
    <n v="77641"/>
    <n v="12655483"/>
    <n v="47"/>
    <n v="66548"/>
    <n v="3127756"/>
    <n v="45"/>
    <n v="66251"/>
    <n v="2981295"/>
    <n v="117"/>
    <n v="58346"/>
    <n v="6826482"/>
    <n v="128"/>
    <n v="58367"/>
    <n v="7470976"/>
    <n v="110"/>
    <n v="39692"/>
    <n v="4366120"/>
    <n v="100"/>
    <n v="40143"/>
    <n v="4014300"/>
    <m/>
    <m/>
    <n v="0"/>
    <m/>
    <m/>
    <n v="0"/>
    <m/>
    <m/>
    <n v="0"/>
    <m/>
    <m/>
    <n v="0"/>
    <m/>
    <m/>
    <n v="0"/>
    <m/>
    <m/>
    <n v="0"/>
    <m/>
    <m/>
    <n v="0"/>
    <m/>
    <m/>
    <n v="0"/>
    <m/>
    <m/>
    <n v="0"/>
    <m/>
    <m/>
    <n v="0"/>
    <m/>
    <m/>
    <n v="0"/>
    <m/>
    <m/>
    <n v="0"/>
    <m/>
    <m/>
    <n v="0"/>
    <m/>
    <m/>
    <n v="0"/>
    <m/>
    <m/>
    <n v="0"/>
    <m/>
    <m/>
    <n v="0"/>
  </r>
  <r>
    <x v="10"/>
    <s v="Cameron University "/>
    <n v="206914"/>
    <x v="4"/>
    <n v="36"/>
    <n v="63117"/>
    <n v="2272212"/>
    <n v="36"/>
    <n v="76606"/>
    <n v="2757816"/>
    <n v="37"/>
    <n v="58022"/>
    <n v="2146814"/>
    <n v="39"/>
    <n v="57742"/>
    <n v="2251938"/>
    <n v="63"/>
    <n v="48168"/>
    <n v="3034584"/>
    <n v="60"/>
    <n v="47849"/>
    <n v="2870940"/>
    <n v="34"/>
    <n v="35559"/>
    <n v="1209006"/>
    <n v="35"/>
    <n v="35808"/>
    <n v="1253280"/>
    <m/>
    <m/>
    <n v="0"/>
    <m/>
    <m/>
    <n v="0"/>
    <m/>
    <m/>
    <n v="0"/>
    <m/>
    <m/>
    <n v="0"/>
    <m/>
    <m/>
    <n v="0"/>
    <m/>
    <m/>
    <n v="0"/>
    <m/>
    <m/>
    <n v="0"/>
    <m/>
    <m/>
    <n v="0"/>
    <m/>
    <m/>
    <n v="0"/>
    <m/>
    <m/>
    <n v="0"/>
    <m/>
    <m/>
    <n v="0"/>
    <m/>
    <m/>
    <n v="0"/>
    <m/>
    <m/>
    <n v="0"/>
    <m/>
    <m/>
    <n v="0"/>
    <m/>
    <m/>
    <n v="0"/>
    <m/>
    <m/>
    <n v="0"/>
  </r>
  <r>
    <x v="10"/>
    <s v="East Central University "/>
    <n v="207041"/>
    <x v="4"/>
    <n v="52"/>
    <n v="68534"/>
    <n v="3563768"/>
    <n v="55"/>
    <n v="68426"/>
    <n v="3763430"/>
    <n v="18"/>
    <n v="54325"/>
    <n v="977850"/>
    <n v="24"/>
    <n v="54265"/>
    <n v="1302360"/>
    <n v="42"/>
    <n v="48499"/>
    <n v="2036958"/>
    <n v="45"/>
    <n v="47407"/>
    <n v="2133315"/>
    <n v="35"/>
    <n v="42996"/>
    <n v="1504860"/>
    <n v="37"/>
    <n v="42676"/>
    <n v="1579012"/>
    <m/>
    <m/>
    <n v="0"/>
    <m/>
    <m/>
    <n v="0"/>
    <m/>
    <m/>
    <n v="0"/>
    <m/>
    <m/>
    <n v="0"/>
    <n v="2"/>
    <n v="86378"/>
    <n v="141348.95920000001"/>
    <m/>
    <m/>
    <n v="0"/>
    <n v="1"/>
    <n v="72500"/>
    <n v="59319.5"/>
    <n v="2"/>
    <n v="86447"/>
    <n v="141461.8708"/>
    <n v="25"/>
    <n v="59558"/>
    <n v="1218258.8900000001"/>
    <n v="1"/>
    <n v="72638"/>
    <n v="59432.411599999999"/>
    <n v="1"/>
    <n v="47141"/>
    <n v="38570.766199999998"/>
    <n v="3"/>
    <n v="45007"/>
    <n v="110474.18220000001"/>
    <m/>
    <m/>
    <n v="0"/>
    <m/>
    <m/>
    <n v="0"/>
    <m/>
    <m/>
    <n v="0"/>
    <m/>
    <m/>
    <n v="0"/>
  </r>
  <r>
    <x v="10"/>
    <s v="Langston University"/>
    <n v="207209"/>
    <x v="4"/>
    <n v="8"/>
    <n v="54818"/>
    <n v="438544"/>
    <n v="9"/>
    <n v="54976"/>
    <n v="494784"/>
    <n v="18"/>
    <n v="54325"/>
    <n v="977850"/>
    <n v="17"/>
    <n v="54319"/>
    <n v="923423"/>
    <n v="35"/>
    <n v="47236"/>
    <n v="1653260"/>
    <n v="36"/>
    <n v="47168"/>
    <n v="1698048"/>
    <n v="23"/>
    <n v="40874"/>
    <n v="940102"/>
    <m/>
    <m/>
    <n v="0"/>
    <m/>
    <m/>
    <n v="0"/>
    <m/>
    <m/>
    <n v="0"/>
    <m/>
    <m/>
    <n v="0"/>
    <m/>
    <m/>
    <n v="0"/>
    <n v="2"/>
    <n v="63990"/>
    <n v="104713.236"/>
    <n v="2"/>
    <n v="92747"/>
    <n v="151771.19080000001"/>
    <n v="12"/>
    <n v="71292"/>
    <n v="699973.37280000001"/>
    <n v="11"/>
    <n v="69161"/>
    <n v="622462.83220000006"/>
    <m/>
    <m/>
    <n v="0"/>
    <n v="23"/>
    <n v="60107"/>
    <n v="1131129.5902"/>
    <n v="16"/>
    <n v="44284"/>
    <n v="579730.70079999999"/>
    <n v="16"/>
    <n v="43986"/>
    <n v="575829.52320000005"/>
    <m/>
    <m/>
    <n v="0"/>
    <m/>
    <m/>
    <n v="0"/>
    <m/>
    <m/>
    <n v="0"/>
    <m/>
    <m/>
    <n v="0"/>
  </r>
  <r>
    <x v="10"/>
    <s v="Northwestern Oklahoma State University "/>
    <n v="207306"/>
    <x v="4"/>
    <n v="18"/>
    <n v="63317"/>
    <n v="1139706"/>
    <n v="16"/>
    <n v="64058"/>
    <n v="1024928"/>
    <n v="12"/>
    <n v="52123"/>
    <n v="625476"/>
    <n v="12"/>
    <n v="53461"/>
    <n v="641532"/>
    <n v="16"/>
    <n v="47766"/>
    <n v="764256"/>
    <n v="16"/>
    <n v="45775"/>
    <n v="732400"/>
    <n v="33"/>
    <n v="37516"/>
    <n v="1238028"/>
    <n v="35"/>
    <n v="38525"/>
    <n v="1348375"/>
    <m/>
    <m/>
    <n v="0"/>
    <m/>
    <m/>
    <n v="0"/>
    <m/>
    <m/>
    <n v="0"/>
    <m/>
    <m/>
    <n v="0"/>
    <m/>
    <m/>
    <n v="0"/>
    <n v="1"/>
    <n v="75000"/>
    <n v="61365"/>
    <n v="2"/>
    <n v="82929"/>
    <n v="135705.01560000001"/>
    <n v="2"/>
    <n v="84975"/>
    <n v="139053.09"/>
    <m/>
    <m/>
    <n v="0"/>
    <n v="1"/>
    <n v="92700"/>
    <n v="75847.14"/>
    <n v="4"/>
    <n v="50012"/>
    <n v="163679.27360000001"/>
    <n v="3"/>
    <n v="59205"/>
    <n v="145324.59299999999"/>
    <m/>
    <m/>
    <n v="0"/>
    <m/>
    <m/>
    <n v="0"/>
    <m/>
    <m/>
    <n v="0"/>
    <m/>
    <m/>
    <n v="0"/>
  </r>
  <r>
    <x v="10"/>
    <s v="Southeastern Oklahoma State University "/>
    <n v="207847"/>
    <x v="4"/>
    <n v="35"/>
    <n v="66320"/>
    <n v="2321200"/>
    <n v="43"/>
    <n v="69383"/>
    <n v="2983469"/>
    <n v="37"/>
    <n v="59986"/>
    <n v="2219482"/>
    <n v="26"/>
    <n v="61255"/>
    <n v="1592630"/>
    <n v="36"/>
    <n v="50877"/>
    <n v="1831572"/>
    <n v="38"/>
    <n v="50944"/>
    <n v="1935872"/>
    <n v="21"/>
    <n v="36478"/>
    <n v="766038"/>
    <n v="21"/>
    <n v="39042"/>
    <n v="819882"/>
    <m/>
    <m/>
    <n v="0"/>
    <m/>
    <m/>
    <n v="0"/>
    <m/>
    <m/>
    <n v="0"/>
    <m/>
    <m/>
    <n v="0"/>
    <n v="5"/>
    <n v="112383"/>
    <n v="459758.853"/>
    <n v="6"/>
    <n v="117140"/>
    <n v="575063.68800000008"/>
    <n v="1"/>
    <n v="67140"/>
    <n v="54933.948000000004"/>
    <m/>
    <m/>
    <n v="0"/>
    <n v="7"/>
    <n v="54795"/>
    <n v="313832.88300000003"/>
    <n v="1"/>
    <n v="70482"/>
    <n v="57668.3724"/>
    <n v="1"/>
    <n v="50088"/>
    <n v="40982.001600000003"/>
    <n v="5"/>
    <n v="58125"/>
    <n v="237789.375"/>
    <m/>
    <m/>
    <n v="0"/>
    <m/>
    <m/>
    <n v="0"/>
    <m/>
    <m/>
    <n v="0"/>
    <m/>
    <m/>
    <n v="0"/>
  </r>
  <r>
    <x v="10"/>
    <s v="Southwestern Oklahoma State University"/>
    <n v="207865"/>
    <x v="4"/>
    <n v="37"/>
    <n v="74049"/>
    <n v="2739813"/>
    <n v="36"/>
    <n v="76606"/>
    <n v="2757816"/>
    <n v="24"/>
    <n v="60448"/>
    <n v="1450752"/>
    <n v="26"/>
    <n v="61213"/>
    <n v="1591538"/>
    <n v="65"/>
    <n v="48286"/>
    <n v="3138590"/>
    <n v="55"/>
    <n v="49689"/>
    <n v="2732895"/>
    <n v="82"/>
    <n v="42164"/>
    <n v="3457448"/>
    <n v="79"/>
    <n v="44448"/>
    <n v="3511392"/>
    <m/>
    <m/>
    <n v="0"/>
    <m/>
    <m/>
    <n v="0"/>
    <m/>
    <m/>
    <n v="0"/>
    <m/>
    <m/>
    <n v="0"/>
    <n v="3"/>
    <n v="115489"/>
    <n v="283479.29940000002"/>
    <n v="3"/>
    <n v="121100"/>
    <n v="297252.06"/>
    <n v="7"/>
    <n v="95276"/>
    <n v="545683.76240000001"/>
    <n v="8"/>
    <n v="98490"/>
    <n v="644676.14400000009"/>
    <n v="4"/>
    <n v="82333"/>
    <n v="269459.4424"/>
    <n v="4"/>
    <n v="86988"/>
    <n v="284694.32640000002"/>
    <n v="1"/>
    <n v="44302"/>
    <n v="36247.896400000005"/>
    <n v="1"/>
    <n v="46434"/>
    <n v="37992.298800000004"/>
    <m/>
    <m/>
    <n v="0"/>
    <m/>
    <m/>
    <n v="0"/>
    <m/>
    <m/>
    <n v="0"/>
    <m/>
    <m/>
    <n v="0"/>
  </r>
  <r>
    <x v="10"/>
    <s v="Oklahoma Panhandle State University "/>
    <n v="207351"/>
    <x v="5"/>
    <n v="2"/>
    <n v="45851"/>
    <n v="91702"/>
    <n v="3"/>
    <n v="48236"/>
    <n v="144708"/>
    <n v="10"/>
    <n v="47618"/>
    <n v="476180"/>
    <n v="9"/>
    <n v="50263"/>
    <n v="452367"/>
    <n v="14"/>
    <n v="39194"/>
    <n v="548716"/>
    <n v="14"/>
    <n v="41881"/>
    <n v="586334"/>
    <n v="23"/>
    <n v="25222"/>
    <n v="580106"/>
    <n v="16"/>
    <n v="27518"/>
    <n v="440288"/>
    <m/>
    <m/>
    <n v="0"/>
    <m/>
    <m/>
    <n v="0"/>
    <m/>
    <m/>
    <n v="0"/>
    <m/>
    <m/>
    <n v="0"/>
    <m/>
    <m/>
    <n v="0"/>
    <m/>
    <m/>
    <n v="0"/>
    <n v="1"/>
    <n v="52600"/>
    <n v="43037.32"/>
    <m/>
    <m/>
    <n v="0"/>
    <n v="2"/>
    <n v="42060"/>
    <n v="68826.983999999997"/>
    <n v="2"/>
    <n v="56783"/>
    <n v="92919.70120000001"/>
    <n v="4"/>
    <n v="27236"/>
    <n v="89137.980800000005"/>
    <n v="1"/>
    <n v="43510"/>
    <n v="35599.882000000005"/>
    <m/>
    <m/>
    <n v="0"/>
    <m/>
    <m/>
    <n v="0"/>
    <m/>
    <m/>
    <n v="0"/>
    <m/>
    <m/>
    <n v="0"/>
  </r>
  <r>
    <x v="10"/>
    <s v="Rogers State University"/>
    <n v="207661"/>
    <x v="5"/>
    <n v="9"/>
    <n v="70284"/>
    <n v="632556"/>
    <n v="6"/>
    <n v="70588"/>
    <n v="423528"/>
    <m/>
    <m/>
    <n v="0"/>
    <n v="20"/>
    <n v="55355"/>
    <n v="1107100"/>
    <n v="34"/>
    <n v="48692"/>
    <n v="1655528"/>
    <n v="36"/>
    <n v="47886"/>
    <n v="1723896"/>
    <n v="24"/>
    <n v="41740"/>
    <n v="1001760"/>
    <n v="20"/>
    <n v="42894"/>
    <n v="857880"/>
    <m/>
    <m/>
    <n v="0"/>
    <m/>
    <m/>
    <n v="0"/>
    <m/>
    <m/>
    <n v="0"/>
    <m/>
    <m/>
    <n v="0"/>
    <n v="0"/>
    <n v="0"/>
    <n v="0"/>
    <n v="3"/>
    <n v="75340"/>
    <n v="184929.56400000001"/>
    <n v="1"/>
    <n v="68140"/>
    <n v="55752.148000000001"/>
    <n v="5"/>
    <n v="78986"/>
    <n v="323131.72600000002"/>
    <m/>
    <m/>
    <n v="0"/>
    <n v="1"/>
    <n v="78000"/>
    <n v="63819.600000000006"/>
    <n v="2"/>
    <n v="30630"/>
    <n v="50122.932000000001"/>
    <n v="3"/>
    <n v="35159"/>
    <n v="86301.281400000007"/>
    <m/>
    <m/>
    <n v="0"/>
    <m/>
    <m/>
    <n v="0"/>
    <m/>
    <m/>
    <n v="0"/>
    <m/>
    <m/>
    <n v="0"/>
  </r>
  <r>
    <x v="10"/>
    <s v="University of Science and Arts of Oklahoma"/>
    <n v="207722"/>
    <x v="5"/>
    <n v="17"/>
    <n v="54238"/>
    <n v="922046"/>
    <n v="15"/>
    <n v="63095"/>
    <n v="946425"/>
    <n v="8"/>
    <n v="46381"/>
    <n v="371048"/>
    <n v="9"/>
    <n v="51892"/>
    <n v="467028"/>
    <n v="17"/>
    <n v="41047"/>
    <n v="697799"/>
    <n v="15"/>
    <n v="45777"/>
    <n v="686655"/>
    <n v="6"/>
    <n v="37671"/>
    <n v="226026"/>
    <n v="7"/>
    <n v="42146"/>
    <n v="295022"/>
    <m/>
    <m/>
    <n v="0"/>
    <m/>
    <m/>
    <n v="0"/>
    <m/>
    <m/>
    <n v="0"/>
    <m/>
    <m/>
    <n v="0"/>
    <n v="4"/>
    <n v="70869"/>
    <n v="231940.0632"/>
    <n v="5"/>
    <n v="78380"/>
    <n v="320652.58"/>
    <n v="2"/>
    <n v="61425"/>
    <n v="100515.87000000001"/>
    <n v="1"/>
    <n v="69075"/>
    <n v="56517.165000000001"/>
    <m/>
    <m/>
    <n v="0"/>
    <m/>
    <m/>
    <n v="0"/>
    <n v="4"/>
    <n v="53469"/>
    <n v="174993.3432"/>
    <n v="4"/>
    <n v="56181"/>
    <n v="183869.17680000002"/>
    <m/>
    <m/>
    <n v="0"/>
    <m/>
    <m/>
    <n v="0"/>
    <m/>
    <m/>
    <n v="0"/>
    <m/>
    <m/>
    <n v="0"/>
  </r>
  <r>
    <x v="10"/>
    <s v="Oklahoma State University Technical Branch-Okmulgee "/>
    <n v="207564"/>
    <x v="11"/>
    <m/>
    <m/>
    <n v="0"/>
    <m/>
    <m/>
    <n v="0"/>
    <m/>
    <m/>
    <n v="0"/>
    <m/>
    <m/>
    <n v="0"/>
    <m/>
    <m/>
    <n v="0"/>
    <m/>
    <m/>
    <n v="0"/>
    <m/>
    <m/>
    <n v="0"/>
    <m/>
    <m/>
    <n v="0"/>
    <m/>
    <m/>
    <n v="0"/>
    <m/>
    <m/>
    <n v="0"/>
    <n v="55"/>
    <n v="35616"/>
    <n v="1958880"/>
    <n v="112"/>
    <n v="38709"/>
    <n v="4335408"/>
    <m/>
    <m/>
    <n v="0"/>
    <m/>
    <m/>
    <n v="0"/>
    <m/>
    <m/>
    <n v="0"/>
    <m/>
    <m/>
    <n v="0"/>
    <m/>
    <m/>
    <n v="0"/>
    <m/>
    <m/>
    <n v="0"/>
    <m/>
    <m/>
    <n v="0"/>
    <m/>
    <m/>
    <n v="0"/>
    <m/>
    <m/>
    <n v="0"/>
    <m/>
    <m/>
    <n v="0"/>
    <n v="63"/>
    <n v="51610"/>
    <n v="2660320.0260000001"/>
    <n v="12"/>
    <n v="53567"/>
    <n v="525942.2328"/>
  </r>
  <r>
    <x v="10"/>
    <s v="Oklahoma City Community College "/>
    <n v="207449"/>
    <x v="6"/>
    <m/>
    <m/>
    <n v="0"/>
    <m/>
    <m/>
    <n v="0"/>
    <m/>
    <m/>
    <n v="0"/>
    <m/>
    <m/>
    <n v="0"/>
    <m/>
    <m/>
    <n v="0"/>
    <m/>
    <m/>
    <n v="0"/>
    <m/>
    <m/>
    <n v="0"/>
    <m/>
    <m/>
    <n v="0"/>
    <m/>
    <m/>
    <n v="0"/>
    <m/>
    <m/>
    <n v="0"/>
    <n v="133"/>
    <n v="49117"/>
    <n v="6532561"/>
    <n v="145"/>
    <n v="49143"/>
    <n v="7125735"/>
    <m/>
    <m/>
    <n v="0"/>
    <m/>
    <m/>
    <n v="0"/>
    <m/>
    <m/>
    <n v="0"/>
    <m/>
    <m/>
    <n v="0"/>
    <m/>
    <m/>
    <n v="0"/>
    <m/>
    <m/>
    <n v="0"/>
    <m/>
    <m/>
    <n v="0"/>
    <m/>
    <m/>
    <n v="0"/>
    <m/>
    <m/>
    <n v="0"/>
    <m/>
    <m/>
    <n v="0"/>
    <n v="1"/>
    <n v="87083"/>
    <n v="71251.310599999997"/>
    <n v="1"/>
    <n v="89824"/>
    <n v="73493.996800000008"/>
  </r>
  <r>
    <x v="10"/>
    <s v="Tulsa Community College "/>
    <n v="207935"/>
    <x v="6"/>
    <m/>
    <m/>
    <n v="0"/>
    <m/>
    <m/>
    <n v="0"/>
    <m/>
    <m/>
    <n v="0"/>
    <m/>
    <m/>
    <n v="0"/>
    <m/>
    <m/>
    <n v="0"/>
    <m/>
    <m/>
    <n v="0"/>
    <m/>
    <m/>
    <n v="0"/>
    <m/>
    <m/>
    <n v="0"/>
    <m/>
    <m/>
    <n v="0"/>
    <m/>
    <m/>
    <n v="0"/>
    <n v="253"/>
    <n v="55359"/>
    <n v="14005827"/>
    <n v="257"/>
    <n v="56764"/>
    <n v="14588348"/>
    <m/>
    <m/>
    <n v="0"/>
    <m/>
    <m/>
    <n v="0"/>
    <m/>
    <m/>
    <n v="0"/>
    <m/>
    <m/>
    <n v="0"/>
    <m/>
    <m/>
    <n v="0"/>
    <m/>
    <m/>
    <n v="0"/>
    <m/>
    <m/>
    <n v="0"/>
    <m/>
    <m/>
    <n v="0"/>
    <m/>
    <m/>
    <n v="0"/>
    <m/>
    <m/>
    <n v="0"/>
    <n v="42"/>
    <n v="61246"/>
    <n v="2104682.0424000002"/>
    <n v="41"/>
    <n v="62620"/>
    <n v="2100663.0440000002"/>
  </r>
  <r>
    <x v="10"/>
    <s v="Northern Oklahoma College "/>
    <n v="207281"/>
    <x v="7"/>
    <m/>
    <m/>
    <n v="0"/>
    <m/>
    <m/>
    <n v="0"/>
    <m/>
    <m/>
    <n v="0"/>
    <m/>
    <m/>
    <n v="0"/>
    <m/>
    <m/>
    <n v="0"/>
    <m/>
    <m/>
    <n v="0"/>
    <m/>
    <m/>
    <n v="0"/>
    <m/>
    <m/>
    <n v="0"/>
    <m/>
    <m/>
    <n v="0"/>
    <m/>
    <m/>
    <n v="0"/>
    <n v="91"/>
    <n v="46483"/>
    <n v="4229953"/>
    <n v="94"/>
    <n v="45989"/>
    <n v="4322966"/>
    <m/>
    <m/>
    <n v="0"/>
    <m/>
    <m/>
    <n v="0"/>
    <m/>
    <m/>
    <n v="0"/>
    <m/>
    <m/>
    <n v="0"/>
    <m/>
    <m/>
    <n v="0"/>
    <m/>
    <m/>
    <n v="0"/>
    <m/>
    <m/>
    <n v="0"/>
    <m/>
    <m/>
    <n v="0"/>
    <m/>
    <m/>
    <n v="0"/>
    <m/>
    <m/>
    <n v="0"/>
    <n v="3"/>
    <n v="37268"/>
    <n v="91478.032800000001"/>
    <n v="3"/>
    <n v="53887"/>
    <n v="132271.03020000001"/>
  </r>
  <r>
    <x v="10"/>
    <s v="Oklahoma State University-Oklahoma City "/>
    <n v="207397"/>
    <x v="7"/>
    <m/>
    <m/>
    <n v="0"/>
    <m/>
    <m/>
    <n v="0"/>
    <m/>
    <m/>
    <n v="0"/>
    <m/>
    <m/>
    <n v="0"/>
    <m/>
    <m/>
    <n v="0"/>
    <m/>
    <m/>
    <n v="0"/>
    <m/>
    <m/>
    <n v="0"/>
    <m/>
    <m/>
    <n v="0"/>
    <m/>
    <m/>
    <n v="0"/>
    <m/>
    <m/>
    <n v="0"/>
    <n v="48"/>
    <n v="47447"/>
    <n v="2277456"/>
    <n v="27"/>
    <n v="50691"/>
    <n v="1368657"/>
    <m/>
    <m/>
    <n v="0"/>
    <m/>
    <m/>
    <n v="0"/>
    <m/>
    <m/>
    <n v="0"/>
    <m/>
    <m/>
    <n v="0"/>
    <m/>
    <m/>
    <n v="0"/>
    <m/>
    <m/>
    <n v="0"/>
    <m/>
    <m/>
    <n v="0"/>
    <m/>
    <m/>
    <n v="0"/>
    <m/>
    <m/>
    <n v="0"/>
    <m/>
    <m/>
    <n v="0"/>
    <n v="25"/>
    <n v="64589"/>
    <n v="1321167.9950000001"/>
    <n v="27"/>
    <m/>
    <n v="0"/>
  </r>
  <r>
    <x v="10"/>
    <s v="Rose State College "/>
    <n v="207670"/>
    <x v="7"/>
    <m/>
    <m/>
    <n v="0"/>
    <m/>
    <m/>
    <n v="0"/>
    <m/>
    <m/>
    <n v="0"/>
    <m/>
    <m/>
    <n v="0"/>
    <m/>
    <m/>
    <n v="0"/>
    <m/>
    <m/>
    <n v="0"/>
    <m/>
    <m/>
    <n v="0"/>
    <m/>
    <m/>
    <n v="0"/>
    <m/>
    <m/>
    <n v="0"/>
    <m/>
    <m/>
    <n v="0"/>
    <n v="107"/>
    <n v="42726"/>
    <n v="4571682"/>
    <n v="102"/>
    <n v="47218"/>
    <n v="4816236"/>
    <m/>
    <m/>
    <n v="0"/>
    <m/>
    <m/>
    <n v="0"/>
    <m/>
    <m/>
    <n v="0"/>
    <m/>
    <m/>
    <n v="0"/>
    <m/>
    <m/>
    <n v="0"/>
    <m/>
    <m/>
    <n v="0"/>
    <m/>
    <m/>
    <n v="0"/>
    <m/>
    <m/>
    <n v="0"/>
    <m/>
    <m/>
    <n v="0"/>
    <m/>
    <m/>
    <n v="0"/>
    <n v="16"/>
    <n v="59998"/>
    <n v="785445.81760000007"/>
    <n v="17"/>
    <n v="60393"/>
    <n v="840030.3942000001"/>
  </r>
  <r>
    <x v="10"/>
    <s v="Carl Albert State College"/>
    <n v="206923"/>
    <x v="8"/>
    <m/>
    <m/>
    <n v="0"/>
    <m/>
    <m/>
    <n v="0"/>
    <m/>
    <m/>
    <n v="0"/>
    <m/>
    <m/>
    <n v="0"/>
    <m/>
    <m/>
    <n v="0"/>
    <m/>
    <m/>
    <n v="0"/>
    <m/>
    <m/>
    <n v="0"/>
    <m/>
    <m/>
    <n v="0"/>
    <m/>
    <m/>
    <n v="0"/>
    <m/>
    <m/>
    <n v="0"/>
    <n v="48"/>
    <n v="38531"/>
    <n v="1849488"/>
    <n v="47"/>
    <n v="40313"/>
    <n v="1894711"/>
    <m/>
    <m/>
    <n v="0"/>
    <m/>
    <m/>
    <n v="0"/>
    <m/>
    <m/>
    <n v="0"/>
    <m/>
    <m/>
    <n v="0"/>
    <m/>
    <m/>
    <n v="0"/>
    <m/>
    <m/>
    <n v="0"/>
    <m/>
    <m/>
    <n v="0"/>
    <m/>
    <m/>
    <n v="0"/>
    <m/>
    <m/>
    <n v="0"/>
    <m/>
    <m/>
    <n v="0"/>
    <n v="13"/>
    <n v="43808"/>
    <n v="465968.1728"/>
    <n v="10"/>
    <n v="47700"/>
    <n v="390281.4"/>
  </r>
  <r>
    <x v="10"/>
    <s v="Connors State College "/>
    <n v="206996"/>
    <x v="8"/>
    <m/>
    <m/>
    <n v="0"/>
    <m/>
    <m/>
    <n v="0"/>
    <m/>
    <m/>
    <n v="0"/>
    <m/>
    <m/>
    <n v="0"/>
    <m/>
    <m/>
    <n v="0"/>
    <m/>
    <m/>
    <n v="0"/>
    <m/>
    <m/>
    <n v="0"/>
    <m/>
    <m/>
    <n v="0"/>
    <m/>
    <m/>
    <n v="0"/>
    <m/>
    <m/>
    <n v="0"/>
    <n v="47"/>
    <n v="38474"/>
    <n v="1808278"/>
    <n v="48"/>
    <n v="37801"/>
    <n v="1814448"/>
    <m/>
    <m/>
    <n v="0"/>
    <m/>
    <m/>
    <n v="0"/>
    <m/>
    <m/>
    <n v="0"/>
    <m/>
    <m/>
    <n v="0"/>
    <m/>
    <m/>
    <n v="0"/>
    <m/>
    <m/>
    <n v="0"/>
    <m/>
    <m/>
    <n v="0"/>
    <m/>
    <m/>
    <n v="0"/>
    <m/>
    <m/>
    <n v="0"/>
    <m/>
    <m/>
    <n v="0"/>
    <n v="2"/>
    <n v="49952"/>
    <n v="81741.452799999999"/>
    <n v="3"/>
    <n v="49231"/>
    <n v="120842.41260000001"/>
  </r>
  <r>
    <x v="10"/>
    <s v="Eastern Oklahoma State College "/>
    <n v="207050"/>
    <x v="8"/>
    <m/>
    <m/>
    <n v="0"/>
    <m/>
    <m/>
    <n v="0"/>
    <m/>
    <m/>
    <n v="0"/>
    <m/>
    <m/>
    <n v="0"/>
    <m/>
    <m/>
    <n v="0"/>
    <m/>
    <m/>
    <n v="0"/>
    <m/>
    <m/>
    <n v="0"/>
    <m/>
    <m/>
    <n v="0"/>
    <m/>
    <m/>
    <n v="0"/>
    <m/>
    <m/>
    <n v="0"/>
    <n v="47"/>
    <n v="42608"/>
    <n v="2002576"/>
    <n v="49"/>
    <n v="43114"/>
    <n v="2112586"/>
    <m/>
    <m/>
    <n v="0"/>
    <m/>
    <m/>
    <n v="0"/>
    <m/>
    <m/>
    <n v="0"/>
    <m/>
    <m/>
    <n v="0"/>
    <m/>
    <m/>
    <n v="0"/>
    <m/>
    <m/>
    <n v="0"/>
    <m/>
    <m/>
    <n v="0"/>
    <m/>
    <m/>
    <n v="0"/>
    <m/>
    <m/>
    <n v="0"/>
    <m/>
    <m/>
    <n v="0"/>
    <m/>
    <m/>
    <n v="0"/>
    <m/>
    <m/>
    <n v="0"/>
  </r>
  <r>
    <x v="10"/>
    <s v="Murray State College "/>
    <n v="207236"/>
    <x v="8"/>
    <m/>
    <m/>
    <n v="0"/>
    <m/>
    <m/>
    <n v="0"/>
    <m/>
    <m/>
    <n v="0"/>
    <m/>
    <m/>
    <n v="0"/>
    <m/>
    <m/>
    <n v="0"/>
    <m/>
    <m/>
    <n v="0"/>
    <m/>
    <m/>
    <n v="0"/>
    <m/>
    <m/>
    <n v="0"/>
    <m/>
    <m/>
    <n v="0"/>
    <m/>
    <m/>
    <n v="0"/>
    <n v="32"/>
    <n v="40905"/>
    <n v="1308960"/>
    <n v="40"/>
    <n v="41785"/>
    <n v="1671400"/>
    <m/>
    <m/>
    <n v="0"/>
    <m/>
    <m/>
    <n v="0"/>
    <m/>
    <m/>
    <n v="0"/>
    <m/>
    <m/>
    <n v="0"/>
    <m/>
    <m/>
    <n v="0"/>
    <m/>
    <m/>
    <n v="0"/>
    <m/>
    <m/>
    <n v="0"/>
    <m/>
    <m/>
    <n v="0"/>
    <m/>
    <m/>
    <n v="0"/>
    <m/>
    <m/>
    <n v="0"/>
    <n v="10"/>
    <n v="60314"/>
    <n v="493489.14800000004"/>
    <n v="7"/>
    <n v="58448"/>
    <n v="334755.07520000002"/>
  </r>
  <r>
    <x v="10"/>
    <s v="Northeastern Oklahoma A &amp; M College "/>
    <n v="207290"/>
    <x v="8"/>
    <m/>
    <m/>
    <n v="0"/>
    <m/>
    <m/>
    <n v="0"/>
    <m/>
    <m/>
    <n v="0"/>
    <m/>
    <m/>
    <n v="0"/>
    <m/>
    <m/>
    <n v="0"/>
    <m/>
    <m/>
    <n v="0"/>
    <m/>
    <m/>
    <n v="0"/>
    <m/>
    <m/>
    <n v="0"/>
    <m/>
    <m/>
    <n v="0"/>
    <m/>
    <m/>
    <n v="0"/>
    <n v="69"/>
    <n v="40246"/>
    <n v="2776974"/>
    <n v="68"/>
    <n v="42105"/>
    <n v="2863140"/>
    <m/>
    <m/>
    <n v="0"/>
    <m/>
    <m/>
    <n v="0"/>
    <m/>
    <m/>
    <n v="0"/>
    <m/>
    <m/>
    <n v="0"/>
    <m/>
    <m/>
    <n v="0"/>
    <m/>
    <m/>
    <n v="0"/>
    <m/>
    <m/>
    <n v="0"/>
    <m/>
    <m/>
    <n v="0"/>
    <m/>
    <m/>
    <n v="0"/>
    <m/>
    <m/>
    <n v="0"/>
    <n v="5"/>
    <n v="56564"/>
    <n v="231403.32400000002"/>
    <n v="5"/>
    <n v="50615"/>
    <n v="207065.965"/>
  </r>
  <r>
    <x v="10"/>
    <s v="Redlands Community College"/>
    <n v="207069"/>
    <x v="8"/>
    <m/>
    <m/>
    <n v="0"/>
    <m/>
    <m/>
    <n v="0"/>
    <m/>
    <m/>
    <n v="0"/>
    <m/>
    <m/>
    <n v="0"/>
    <m/>
    <m/>
    <n v="0"/>
    <m/>
    <m/>
    <n v="0"/>
    <m/>
    <m/>
    <n v="0"/>
    <m/>
    <m/>
    <n v="0"/>
    <m/>
    <m/>
    <n v="0"/>
    <m/>
    <m/>
    <n v="0"/>
    <n v="29"/>
    <n v="38724"/>
    <n v="1122996"/>
    <n v="28"/>
    <n v="39837"/>
    <n v="1115436"/>
    <m/>
    <m/>
    <n v="0"/>
    <m/>
    <m/>
    <n v="0"/>
    <m/>
    <m/>
    <n v="0"/>
    <m/>
    <m/>
    <n v="0"/>
    <m/>
    <m/>
    <n v="0"/>
    <m/>
    <m/>
    <n v="0"/>
    <m/>
    <m/>
    <n v="0"/>
    <m/>
    <m/>
    <n v="0"/>
    <m/>
    <m/>
    <n v="0"/>
    <m/>
    <m/>
    <n v="0"/>
    <n v="6"/>
    <n v="46050"/>
    <n v="226068.66"/>
    <n v="7"/>
    <n v="48799"/>
    <n v="279491.39260000002"/>
  </r>
  <r>
    <x v="10"/>
    <s v="Seminole State College "/>
    <n v="207740"/>
    <x v="8"/>
    <m/>
    <m/>
    <n v="0"/>
    <m/>
    <m/>
    <n v="0"/>
    <m/>
    <m/>
    <n v="0"/>
    <m/>
    <m/>
    <n v="0"/>
    <m/>
    <m/>
    <n v="0"/>
    <m/>
    <m/>
    <n v="0"/>
    <m/>
    <m/>
    <n v="0"/>
    <m/>
    <m/>
    <n v="0"/>
    <m/>
    <m/>
    <n v="0"/>
    <m/>
    <m/>
    <n v="0"/>
    <n v="37"/>
    <n v="42474"/>
    <n v="1571538"/>
    <n v="36"/>
    <n v="43661"/>
    <n v="1571796"/>
    <m/>
    <m/>
    <n v="0"/>
    <m/>
    <m/>
    <n v="0"/>
    <m/>
    <m/>
    <n v="0"/>
    <m/>
    <m/>
    <n v="0"/>
    <m/>
    <m/>
    <n v="0"/>
    <m/>
    <m/>
    <n v="0"/>
    <m/>
    <m/>
    <n v="0"/>
    <m/>
    <m/>
    <n v="0"/>
    <m/>
    <m/>
    <n v="0"/>
    <m/>
    <m/>
    <n v="0"/>
    <n v="9"/>
    <n v="43043"/>
    <n v="316960.04340000002"/>
    <n v="10"/>
    <n v="45326"/>
    <n v="370857.33199999999"/>
  </r>
  <r>
    <x v="10"/>
    <s v="Western Oklahoma State College "/>
    <n v="208035"/>
    <x v="8"/>
    <m/>
    <m/>
    <n v="0"/>
    <m/>
    <m/>
    <n v="0"/>
    <m/>
    <m/>
    <n v="0"/>
    <m/>
    <m/>
    <n v="0"/>
    <m/>
    <m/>
    <n v="0"/>
    <m/>
    <m/>
    <n v="0"/>
    <m/>
    <m/>
    <n v="0"/>
    <m/>
    <m/>
    <n v="0"/>
    <m/>
    <m/>
    <n v="0"/>
    <m/>
    <m/>
    <n v="0"/>
    <n v="40"/>
    <n v="42406"/>
    <n v="1696240"/>
    <n v="41"/>
    <n v="43923"/>
    <n v="1800843"/>
    <m/>
    <m/>
    <n v="0"/>
    <m/>
    <m/>
    <n v="0"/>
    <m/>
    <m/>
    <n v="0"/>
    <m/>
    <m/>
    <n v="0"/>
    <m/>
    <m/>
    <n v="0"/>
    <m/>
    <m/>
    <n v="0"/>
    <m/>
    <m/>
    <n v="0"/>
    <m/>
    <m/>
    <n v="0"/>
    <m/>
    <m/>
    <n v="0"/>
    <m/>
    <m/>
    <n v="0"/>
    <n v="4"/>
    <n v="50362"/>
    <n v="164824.7536"/>
    <n v="4"/>
    <n v="51696"/>
    <n v="169190.66880000001"/>
  </r>
  <r>
    <x v="10"/>
    <s v="Francis Tuttle Technology Center"/>
    <n v="245999"/>
    <x v="9"/>
    <m/>
    <m/>
    <n v="0"/>
    <m/>
    <m/>
    <n v="0"/>
    <m/>
    <m/>
    <n v="0"/>
    <m/>
    <m/>
    <n v="0"/>
    <m/>
    <m/>
    <n v="0"/>
    <m/>
    <m/>
    <n v="0"/>
    <m/>
    <m/>
    <n v="0"/>
    <m/>
    <m/>
    <n v="0"/>
    <m/>
    <m/>
    <n v="0"/>
    <m/>
    <m/>
    <n v="0"/>
    <n v="72"/>
    <n v="57183.26"/>
    <n v="4117194.72"/>
    <n v="71"/>
    <n v="58379"/>
    <n v="4144909"/>
    <m/>
    <m/>
    <n v="0"/>
    <m/>
    <m/>
    <n v="0"/>
    <m/>
    <m/>
    <n v="0"/>
    <m/>
    <m/>
    <n v="0"/>
    <m/>
    <m/>
    <n v="0"/>
    <m/>
    <m/>
    <n v="0"/>
    <m/>
    <m/>
    <n v="0"/>
    <m/>
    <m/>
    <n v="0"/>
    <m/>
    <m/>
    <n v="0"/>
    <m/>
    <m/>
    <n v="0"/>
    <n v="23"/>
    <n v="63687.65"/>
    <n v="1198512.41029"/>
    <n v="21"/>
    <n v="65490"/>
    <n v="1125262.2780000002"/>
  </r>
  <r>
    <x v="10"/>
    <s v="Great Plains Technology Center"/>
    <n v="364548"/>
    <x v="9"/>
    <m/>
    <m/>
    <n v="0"/>
    <m/>
    <m/>
    <n v="0"/>
    <m/>
    <m/>
    <n v="0"/>
    <m/>
    <m/>
    <n v="0"/>
    <m/>
    <m/>
    <n v="0"/>
    <m/>
    <m/>
    <n v="0"/>
    <m/>
    <m/>
    <n v="0"/>
    <m/>
    <m/>
    <n v="0"/>
    <m/>
    <m/>
    <n v="0"/>
    <m/>
    <m/>
    <n v="0"/>
    <n v="28"/>
    <n v="46418.75"/>
    <n v="1299725"/>
    <n v="29"/>
    <n v="47293"/>
    <n v="1371497"/>
    <m/>
    <m/>
    <n v="0"/>
    <m/>
    <m/>
    <n v="0"/>
    <m/>
    <m/>
    <n v="0"/>
    <m/>
    <m/>
    <n v="0"/>
    <m/>
    <m/>
    <n v="0"/>
    <m/>
    <m/>
    <n v="0"/>
    <m/>
    <m/>
    <n v="0"/>
    <m/>
    <m/>
    <n v="0"/>
    <m/>
    <m/>
    <n v="0"/>
    <m/>
    <m/>
    <n v="0"/>
    <n v="23"/>
    <n v="52773.04"/>
    <n v="993114.73054399993"/>
    <n v="22"/>
    <n v="52345"/>
    <n v="942230.93800000008"/>
  </r>
  <r>
    <x v="10"/>
    <s v="Metro Technology Center"/>
    <n v="363165"/>
    <x v="9"/>
    <m/>
    <m/>
    <n v="0"/>
    <m/>
    <m/>
    <n v="0"/>
    <m/>
    <m/>
    <n v="0"/>
    <m/>
    <m/>
    <n v="0"/>
    <m/>
    <m/>
    <n v="0"/>
    <m/>
    <m/>
    <n v="0"/>
    <m/>
    <m/>
    <n v="0"/>
    <m/>
    <m/>
    <n v="0"/>
    <m/>
    <m/>
    <n v="0"/>
    <m/>
    <m/>
    <n v="0"/>
    <n v="42"/>
    <n v="49449.05"/>
    <n v="2076860.1"/>
    <n v="34"/>
    <n v="51437"/>
    <n v="1748858"/>
    <m/>
    <m/>
    <n v="0"/>
    <m/>
    <m/>
    <n v="0"/>
    <m/>
    <m/>
    <n v="0"/>
    <m/>
    <m/>
    <n v="0"/>
    <m/>
    <m/>
    <n v="0"/>
    <m/>
    <m/>
    <n v="0"/>
    <m/>
    <m/>
    <n v="0"/>
    <m/>
    <m/>
    <n v="0"/>
    <m/>
    <m/>
    <n v="0"/>
    <m/>
    <m/>
    <n v="0"/>
    <n v="37"/>
    <n v="54426.68"/>
    <n v="1647680.6543119999"/>
    <m/>
    <m/>
    <n v="0"/>
  </r>
  <r>
    <x v="10"/>
    <s v="Moore Norman Technology Center                    "/>
    <n v="248606"/>
    <x v="9"/>
    <m/>
    <m/>
    <n v="0"/>
    <m/>
    <m/>
    <n v="0"/>
    <m/>
    <m/>
    <n v="0"/>
    <m/>
    <m/>
    <n v="0"/>
    <m/>
    <m/>
    <n v="0"/>
    <m/>
    <m/>
    <n v="0"/>
    <m/>
    <m/>
    <n v="0"/>
    <m/>
    <m/>
    <n v="0"/>
    <m/>
    <m/>
    <n v="0"/>
    <m/>
    <m/>
    <n v="0"/>
    <n v="49"/>
    <n v="55724.37"/>
    <n v="2730494.1300000004"/>
    <n v="47"/>
    <n v="56398"/>
    <n v="2650706"/>
    <m/>
    <m/>
    <n v="0"/>
    <m/>
    <m/>
    <n v="0"/>
    <m/>
    <m/>
    <n v="0"/>
    <m/>
    <m/>
    <n v="0"/>
    <m/>
    <m/>
    <n v="0"/>
    <m/>
    <m/>
    <n v="0"/>
    <m/>
    <m/>
    <n v="0"/>
    <m/>
    <m/>
    <n v="0"/>
    <m/>
    <m/>
    <n v="0"/>
    <m/>
    <m/>
    <n v="0"/>
    <m/>
    <m/>
    <n v="0"/>
    <n v="1"/>
    <n v="48628"/>
    <n v="39787.429600000003"/>
  </r>
  <r>
    <x v="10"/>
    <s v="Autry Technology Center"/>
    <n v="365213"/>
    <x v="10"/>
    <m/>
    <m/>
    <n v="0"/>
    <m/>
    <m/>
    <n v="0"/>
    <m/>
    <m/>
    <n v="0"/>
    <m/>
    <m/>
    <n v="0"/>
    <m/>
    <m/>
    <n v="0"/>
    <m/>
    <m/>
    <n v="0"/>
    <m/>
    <m/>
    <n v="0"/>
    <m/>
    <m/>
    <n v="0"/>
    <m/>
    <m/>
    <n v="0"/>
    <m/>
    <m/>
    <n v="0"/>
    <n v="16"/>
    <n v="49593.93"/>
    <n v="793502.88"/>
    <n v="16"/>
    <n v="49691"/>
    <n v="795056"/>
    <m/>
    <m/>
    <n v="0"/>
    <m/>
    <m/>
    <n v="0"/>
    <m/>
    <m/>
    <n v="0"/>
    <m/>
    <m/>
    <n v="0"/>
    <m/>
    <m/>
    <n v="0"/>
    <m/>
    <m/>
    <n v="0"/>
    <m/>
    <m/>
    <n v="0"/>
    <m/>
    <m/>
    <n v="0"/>
    <m/>
    <m/>
    <n v="0"/>
    <m/>
    <m/>
    <n v="0"/>
    <n v="12"/>
    <n v="58495"/>
    <n v="574327.30800000008"/>
    <n v="13"/>
    <n v="60765"/>
    <n v="646332.99900000007"/>
  </r>
  <r>
    <x v="10"/>
    <s v="Caddo Kiowa Technology Center"/>
    <n v="364946"/>
    <x v="10"/>
    <m/>
    <m/>
    <n v="0"/>
    <m/>
    <m/>
    <n v="0"/>
    <m/>
    <m/>
    <n v="0"/>
    <m/>
    <m/>
    <n v="0"/>
    <m/>
    <m/>
    <n v="0"/>
    <m/>
    <m/>
    <n v="0"/>
    <m/>
    <m/>
    <n v="0"/>
    <m/>
    <m/>
    <n v="0"/>
    <m/>
    <m/>
    <n v="0"/>
    <m/>
    <m/>
    <n v="0"/>
    <n v="25"/>
    <n v="45434.36"/>
    <n v="1135859"/>
    <n v="23"/>
    <n v="45918"/>
    <n v="1056114"/>
    <m/>
    <m/>
    <n v="0"/>
    <m/>
    <m/>
    <n v="0"/>
    <m/>
    <m/>
    <n v="0"/>
    <m/>
    <m/>
    <n v="0"/>
    <m/>
    <m/>
    <n v="0"/>
    <m/>
    <m/>
    <n v="0"/>
    <m/>
    <m/>
    <n v="0"/>
    <m/>
    <m/>
    <n v="0"/>
    <m/>
    <m/>
    <n v="0"/>
    <m/>
    <m/>
    <n v="0"/>
    <n v="14"/>
    <n v="51574.21"/>
    <n v="590772.26070799993"/>
    <n v="14"/>
    <n v="52071"/>
    <n v="596462.89080000005"/>
  </r>
  <r>
    <x v="10"/>
    <s v="Canadian Valley Technology Center                 "/>
    <n v="365374"/>
    <x v="10"/>
    <m/>
    <m/>
    <n v="0"/>
    <m/>
    <m/>
    <n v="0"/>
    <m/>
    <m/>
    <n v="0"/>
    <m/>
    <m/>
    <n v="0"/>
    <m/>
    <m/>
    <n v="0"/>
    <m/>
    <m/>
    <n v="0"/>
    <m/>
    <m/>
    <n v="0"/>
    <m/>
    <m/>
    <n v="0"/>
    <m/>
    <m/>
    <n v="0"/>
    <m/>
    <m/>
    <n v="0"/>
    <n v="40"/>
    <n v="50150.53"/>
    <n v="2006021.2"/>
    <n v="39"/>
    <n v="50946"/>
    <n v="1986894"/>
    <m/>
    <m/>
    <n v="0"/>
    <m/>
    <m/>
    <n v="0"/>
    <m/>
    <m/>
    <n v="0"/>
    <m/>
    <m/>
    <n v="0"/>
    <m/>
    <m/>
    <n v="0"/>
    <m/>
    <m/>
    <n v="0"/>
    <m/>
    <m/>
    <n v="0"/>
    <m/>
    <m/>
    <n v="0"/>
    <m/>
    <m/>
    <n v="0"/>
    <m/>
    <m/>
    <n v="0"/>
    <n v="14"/>
    <n v="56355.57"/>
    <n v="645541.78323599999"/>
    <n v="13"/>
    <n v="61440"/>
    <n v="653512.70400000003"/>
  </r>
  <r>
    <x v="10"/>
    <s v="Central Technology Center"/>
    <n v="246017"/>
    <x v="10"/>
    <m/>
    <m/>
    <n v="0"/>
    <m/>
    <m/>
    <n v="0"/>
    <m/>
    <m/>
    <n v="0"/>
    <m/>
    <m/>
    <n v="0"/>
    <m/>
    <m/>
    <n v="0"/>
    <m/>
    <m/>
    <n v="0"/>
    <m/>
    <m/>
    <n v="0"/>
    <m/>
    <m/>
    <n v="0"/>
    <m/>
    <m/>
    <n v="0"/>
    <m/>
    <m/>
    <n v="0"/>
    <n v="31"/>
    <n v="46436.84"/>
    <n v="1439542.0399999998"/>
    <n v="28"/>
    <n v="47083"/>
    <n v="1318324"/>
    <m/>
    <m/>
    <n v="0"/>
    <m/>
    <m/>
    <n v="0"/>
    <m/>
    <m/>
    <n v="0"/>
    <m/>
    <m/>
    <n v="0"/>
    <m/>
    <m/>
    <n v="0"/>
    <m/>
    <m/>
    <n v="0"/>
    <m/>
    <m/>
    <n v="0"/>
    <m/>
    <m/>
    <n v="0"/>
    <m/>
    <m/>
    <n v="0"/>
    <m/>
    <m/>
    <n v="0"/>
    <n v="26"/>
    <n v="54133.58"/>
    <n v="1151594.4740560001"/>
    <n v="22"/>
    <n v="58421"/>
    <n v="1051601.3684"/>
  </r>
  <r>
    <x v="10"/>
    <s v="Chisholm Trail Technology Center"/>
    <n v="375656"/>
    <x v="10"/>
    <m/>
    <m/>
    <n v="0"/>
    <m/>
    <m/>
    <n v="0"/>
    <m/>
    <m/>
    <n v="0"/>
    <m/>
    <m/>
    <n v="0"/>
    <m/>
    <m/>
    <n v="0"/>
    <m/>
    <m/>
    <n v="0"/>
    <m/>
    <m/>
    <n v="0"/>
    <m/>
    <m/>
    <n v="0"/>
    <m/>
    <m/>
    <n v="0"/>
    <m/>
    <m/>
    <n v="0"/>
    <n v="1"/>
    <n v="46600"/>
    <n v="46600"/>
    <n v="1"/>
    <n v="47950"/>
    <n v="47950"/>
    <m/>
    <m/>
    <n v="0"/>
    <m/>
    <m/>
    <n v="0"/>
    <m/>
    <m/>
    <n v="0"/>
    <m/>
    <m/>
    <n v="0"/>
    <m/>
    <m/>
    <n v="0"/>
    <m/>
    <m/>
    <n v="0"/>
    <m/>
    <m/>
    <n v="0"/>
    <m/>
    <m/>
    <n v="0"/>
    <m/>
    <m/>
    <n v="0"/>
    <m/>
    <m/>
    <n v="0"/>
    <n v="4"/>
    <n v="42555.25"/>
    <n v="139274.8222"/>
    <n v="4"/>
    <n v="48439"/>
    <n v="158531.15919999999"/>
  </r>
  <r>
    <x v="10"/>
    <s v="Eastern Oklahoma County Technology Center"/>
    <n v="418348"/>
    <x v="10"/>
    <m/>
    <m/>
    <n v="0"/>
    <m/>
    <m/>
    <n v="0"/>
    <m/>
    <m/>
    <n v="0"/>
    <m/>
    <m/>
    <n v="0"/>
    <m/>
    <m/>
    <n v="0"/>
    <m/>
    <m/>
    <n v="0"/>
    <m/>
    <m/>
    <n v="0"/>
    <m/>
    <m/>
    <n v="0"/>
    <m/>
    <m/>
    <n v="0"/>
    <m/>
    <m/>
    <n v="0"/>
    <n v="17"/>
    <n v="48548.65"/>
    <n v="825327.05"/>
    <n v="17"/>
    <n v="49669"/>
    <n v="844373"/>
    <m/>
    <m/>
    <n v="0"/>
    <m/>
    <m/>
    <n v="0"/>
    <m/>
    <m/>
    <n v="0"/>
    <m/>
    <m/>
    <n v="0"/>
    <m/>
    <m/>
    <n v="0"/>
    <m/>
    <m/>
    <n v="0"/>
    <m/>
    <m/>
    <n v="0"/>
    <m/>
    <m/>
    <n v="0"/>
    <m/>
    <m/>
    <n v="0"/>
    <m/>
    <m/>
    <n v="0"/>
    <n v="3"/>
    <n v="56277"/>
    <n v="138137.52420000001"/>
    <n v="3"/>
    <n v="59765"/>
    <n v="146699.16899999999"/>
  </r>
  <r>
    <x v="10"/>
    <s v="Gordon Cooper Technology Center"/>
    <n v="375683"/>
    <x v="10"/>
    <m/>
    <m/>
    <n v="0"/>
    <m/>
    <m/>
    <n v="0"/>
    <m/>
    <m/>
    <n v="0"/>
    <m/>
    <m/>
    <n v="0"/>
    <m/>
    <m/>
    <n v="0"/>
    <m/>
    <m/>
    <n v="0"/>
    <m/>
    <m/>
    <n v="0"/>
    <m/>
    <m/>
    <n v="0"/>
    <m/>
    <m/>
    <n v="0"/>
    <m/>
    <m/>
    <n v="0"/>
    <n v="31"/>
    <n v="49232.61"/>
    <n v="1526210.91"/>
    <n v="31"/>
    <n v="49455"/>
    <n v="1533105"/>
    <m/>
    <m/>
    <n v="0"/>
    <m/>
    <m/>
    <n v="0"/>
    <m/>
    <m/>
    <n v="0"/>
    <m/>
    <m/>
    <n v="0"/>
    <m/>
    <m/>
    <n v="0"/>
    <m/>
    <m/>
    <n v="0"/>
    <m/>
    <m/>
    <n v="0"/>
    <m/>
    <m/>
    <n v="0"/>
    <m/>
    <m/>
    <n v="0"/>
    <m/>
    <m/>
    <n v="0"/>
    <n v="7"/>
    <n v="54294.86"/>
    <n v="310968.38116400002"/>
    <n v="7"/>
    <n v="56067"/>
    <n v="321118.13579999999"/>
  </r>
  <r>
    <x v="10"/>
    <s v="Green Country Technology Center"/>
    <n v="428019"/>
    <x v="10"/>
    <m/>
    <m/>
    <n v="0"/>
    <m/>
    <m/>
    <n v="0"/>
    <m/>
    <m/>
    <n v="0"/>
    <m/>
    <m/>
    <n v="0"/>
    <m/>
    <m/>
    <n v="0"/>
    <m/>
    <m/>
    <n v="0"/>
    <m/>
    <m/>
    <n v="0"/>
    <m/>
    <m/>
    <n v="0"/>
    <m/>
    <m/>
    <n v="0"/>
    <m/>
    <m/>
    <n v="0"/>
    <n v="4"/>
    <n v="48589"/>
    <n v="194356"/>
    <n v="4"/>
    <n v="49589"/>
    <n v="198356"/>
    <m/>
    <m/>
    <n v="0"/>
    <m/>
    <m/>
    <n v="0"/>
    <m/>
    <m/>
    <n v="0"/>
    <m/>
    <m/>
    <n v="0"/>
    <m/>
    <m/>
    <n v="0"/>
    <m/>
    <m/>
    <n v="0"/>
    <m/>
    <m/>
    <n v="0"/>
    <m/>
    <m/>
    <n v="0"/>
    <m/>
    <m/>
    <n v="0"/>
    <m/>
    <m/>
    <n v="0"/>
    <n v="7"/>
    <n v="50549.43"/>
    <n v="289516.80538200005"/>
    <n v="6"/>
    <n v="55468"/>
    <n v="272303.50560000003"/>
  </r>
  <r>
    <x v="10"/>
    <s v="High Plains Technology Center"/>
    <n v="208053"/>
    <x v="10"/>
    <m/>
    <m/>
    <n v="0"/>
    <m/>
    <m/>
    <n v="0"/>
    <m/>
    <m/>
    <n v="0"/>
    <m/>
    <m/>
    <n v="0"/>
    <m/>
    <m/>
    <n v="0"/>
    <m/>
    <m/>
    <n v="0"/>
    <m/>
    <m/>
    <n v="0"/>
    <m/>
    <m/>
    <n v="0"/>
    <m/>
    <m/>
    <n v="0"/>
    <m/>
    <m/>
    <n v="0"/>
    <n v="9"/>
    <n v="47583.78"/>
    <n v="428254.02"/>
    <n v="9"/>
    <n v="49030"/>
    <n v="441270"/>
    <m/>
    <m/>
    <n v="0"/>
    <m/>
    <m/>
    <n v="0"/>
    <m/>
    <m/>
    <n v="0"/>
    <m/>
    <m/>
    <n v="0"/>
    <m/>
    <m/>
    <n v="0"/>
    <m/>
    <m/>
    <n v="0"/>
    <m/>
    <m/>
    <n v="0"/>
    <m/>
    <m/>
    <n v="0"/>
    <m/>
    <m/>
    <n v="0"/>
    <m/>
    <m/>
    <n v="0"/>
    <n v="5"/>
    <n v="45746.6"/>
    <n v="187149.3406"/>
    <n v="5"/>
    <n v="51897"/>
    <n v="212310.62700000001"/>
  </r>
  <r>
    <x v="10"/>
    <s v="Indian Capital Technology Center-Muskogee"/>
    <n v="418296"/>
    <x v="10"/>
    <m/>
    <m/>
    <n v="0"/>
    <m/>
    <m/>
    <n v="0"/>
    <m/>
    <m/>
    <n v="0"/>
    <m/>
    <m/>
    <n v="0"/>
    <m/>
    <m/>
    <n v="0"/>
    <m/>
    <m/>
    <n v="0"/>
    <m/>
    <m/>
    <n v="0"/>
    <m/>
    <m/>
    <n v="0"/>
    <m/>
    <m/>
    <n v="0"/>
    <m/>
    <m/>
    <n v="0"/>
    <n v="24"/>
    <n v="47726.38"/>
    <n v="1145433.1199999999"/>
    <n v="21"/>
    <n v="48089"/>
    <n v="1009869"/>
    <m/>
    <m/>
    <n v="0"/>
    <m/>
    <m/>
    <n v="0"/>
    <m/>
    <m/>
    <n v="0"/>
    <m/>
    <m/>
    <n v="0"/>
    <m/>
    <m/>
    <n v="0"/>
    <m/>
    <m/>
    <n v="0"/>
    <m/>
    <m/>
    <n v="0"/>
    <m/>
    <m/>
    <n v="0"/>
    <m/>
    <m/>
    <n v="0"/>
    <m/>
    <m/>
    <n v="0"/>
    <n v="6"/>
    <n v="56165.33"/>
    <n v="275726.83803599997"/>
    <n v="6"/>
    <n v="56165"/>
    <n v="275725.21799999999"/>
  </r>
  <r>
    <x v="10"/>
    <s v="Indian Capital Technology Center-Sallisaw"/>
    <n v="421540"/>
    <x v="10"/>
    <m/>
    <m/>
    <n v="0"/>
    <m/>
    <m/>
    <n v="0"/>
    <m/>
    <m/>
    <n v="0"/>
    <m/>
    <m/>
    <n v="0"/>
    <m/>
    <m/>
    <n v="0"/>
    <m/>
    <m/>
    <n v="0"/>
    <m/>
    <m/>
    <n v="0"/>
    <m/>
    <m/>
    <n v="0"/>
    <m/>
    <m/>
    <n v="0"/>
    <m/>
    <m/>
    <n v="0"/>
    <n v="9"/>
    <n v="49276.89"/>
    <n v="443492.01"/>
    <n v="9"/>
    <n v="49012"/>
    <n v="441108"/>
    <m/>
    <m/>
    <n v="0"/>
    <m/>
    <m/>
    <n v="0"/>
    <m/>
    <m/>
    <n v="0"/>
    <m/>
    <m/>
    <n v="0"/>
    <m/>
    <m/>
    <n v="0"/>
    <m/>
    <m/>
    <n v="0"/>
    <m/>
    <m/>
    <n v="0"/>
    <m/>
    <m/>
    <n v="0"/>
    <m/>
    <m/>
    <n v="0"/>
    <m/>
    <m/>
    <n v="0"/>
    <n v="2"/>
    <n v="57024"/>
    <n v="93314.073600000003"/>
    <n v="2"/>
    <n v="58251"/>
    <n v="95321.936400000006"/>
  </r>
  <r>
    <x v="10"/>
    <s v="Indian Capital Technology Center-Stilwell"/>
    <n v="421559"/>
    <x v="10"/>
    <m/>
    <m/>
    <n v="0"/>
    <m/>
    <m/>
    <n v="0"/>
    <m/>
    <m/>
    <n v="0"/>
    <m/>
    <m/>
    <n v="0"/>
    <m/>
    <m/>
    <n v="0"/>
    <m/>
    <m/>
    <n v="0"/>
    <m/>
    <m/>
    <n v="0"/>
    <m/>
    <m/>
    <n v="0"/>
    <m/>
    <m/>
    <n v="0"/>
    <m/>
    <m/>
    <n v="0"/>
    <n v="6"/>
    <n v="48670.17"/>
    <n v="292021.02"/>
    <n v="6"/>
    <n v="52811"/>
    <n v="316866"/>
    <m/>
    <m/>
    <n v="0"/>
    <m/>
    <m/>
    <n v="0"/>
    <m/>
    <m/>
    <n v="0"/>
    <m/>
    <m/>
    <n v="0"/>
    <m/>
    <m/>
    <n v="0"/>
    <m/>
    <m/>
    <n v="0"/>
    <m/>
    <m/>
    <n v="0"/>
    <m/>
    <m/>
    <n v="0"/>
    <m/>
    <m/>
    <n v="0"/>
    <m/>
    <m/>
    <n v="0"/>
    <n v="2"/>
    <n v="54467"/>
    <n v="89129.798800000004"/>
    <n v="2"/>
    <n v="54214"/>
    <n v="88715.789600000004"/>
  </r>
  <r>
    <x v="10"/>
    <s v="Indian Capital Technology Center-Tahlequah"/>
    <n v="208026"/>
    <x v="10"/>
    <m/>
    <m/>
    <n v="0"/>
    <m/>
    <m/>
    <n v="0"/>
    <m/>
    <m/>
    <n v="0"/>
    <m/>
    <m/>
    <n v="0"/>
    <m/>
    <m/>
    <n v="0"/>
    <m/>
    <m/>
    <n v="0"/>
    <m/>
    <m/>
    <n v="0"/>
    <m/>
    <m/>
    <n v="0"/>
    <m/>
    <m/>
    <n v="0"/>
    <m/>
    <m/>
    <n v="0"/>
    <n v="13"/>
    <n v="48564.31"/>
    <n v="631336.03"/>
    <n v="13"/>
    <n v="48941"/>
    <n v="636233"/>
    <m/>
    <m/>
    <n v="0"/>
    <m/>
    <m/>
    <n v="0"/>
    <m/>
    <m/>
    <n v="0"/>
    <m/>
    <m/>
    <n v="0"/>
    <m/>
    <m/>
    <n v="0"/>
    <m/>
    <m/>
    <n v="0"/>
    <m/>
    <m/>
    <n v="0"/>
    <m/>
    <m/>
    <n v="0"/>
    <m/>
    <m/>
    <n v="0"/>
    <m/>
    <m/>
    <n v="0"/>
    <n v="3"/>
    <n v="52860"/>
    <n v="129750.156"/>
    <n v="3"/>
    <n v="49411"/>
    <n v="121284.2406"/>
  </r>
  <r>
    <x v="10"/>
    <s v="Kiamichi Technology Center-Atoka"/>
    <n v="375692"/>
    <x v="10"/>
    <m/>
    <m/>
    <n v="0"/>
    <m/>
    <m/>
    <n v="0"/>
    <m/>
    <m/>
    <n v="0"/>
    <m/>
    <m/>
    <n v="0"/>
    <m/>
    <m/>
    <n v="0"/>
    <m/>
    <m/>
    <n v="0"/>
    <m/>
    <m/>
    <n v="0"/>
    <m/>
    <m/>
    <n v="0"/>
    <m/>
    <m/>
    <n v="0"/>
    <m/>
    <m/>
    <n v="0"/>
    <n v="10"/>
    <n v="47602.5"/>
    <n v="476025"/>
    <n v="7"/>
    <n v="50440"/>
    <n v="353080"/>
    <m/>
    <m/>
    <n v="0"/>
    <m/>
    <m/>
    <n v="0"/>
    <m/>
    <m/>
    <n v="0"/>
    <m/>
    <m/>
    <n v="0"/>
    <m/>
    <m/>
    <n v="0"/>
    <m/>
    <m/>
    <n v="0"/>
    <m/>
    <m/>
    <n v="0"/>
    <m/>
    <m/>
    <n v="0"/>
    <m/>
    <m/>
    <n v="0"/>
    <m/>
    <m/>
    <n v="0"/>
    <n v="2"/>
    <n v="46781.5"/>
    <n v="76553.246599999999"/>
    <n v="1"/>
    <n v="46465"/>
    <n v="38017.663"/>
  </r>
  <r>
    <x v="10"/>
    <s v="Kiamichi Technology Center-Durant"/>
    <n v="375708"/>
    <x v="10"/>
    <m/>
    <m/>
    <n v="0"/>
    <m/>
    <m/>
    <n v="0"/>
    <m/>
    <m/>
    <n v="0"/>
    <m/>
    <m/>
    <n v="0"/>
    <m/>
    <m/>
    <n v="0"/>
    <m/>
    <m/>
    <n v="0"/>
    <m/>
    <m/>
    <n v="0"/>
    <m/>
    <m/>
    <n v="0"/>
    <m/>
    <m/>
    <n v="0"/>
    <m/>
    <m/>
    <n v="0"/>
    <n v="9"/>
    <n v="50652.89"/>
    <n v="455876.01"/>
    <n v="7"/>
    <n v="51973"/>
    <n v="363811"/>
    <m/>
    <m/>
    <n v="0"/>
    <m/>
    <m/>
    <n v="0"/>
    <m/>
    <m/>
    <n v="0"/>
    <m/>
    <m/>
    <n v="0"/>
    <m/>
    <m/>
    <n v="0"/>
    <m/>
    <m/>
    <n v="0"/>
    <m/>
    <m/>
    <n v="0"/>
    <m/>
    <m/>
    <n v="0"/>
    <m/>
    <m/>
    <n v="0"/>
    <m/>
    <m/>
    <n v="0"/>
    <n v="3"/>
    <n v="51278"/>
    <n v="125866.97880000001"/>
    <n v="3"/>
    <n v="53738"/>
    <n v="131905.2948"/>
  </r>
  <r>
    <x v="10"/>
    <s v="Kiamichi Technology Center-Hugo"/>
    <n v="375717"/>
    <x v="10"/>
    <m/>
    <m/>
    <n v="0"/>
    <m/>
    <m/>
    <n v="0"/>
    <m/>
    <m/>
    <n v="0"/>
    <m/>
    <m/>
    <n v="0"/>
    <m/>
    <m/>
    <n v="0"/>
    <m/>
    <m/>
    <n v="0"/>
    <m/>
    <m/>
    <n v="0"/>
    <m/>
    <m/>
    <n v="0"/>
    <m/>
    <m/>
    <n v="0"/>
    <m/>
    <m/>
    <n v="0"/>
    <n v="9"/>
    <n v="53498.89"/>
    <n v="481490.01"/>
    <n v="9"/>
    <n v="53438"/>
    <n v="480942"/>
    <m/>
    <m/>
    <n v="0"/>
    <m/>
    <m/>
    <n v="0"/>
    <m/>
    <m/>
    <n v="0"/>
    <m/>
    <m/>
    <n v="0"/>
    <m/>
    <m/>
    <n v="0"/>
    <m/>
    <m/>
    <n v="0"/>
    <m/>
    <m/>
    <n v="0"/>
    <m/>
    <m/>
    <n v="0"/>
    <m/>
    <m/>
    <n v="0"/>
    <m/>
    <m/>
    <n v="0"/>
    <n v="2"/>
    <n v="54798"/>
    <n v="89671.44720000001"/>
    <n v="2"/>
    <n v="56838"/>
    <n v="93009.703200000004"/>
  </r>
  <r>
    <x v="10"/>
    <s v="Kiamichi Technology Center-Idabel"/>
    <n v="375735"/>
    <x v="10"/>
    <m/>
    <m/>
    <n v="0"/>
    <m/>
    <m/>
    <n v="0"/>
    <m/>
    <m/>
    <n v="0"/>
    <m/>
    <m/>
    <n v="0"/>
    <m/>
    <m/>
    <n v="0"/>
    <m/>
    <m/>
    <n v="0"/>
    <m/>
    <m/>
    <n v="0"/>
    <m/>
    <m/>
    <n v="0"/>
    <m/>
    <m/>
    <n v="0"/>
    <m/>
    <m/>
    <n v="0"/>
    <n v="11"/>
    <n v="49456.18"/>
    <n v="544017.98"/>
    <n v="9"/>
    <n v="49696"/>
    <n v="447264"/>
    <m/>
    <m/>
    <n v="0"/>
    <m/>
    <m/>
    <n v="0"/>
    <m/>
    <m/>
    <n v="0"/>
    <m/>
    <m/>
    <n v="0"/>
    <m/>
    <m/>
    <n v="0"/>
    <m/>
    <m/>
    <n v="0"/>
    <m/>
    <m/>
    <n v="0"/>
    <m/>
    <m/>
    <n v="0"/>
    <m/>
    <m/>
    <n v="0"/>
    <m/>
    <m/>
    <n v="0"/>
    <n v="3"/>
    <n v="56573.33"/>
    <n v="138864.89581799999"/>
    <n v="3"/>
    <n v="58553"/>
    <n v="143724.19380000001"/>
  </r>
  <r>
    <x v="10"/>
    <s v="Kiamichi Technology Center-McAlester"/>
    <n v="375726"/>
    <x v="10"/>
    <m/>
    <m/>
    <n v="0"/>
    <m/>
    <m/>
    <n v="0"/>
    <m/>
    <m/>
    <n v="0"/>
    <m/>
    <m/>
    <n v="0"/>
    <m/>
    <m/>
    <n v="0"/>
    <m/>
    <m/>
    <n v="0"/>
    <m/>
    <m/>
    <n v="0"/>
    <m/>
    <m/>
    <n v="0"/>
    <m/>
    <m/>
    <n v="0"/>
    <m/>
    <m/>
    <n v="0"/>
    <n v="19"/>
    <n v="48769.53"/>
    <n v="926621.07"/>
    <n v="16"/>
    <n v="49099"/>
    <n v="785584"/>
    <m/>
    <m/>
    <n v="0"/>
    <m/>
    <m/>
    <n v="0"/>
    <m/>
    <m/>
    <n v="0"/>
    <m/>
    <m/>
    <n v="0"/>
    <m/>
    <m/>
    <n v="0"/>
    <m/>
    <m/>
    <n v="0"/>
    <m/>
    <m/>
    <n v="0"/>
    <m/>
    <m/>
    <n v="0"/>
    <m/>
    <m/>
    <n v="0"/>
    <m/>
    <m/>
    <n v="0"/>
    <n v="4"/>
    <n v="58970"/>
    <n v="192997.016"/>
    <n v="4"/>
    <n v="60710"/>
    <n v="198691.68800000002"/>
  </r>
  <r>
    <x v="10"/>
    <s v="Kiamichi Technology Center-Poteau"/>
    <n v="375744"/>
    <x v="10"/>
    <m/>
    <m/>
    <n v="0"/>
    <m/>
    <m/>
    <n v="0"/>
    <m/>
    <m/>
    <n v="0"/>
    <m/>
    <m/>
    <n v="0"/>
    <m/>
    <m/>
    <n v="0"/>
    <m/>
    <m/>
    <n v="0"/>
    <m/>
    <m/>
    <n v="0"/>
    <m/>
    <m/>
    <n v="0"/>
    <m/>
    <m/>
    <n v="0"/>
    <m/>
    <m/>
    <n v="0"/>
    <n v="11"/>
    <n v="48885.73"/>
    <n v="537743.03"/>
    <n v="10"/>
    <n v="51225"/>
    <n v="512250"/>
    <m/>
    <m/>
    <n v="0"/>
    <m/>
    <m/>
    <n v="0"/>
    <m/>
    <m/>
    <n v="0"/>
    <m/>
    <m/>
    <n v="0"/>
    <m/>
    <m/>
    <n v="0"/>
    <m/>
    <m/>
    <n v="0"/>
    <m/>
    <m/>
    <n v="0"/>
    <m/>
    <m/>
    <n v="0"/>
    <m/>
    <m/>
    <n v="0"/>
    <m/>
    <m/>
    <n v="0"/>
    <n v="3"/>
    <n v="56583.33"/>
    <n v="138889.44181799999"/>
    <n v="3"/>
    <n v="53738"/>
    <n v="131905.2948"/>
  </r>
  <r>
    <x v="10"/>
    <s v="Kiamichi Technology Center-Spiro"/>
    <n v="375753"/>
    <x v="10"/>
    <m/>
    <m/>
    <n v="0"/>
    <m/>
    <m/>
    <n v="0"/>
    <m/>
    <m/>
    <n v="0"/>
    <m/>
    <m/>
    <n v="0"/>
    <m/>
    <m/>
    <n v="0"/>
    <m/>
    <m/>
    <n v="0"/>
    <m/>
    <m/>
    <n v="0"/>
    <m/>
    <m/>
    <n v="0"/>
    <m/>
    <m/>
    <n v="0"/>
    <m/>
    <m/>
    <n v="0"/>
    <n v="2"/>
    <n v="45750"/>
    <n v="91500"/>
    <n v="2"/>
    <n v="46925"/>
    <n v="93850"/>
    <m/>
    <m/>
    <n v="0"/>
    <m/>
    <m/>
    <n v="0"/>
    <m/>
    <m/>
    <n v="0"/>
    <m/>
    <m/>
    <n v="0"/>
    <m/>
    <m/>
    <n v="0"/>
    <m/>
    <m/>
    <n v="0"/>
    <m/>
    <m/>
    <n v="0"/>
    <m/>
    <m/>
    <n v="0"/>
    <m/>
    <m/>
    <n v="0"/>
    <m/>
    <m/>
    <n v="0"/>
    <m/>
    <m/>
    <n v="0"/>
    <m/>
    <m/>
    <n v="0"/>
  </r>
  <r>
    <x v="10"/>
    <s v="Kiamichi Technology Center-Stigler"/>
    <n v="405748"/>
    <x v="10"/>
    <m/>
    <m/>
    <n v="0"/>
    <m/>
    <m/>
    <n v="0"/>
    <m/>
    <m/>
    <n v="0"/>
    <m/>
    <m/>
    <n v="0"/>
    <m/>
    <m/>
    <n v="0"/>
    <m/>
    <m/>
    <n v="0"/>
    <m/>
    <m/>
    <n v="0"/>
    <m/>
    <m/>
    <n v="0"/>
    <m/>
    <m/>
    <n v="0"/>
    <m/>
    <m/>
    <n v="0"/>
    <n v="5"/>
    <n v="53269.599999999999"/>
    <n v="266348"/>
    <n v="5"/>
    <n v="54870"/>
    <n v="274350"/>
    <m/>
    <m/>
    <n v="0"/>
    <m/>
    <m/>
    <n v="0"/>
    <m/>
    <m/>
    <n v="0"/>
    <m/>
    <m/>
    <n v="0"/>
    <m/>
    <m/>
    <n v="0"/>
    <m/>
    <m/>
    <n v="0"/>
    <m/>
    <m/>
    <n v="0"/>
    <m/>
    <m/>
    <n v="0"/>
    <m/>
    <m/>
    <n v="0"/>
    <m/>
    <m/>
    <n v="0"/>
    <n v="1"/>
    <n v="60618"/>
    <n v="49597.647600000004"/>
    <n v="1"/>
    <n v="62058"/>
    <n v="50775.855600000003"/>
  </r>
  <r>
    <x v="10"/>
    <s v="Kiamichi Technology Center-Talihina"/>
    <n v="375762"/>
    <x v="10"/>
    <m/>
    <m/>
    <n v="0"/>
    <m/>
    <m/>
    <n v="0"/>
    <m/>
    <m/>
    <n v="0"/>
    <m/>
    <m/>
    <n v="0"/>
    <m/>
    <m/>
    <n v="0"/>
    <m/>
    <m/>
    <n v="0"/>
    <m/>
    <m/>
    <n v="0"/>
    <m/>
    <m/>
    <n v="0"/>
    <m/>
    <m/>
    <n v="0"/>
    <m/>
    <m/>
    <n v="0"/>
    <n v="5"/>
    <n v="48920"/>
    <n v="244600"/>
    <n v="5"/>
    <n v="50620"/>
    <n v="253100"/>
    <m/>
    <m/>
    <n v="0"/>
    <m/>
    <m/>
    <n v="0"/>
    <m/>
    <m/>
    <n v="0"/>
    <m/>
    <m/>
    <n v="0"/>
    <m/>
    <m/>
    <n v="0"/>
    <m/>
    <m/>
    <n v="0"/>
    <m/>
    <m/>
    <n v="0"/>
    <m/>
    <m/>
    <n v="0"/>
    <m/>
    <m/>
    <n v="0"/>
    <m/>
    <m/>
    <n v="0"/>
    <m/>
    <m/>
    <n v="0"/>
    <m/>
    <m/>
    <n v="0"/>
  </r>
  <r>
    <x v="10"/>
    <s v="Meridian Technology Center"/>
    <n v="365480"/>
    <x v="10"/>
    <m/>
    <m/>
    <n v="0"/>
    <m/>
    <m/>
    <n v="0"/>
    <m/>
    <m/>
    <n v="0"/>
    <m/>
    <m/>
    <n v="0"/>
    <m/>
    <m/>
    <n v="0"/>
    <m/>
    <m/>
    <n v="0"/>
    <m/>
    <m/>
    <n v="0"/>
    <m/>
    <m/>
    <n v="0"/>
    <m/>
    <m/>
    <n v="0"/>
    <m/>
    <m/>
    <n v="0"/>
    <n v="23"/>
    <n v="47828.52"/>
    <n v="1100055.96"/>
    <n v="21"/>
    <n v="49752"/>
    <n v="1044792"/>
    <m/>
    <m/>
    <n v="0"/>
    <m/>
    <m/>
    <n v="0"/>
    <m/>
    <m/>
    <n v="0"/>
    <m/>
    <m/>
    <n v="0"/>
    <m/>
    <m/>
    <n v="0"/>
    <m/>
    <m/>
    <n v="0"/>
    <m/>
    <m/>
    <n v="0"/>
    <m/>
    <m/>
    <n v="0"/>
    <m/>
    <m/>
    <n v="0"/>
    <m/>
    <m/>
    <n v="0"/>
    <n v="10"/>
    <n v="55594.8"/>
    <n v="454876.65360000002"/>
    <n v="10"/>
    <n v="57830"/>
    <n v="473165.06"/>
  </r>
  <r>
    <x v="10"/>
    <s v="Mid-America Technology Center"/>
    <n v="418320"/>
    <x v="10"/>
    <m/>
    <m/>
    <n v="0"/>
    <m/>
    <m/>
    <n v="0"/>
    <m/>
    <m/>
    <n v="0"/>
    <m/>
    <m/>
    <n v="0"/>
    <m/>
    <m/>
    <n v="0"/>
    <m/>
    <m/>
    <n v="0"/>
    <m/>
    <m/>
    <n v="0"/>
    <m/>
    <m/>
    <n v="0"/>
    <m/>
    <m/>
    <n v="0"/>
    <m/>
    <m/>
    <n v="0"/>
    <n v="24"/>
    <n v="48322.080000000002"/>
    <n v="1159729.92"/>
    <n v="21"/>
    <n v="49079"/>
    <n v="1030659"/>
    <m/>
    <m/>
    <n v="0"/>
    <m/>
    <m/>
    <n v="0"/>
    <m/>
    <m/>
    <n v="0"/>
    <m/>
    <m/>
    <n v="0"/>
    <m/>
    <m/>
    <n v="0"/>
    <m/>
    <m/>
    <n v="0"/>
    <m/>
    <m/>
    <n v="0"/>
    <m/>
    <m/>
    <n v="0"/>
    <m/>
    <m/>
    <n v="0"/>
    <m/>
    <m/>
    <n v="0"/>
    <n v="7"/>
    <n v="60624.59"/>
    <n v="347221.27676600002"/>
    <n v="7"/>
    <n v="63050"/>
    <n v="361112.57"/>
  </r>
  <r>
    <x v="10"/>
    <s v="Mid-Del Technology Center"/>
    <n v="431017"/>
    <x v="10"/>
    <m/>
    <m/>
    <n v="0"/>
    <m/>
    <m/>
    <n v="0"/>
    <m/>
    <m/>
    <n v="0"/>
    <m/>
    <m/>
    <n v="0"/>
    <m/>
    <m/>
    <n v="0"/>
    <m/>
    <m/>
    <n v="0"/>
    <m/>
    <m/>
    <n v="0"/>
    <m/>
    <m/>
    <n v="0"/>
    <m/>
    <m/>
    <n v="0"/>
    <m/>
    <m/>
    <n v="0"/>
    <n v="20"/>
    <n v="45356.15"/>
    <n v="907123"/>
    <n v="21"/>
    <n v="46126"/>
    <n v="968646"/>
    <m/>
    <m/>
    <n v="0"/>
    <m/>
    <m/>
    <n v="0"/>
    <m/>
    <m/>
    <n v="0"/>
    <m/>
    <m/>
    <n v="0"/>
    <m/>
    <m/>
    <n v="0"/>
    <m/>
    <m/>
    <n v="0"/>
    <m/>
    <m/>
    <n v="0"/>
    <m/>
    <m/>
    <n v="0"/>
    <m/>
    <m/>
    <n v="0"/>
    <m/>
    <m/>
    <n v="0"/>
    <n v="6"/>
    <n v="48861.5"/>
    <n v="239870.87580000001"/>
    <n v="6"/>
    <n v="54057"/>
    <n v="265376.62440000003"/>
  </r>
  <r>
    <x v="10"/>
    <s v="Northeast Technology Center-Afton"/>
    <n v="420459"/>
    <x v="10"/>
    <m/>
    <m/>
    <n v="0"/>
    <m/>
    <m/>
    <n v="0"/>
    <m/>
    <m/>
    <n v="0"/>
    <m/>
    <m/>
    <n v="0"/>
    <m/>
    <m/>
    <n v="0"/>
    <m/>
    <m/>
    <n v="0"/>
    <m/>
    <m/>
    <n v="0"/>
    <m/>
    <m/>
    <n v="0"/>
    <m/>
    <m/>
    <n v="0"/>
    <m/>
    <m/>
    <n v="0"/>
    <n v="16"/>
    <n v="52970.38"/>
    <n v="847526.08"/>
    <n v="16"/>
    <n v="52573"/>
    <n v="841168"/>
    <m/>
    <m/>
    <n v="0"/>
    <m/>
    <m/>
    <n v="0"/>
    <m/>
    <m/>
    <n v="0"/>
    <m/>
    <m/>
    <n v="0"/>
    <m/>
    <m/>
    <n v="0"/>
    <m/>
    <m/>
    <n v="0"/>
    <m/>
    <m/>
    <n v="0"/>
    <m/>
    <m/>
    <n v="0"/>
    <m/>
    <m/>
    <n v="0"/>
    <m/>
    <m/>
    <n v="0"/>
    <n v="5"/>
    <n v="58291.6"/>
    <n v="238470.9356"/>
    <n v="5"/>
    <n v="61709"/>
    <n v="252451.519"/>
  </r>
  <r>
    <x v="10"/>
    <s v="Northeast Technology Center-Kansas"/>
    <n v="432074"/>
    <x v="10"/>
    <m/>
    <m/>
    <n v="0"/>
    <m/>
    <m/>
    <n v="0"/>
    <m/>
    <m/>
    <n v="0"/>
    <m/>
    <m/>
    <n v="0"/>
    <m/>
    <m/>
    <n v="0"/>
    <m/>
    <m/>
    <n v="0"/>
    <m/>
    <m/>
    <n v="0"/>
    <m/>
    <m/>
    <n v="0"/>
    <m/>
    <m/>
    <n v="0"/>
    <m/>
    <m/>
    <n v="0"/>
    <n v="5"/>
    <n v="51622.400000000001"/>
    <n v="258112"/>
    <n v="5"/>
    <n v="52169"/>
    <n v="260845"/>
    <m/>
    <m/>
    <n v="0"/>
    <m/>
    <m/>
    <n v="0"/>
    <m/>
    <m/>
    <n v="0"/>
    <m/>
    <m/>
    <n v="0"/>
    <m/>
    <m/>
    <n v="0"/>
    <m/>
    <m/>
    <n v="0"/>
    <m/>
    <m/>
    <n v="0"/>
    <m/>
    <m/>
    <n v="0"/>
    <m/>
    <m/>
    <n v="0"/>
    <m/>
    <m/>
    <n v="0"/>
    <n v="3"/>
    <n v="62008.33"/>
    <n v="152205.64681800001"/>
    <n v="3"/>
    <n v="63032"/>
    <n v="154718.34720000002"/>
  </r>
  <r>
    <x v="10"/>
    <s v="Northeast Technology Center-Pryor"/>
    <n v="418339"/>
    <x v="10"/>
    <m/>
    <m/>
    <n v="0"/>
    <m/>
    <m/>
    <n v="0"/>
    <m/>
    <m/>
    <n v="0"/>
    <m/>
    <m/>
    <n v="0"/>
    <m/>
    <m/>
    <n v="0"/>
    <m/>
    <m/>
    <n v="0"/>
    <m/>
    <m/>
    <n v="0"/>
    <m/>
    <m/>
    <n v="0"/>
    <m/>
    <m/>
    <n v="0"/>
    <m/>
    <m/>
    <n v="0"/>
    <n v="15"/>
    <n v="52224"/>
    <n v="783360"/>
    <n v="15"/>
    <n v="53066"/>
    <n v="795990"/>
    <m/>
    <m/>
    <n v="0"/>
    <m/>
    <m/>
    <n v="0"/>
    <m/>
    <m/>
    <n v="0"/>
    <m/>
    <m/>
    <n v="0"/>
    <m/>
    <m/>
    <n v="0"/>
    <m/>
    <m/>
    <n v="0"/>
    <m/>
    <m/>
    <n v="0"/>
    <m/>
    <m/>
    <n v="0"/>
    <m/>
    <m/>
    <n v="0"/>
    <m/>
    <m/>
    <n v="0"/>
    <n v="4"/>
    <n v="65319.5"/>
    <n v="213777.65960000001"/>
    <n v="4"/>
    <n v="55372"/>
    <n v="181221.4816"/>
  </r>
  <r>
    <x v="10"/>
    <s v="Northwest Technology Center-Alva"/>
    <n v="366623"/>
    <x v="10"/>
    <m/>
    <m/>
    <n v="0"/>
    <m/>
    <m/>
    <n v="0"/>
    <m/>
    <m/>
    <n v="0"/>
    <m/>
    <m/>
    <n v="0"/>
    <m/>
    <m/>
    <n v="0"/>
    <m/>
    <m/>
    <n v="0"/>
    <m/>
    <m/>
    <n v="0"/>
    <m/>
    <m/>
    <n v="0"/>
    <m/>
    <m/>
    <n v="0"/>
    <m/>
    <m/>
    <n v="0"/>
    <n v="7"/>
    <n v="48871"/>
    <n v="342097"/>
    <n v="6"/>
    <n v="50577"/>
    <n v="303462"/>
    <m/>
    <m/>
    <n v="0"/>
    <m/>
    <m/>
    <n v="0"/>
    <m/>
    <m/>
    <n v="0"/>
    <m/>
    <m/>
    <n v="0"/>
    <m/>
    <m/>
    <n v="0"/>
    <m/>
    <m/>
    <n v="0"/>
    <m/>
    <m/>
    <n v="0"/>
    <m/>
    <m/>
    <n v="0"/>
    <m/>
    <m/>
    <n v="0"/>
    <m/>
    <m/>
    <n v="0"/>
    <n v="1"/>
    <n v="58380"/>
    <n v="47766.516000000003"/>
    <n v="1"/>
    <n v="60312"/>
    <n v="49347.278400000003"/>
  </r>
  <r>
    <x v="10"/>
    <s v="Northwest Technology Center-Fairview"/>
    <n v="407601"/>
    <x v="10"/>
    <m/>
    <m/>
    <n v="0"/>
    <m/>
    <m/>
    <n v="0"/>
    <m/>
    <m/>
    <n v="0"/>
    <m/>
    <m/>
    <n v="0"/>
    <m/>
    <m/>
    <n v="0"/>
    <m/>
    <m/>
    <n v="0"/>
    <m/>
    <m/>
    <n v="0"/>
    <m/>
    <m/>
    <n v="0"/>
    <m/>
    <m/>
    <n v="0"/>
    <m/>
    <m/>
    <n v="0"/>
    <n v="6"/>
    <n v="48816.67"/>
    <n v="292900.02"/>
    <n v="5"/>
    <n v="50200"/>
    <n v="251000"/>
    <m/>
    <m/>
    <n v="0"/>
    <m/>
    <m/>
    <n v="0"/>
    <m/>
    <m/>
    <n v="0"/>
    <m/>
    <m/>
    <n v="0"/>
    <m/>
    <m/>
    <n v="0"/>
    <m/>
    <m/>
    <n v="0"/>
    <m/>
    <m/>
    <n v="0"/>
    <m/>
    <m/>
    <n v="0"/>
    <m/>
    <m/>
    <n v="0"/>
    <m/>
    <m/>
    <n v="0"/>
    <m/>
    <m/>
    <n v="0"/>
    <m/>
    <m/>
    <n v="0"/>
  </r>
  <r>
    <x v="10"/>
    <s v="Pioneer Technology Center"/>
    <n v="364627"/>
    <x v="10"/>
    <m/>
    <m/>
    <n v="0"/>
    <m/>
    <m/>
    <n v="0"/>
    <m/>
    <m/>
    <n v="0"/>
    <m/>
    <m/>
    <n v="0"/>
    <m/>
    <m/>
    <n v="0"/>
    <m/>
    <m/>
    <n v="0"/>
    <m/>
    <m/>
    <n v="0"/>
    <m/>
    <m/>
    <n v="0"/>
    <m/>
    <m/>
    <n v="0"/>
    <m/>
    <m/>
    <n v="0"/>
    <n v="14"/>
    <n v="46622.79"/>
    <n v="652719.06000000006"/>
    <n v="16"/>
    <n v="50059"/>
    <n v="800944"/>
    <m/>
    <m/>
    <n v="0"/>
    <m/>
    <m/>
    <n v="0"/>
    <m/>
    <m/>
    <n v="0"/>
    <m/>
    <m/>
    <n v="0"/>
    <m/>
    <m/>
    <n v="0"/>
    <m/>
    <m/>
    <n v="0"/>
    <m/>
    <m/>
    <n v="0"/>
    <m/>
    <m/>
    <n v="0"/>
    <m/>
    <m/>
    <n v="0"/>
    <m/>
    <m/>
    <n v="0"/>
    <n v="10"/>
    <n v="51702.9"/>
    <n v="423033.12780000002"/>
    <n v="8"/>
    <n v="53519"/>
    <n v="350313.96640000003"/>
  </r>
  <r>
    <x v="10"/>
    <s v="Pontotoc Technology Center"/>
    <n v="206905"/>
    <x v="10"/>
    <m/>
    <m/>
    <n v="0"/>
    <m/>
    <m/>
    <n v="0"/>
    <m/>
    <m/>
    <n v="0"/>
    <m/>
    <m/>
    <n v="0"/>
    <m/>
    <m/>
    <n v="0"/>
    <m/>
    <m/>
    <n v="0"/>
    <m/>
    <m/>
    <n v="0"/>
    <m/>
    <m/>
    <n v="0"/>
    <m/>
    <m/>
    <n v="0"/>
    <m/>
    <m/>
    <n v="0"/>
    <n v="5"/>
    <n v="41583.4"/>
    <n v="207917"/>
    <n v="6"/>
    <n v="44996"/>
    <n v="269976"/>
    <m/>
    <m/>
    <n v="0"/>
    <m/>
    <m/>
    <n v="0"/>
    <m/>
    <m/>
    <n v="0"/>
    <m/>
    <m/>
    <n v="0"/>
    <m/>
    <m/>
    <n v="0"/>
    <m/>
    <m/>
    <n v="0"/>
    <m/>
    <m/>
    <n v="0"/>
    <m/>
    <m/>
    <n v="0"/>
    <m/>
    <m/>
    <n v="0"/>
    <m/>
    <m/>
    <n v="0"/>
    <n v="8"/>
    <n v="44518.879999999997"/>
    <n v="291402.78092799999"/>
    <n v="7"/>
    <n v="51530"/>
    <n v="295132.92200000002"/>
  </r>
  <r>
    <x v="10"/>
    <s v="Red River Technology Center"/>
    <n v="250993"/>
    <x v="10"/>
    <m/>
    <m/>
    <n v="0"/>
    <m/>
    <m/>
    <n v="0"/>
    <m/>
    <m/>
    <n v="0"/>
    <m/>
    <m/>
    <n v="0"/>
    <m/>
    <m/>
    <n v="0"/>
    <m/>
    <m/>
    <n v="0"/>
    <m/>
    <m/>
    <n v="0"/>
    <m/>
    <m/>
    <n v="0"/>
    <m/>
    <m/>
    <n v="0"/>
    <m/>
    <m/>
    <n v="0"/>
    <n v="16"/>
    <n v="46243"/>
    <n v="739888"/>
    <n v="14"/>
    <n v="47595"/>
    <n v="666330"/>
    <m/>
    <m/>
    <n v="0"/>
    <m/>
    <m/>
    <n v="0"/>
    <m/>
    <m/>
    <n v="0"/>
    <m/>
    <m/>
    <n v="0"/>
    <m/>
    <m/>
    <n v="0"/>
    <m/>
    <m/>
    <n v="0"/>
    <m/>
    <m/>
    <n v="0"/>
    <m/>
    <m/>
    <n v="0"/>
    <m/>
    <m/>
    <n v="0"/>
    <m/>
    <m/>
    <n v="0"/>
    <n v="7"/>
    <n v="48649.29"/>
    <n v="278633.94354600005"/>
    <n v="6"/>
    <n v="49135"/>
    <n v="241213.54200000002"/>
  </r>
  <r>
    <x v="10"/>
    <s v="Southern Oklahoma Technology Center"/>
    <n v="365198"/>
    <x v="10"/>
    <m/>
    <m/>
    <n v="0"/>
    <m/>
    <m/>
    <n v="0"/>
    <m/>
    <m/>
    <n v="0"/>
    <m/>
    <m/>
    <n v="0"/>
    <m/>
    <m/>
    <n v="0"/>
    <m/>
    <m/>
    <n v="0"/>
    <m/>
    <m/>
    <n v="0"/>
    <m/>
    <m/>
    <n v="0"/>
    <m/>
    <m/>
    <n v="0"/>
    <m/>
    <m/>
    <n v="0"/>
    <m/>
    <m/>
    <n v="0"/>
    <m/>
    <m/>
    <n v="0"/>
    <m/>
    <m/>
    <n v="0"/>
    <m/>
    <m/>
    <n v="0"/>
    <m/>
    <m/>
    <n v="0"/>
    <m/>
    <m/>
    <n v="0"/>
    <m/>
    <m/>
    <n v="0"/>
    <m/>
    <m/>
    <n v="0"/>
    <m/>
    <m/>
    <n v="0"/>
    <m/>
    <m/>
    <n v="0"/>
    <m/>
    <m/>
    <n v="0"/>
    <m/>
    <m/>
    <n v="0"/>
    <n v="24"/>
    <n v="46652.25"/>
    <n v="916100.90280000004"/>
    <n v="24"/>
    <n v="48645"/>
    <n v="955232.13600000006"/>
  </r>
  <r>
    <x v="10"/>
    <s v="Southwest Technology Center"/>
    <n v="368364"/>
    <x v="10"/>
    <m/>
    <m/>
    <n v="0"/>
    <m/>
    <m/>
    <n v="0"/>
    <m/>
    <m/>
    <n v="0"/>
    <m/>
    <m/>
    <n v="0"/>
    <m/>
    <m/>
    <n v="0"/>
    <m/>
    <m/>
    <n v="0"/>
    <m/>
    <m/>
    <n v="0"/>
    <m/>
    <m/>
    <n v="0"/>
    <m/>
    <m/>
    <n v="0"/>
    <m/>
    <m/>
    <n v="0"/>
    <n v="8"/>
    <n v="38324"/>
    <n v="306592"/>
    <n v="8"/>
    <n v="41014"/>
    <n v="328112"/>
    <m/>
    <m/>
    <n v="0"/>
    <m/>
    <m/>
    <n v="0"/>
    <m/>
    <m/>
    <n v="0"/>
    <m/>
    <m/>
    <n v="0"/>
    <m/>
    <m/>
    <n v="0"/>
    <m/>
    <m/>
    <n v="0"/>
    <m/>
    <m/>
    <n v="0"/>
    <m/>
    <m/>
    <n v="0"/>
    <m/>
    <m/>
    <n v="0"/>
    <m/>
    <m/>
    <n v="0"/>
    <n v="7"/>
    <n v="46819.14"/>
    <n v="268151.94243599998"/>
    <n v="7"/>
    <n v="48841"/>
    <n v="279731.94339999999"/>
  </r>
  <r>
    <x v="10"/>
    <s v="Tri County Technology Center"/>
    <n v="418287"/>
    <x v="10"/>
    <m/>
    <m/>
    <n v="0"/>
    <m/>
    <m/>
    <n v="0"/>
    <m/>
    <m/>
    <n v="0"/>
    <m/>
    <m/>
    <n v="0"/>
    <m/>
    <m/>
    <n v="0"/>
    <m/>
    <m/>
    <n v="0"/>
    <m/>
    <m/>
    <n v="0"/>
    <m/>
    <m/>
    <n v="0"/>
    <m/>
    <m/>
    <n v="0"/>
    <m/>
    <m/>
    <n v="0"/>
    <n v="13"/>
    <n v="46412.33"/>
    <n v="603360.29"/>
    <n v="13"/>
    <n v="47075"/>
    <n v="611975"/>
    <m/>
    <m/>
    <n v="0"/>
    <m/>
    <m/>
    <n v="0"/>
    <m/>
    <m/>
    <n v="0"/>
    <m/>
    <m/>
    <n v="0"/>
    <m/>
    <m/>
    <n v="0"/>
    <m/>
    <m/>
    <n v="0"/>
    <m/>
    <m/>
    <n v="0"/>
    <m/>
    <m/>
    <n v="0"/>
    <m/>
    <m/>
    <n v="0"/>
    <m/>
    <m/>
    <n v="0"/>
    <n v="16"/>
    <n v="52451.42"/>
    <n v="686652.02950399998"/>
    <n v="16"/>
    <n v="54098"/>
    <n v="708207.73759999999"/>
  </r>
  <r>
    <x v="10"/>
    <s v="Tulsa County Area Voc Tech School Dist 18-Peoria  "/>
    <n v="207607"/>
    <x v="10"/>
    <m/>
    <m/>
    <n v="0"/>
    <m/>
    <m/>
    <n v="0"/>
    <m/>
    <m/>
    <n v="0"/>
    <m/>
    <m/>
    <n v="0"/>
    <m/>
    <m/>
    <n v="0"/>
    <m/>
    <m/>
    <n v="0"/>
    <m/>
    <m/>
    <n v="0"/>
    <m/>
    <m/>
    <n v="0"/>
    <m/>
    <m/>
    <n v="0"/>
    <m/>
    <m/>
    <n v="0"/>
    <m/>
    <m/>
    <n v="0"/>
    <m/>
    <m/>
    <n v="0"/>
    <m/>
    <m/>
    <n v="0"/>
    <m/>
    <m/>
    <n v="0"/>
    <m/>
    <m/>
    <n v="0"/>
    <m/>
    <m/>
    <n v="0"/>
    <m/>
    <m/>
    <n v="0"/>
    <m/>
    <m/>
    <n v="0"/>
    <m/>
    <m/>
    <n v="0"/>
    <m/>
    <m/>
    <n v="0"/>
    <m/>
    <m/>
    <n v="0"/>
    <m/>
    <m/>
    <n v="0"/>
    <n v="28"/>
    <n v="55790.54"/>
    <n v="1278138.9551840001"/>
    <n v="24"/>
    <n v="55383"/>
    <n v="1087544.8944000001"/>
  </r>
  <r>
    <x v="10"/>
    <s v="Tulsa Technology Center-Broken Arrow Campus"/>
    <n v="261393"/>
    <x v="10"/>
    <m/>
    <m/>
    <n v="0"/>
    <m/>
    <m/>
    <n v="0"/>
    <m/>
    <m/>
    <n v="0"/>
    <m/>
    <m/>
    <n v="0"/>
    <m/>
    <m/>
    <n v="0"/>
    <m/>
    <m/>
    <n v="0"/>
    <m/>
    <m/>
    <n v="0"/>
    <m/>
    <m/>
    <n v="0"/>
    <m/>
    <m/>
    <n v="0"/>
    <m/>
    <m/>
    <n v="0"/>
    <m/>
    <m/>
    <n v="0"/>
    <m/>
    <m/>
    <n v="0"/>
    <m/>
    <m/>
    <n v="0"/>
    <m/>
    <m/>
    <n v="0"/>
    <m/>
    <m/>
    <n v="0"/>
    <m/>
    <m/>
    <n v="0"/>
    <m/>
    <m/>
    <n v="0"/>
    <m/>
    <m/>
    <n v="0"/>
    <m/>
    <m/>
    <n v="0"/>
    <m/>
    <m/>
    <n v="0"/>
    <m/>
    <m/>
    <n v="0"/>
    <m/>
    <m/>
    <n v="0"/>
    <n v="36"/>
    <n v="54530.94"/>
    <n v="1606219.7438880003"/>
    <n v="36"/>
    <n v="54709"/>
    <n v="1611464.5368000001"/>
  </r>
  <r>
    <x v="10"/>
    <s v="Tulsa Technology Center-Lemley Campus             "/>
    <n v="261375"/>
    <x v="10"/>
    <m/>
    <m/>
    <n v="0"/>
    <m/>
    <m/>
    <n v="0"/>
    <m/>
    <m/>
    <n v="0"/>
    <m/>
    <m/>
    <n v="0"/>
    <m/>
    <m/>
    <n v="0"/>
    <m/>
    <m/>
    <n v="0"/>
    <m/>
    <m/>
    <n v="0"/>
    <m/>
    <m/>
    <n v="0"/>
    <m/>
    <m/>
    <n v="0"/>
    <m/>
    <m/>
    <n v="0"/>
    <m/>
    <m/>
    <n v="0"/>
    <n v="1"/>
    <n v="52235"/>
    <n v="52235"/>
    <m/>
    <m/>
    <n v="0"/>
    <m/>
    <m/>
    <n v="0"/>
    <m/>
    <m/>
    <n v="0"/>
    <m/>
    <m/>
    <n v="0"/>
    <m/>
    <m/>
    <n v="0"/>
    <m/>
    <m/>
    <n v="0"/>
    <m/>
    <m/>
    <n v="0"/>
    <m/>
    <m/>
    <n v="0"/>
    <m/>
    <m/>
    <n v="0"/>
    <m/>
    <m/>
    <n v="0"/>
    <n v="47"/>
    <n v="54233.4"/>
    <n v="2085567.0903600003"/>
    <n v="47"/>
    <n v="54559"/>
    <n v="2098088.1686"/>
  </r>
  <r>
    <x v="10"/>
    <s v="Tulsa Technology Center-Riverside Campus"/>
    <n v="261384"/>
    <x v="10"/>
    <m/>
    <m/>
    <n v="0"/>
    <m/>
    <m/>
    <n v="0"/>
    <m/>
    <m/>
    <n v="0"/>
    <m/>
    <m/>
    <n v="0"/>
    <m/>
    <m/>
    <n v="0"/>
    <m/>
    <m/>
    <n v="0"/>
    <m/>
    <m/>
    <n v="0"/>
    <m/>
    <m/>
    <n v="0"/>
    <m/>
    <m/>
    <n v="0"/>
    <m/>
    <m/>
    <n v="0"/>
    <m/>
    <m/>
    <n v="0"/>
    <m/>
    <m/>
    <n v="0"/>
    <m/>
    <m/>
    <n v="0"/>
    <m/>
    <m/>
    <n v="0"/>
    <m/>
    <m/>
    <n v="0"/>
    <m/>
    <m/>
    <n v="0"/>
    <m/>
    <m/>
    <n v="0"/>
    <m/>
    <m/>
    <n v="0"/>
    <m/>
    <m/>
    <n v="0"/>
    <m/>
    <m/>
    <n v="0"/>
    <m/>
    <m/>
    <n v="0"/>
    <m/>
    <m/>
    <n v="0"/>
    <n v="27"/>
    <n v="56179.89"/>
    <n v="1241092.4219460001"/>
    <n v="27"/>
    <n v="56330"/>
    <n v="1244408.5620000002"/>
  </r>
  <r>
    <x v="10"/>
    <s v="Wes Watkins Technology Center"/>
    <n v="418357"/>
    <x v="10"/>
    <m/>
    <m/>
    <n v="0"/>
    <m/>
    <m/>
    <n v="0"/>
    <m/>
    <m/>
    <n v="0"/>
    <m/>
    <m/>
    <n v="0"/>
    <m/>
    <m/>
    <n v="0"/>
    <m/>
    <m/>
    <n v="0"/>
    <m/>
    <m/>
    <n v="0"/>
    <m/>
    <m/>
    <n v="0"/>
    <m/>
    <m/>
    <n v="0"/>
    <m/>
    <m/>
    <n v="0"/>
    <n v="7"/>
    <n v="39840"/>
    <n v="278880"/>
    <n v="8"/>
    <n v="41315"/>
    <n v="330520"/>
    <m/>
    <m/>
    <n v="0"/>
    <m/>
    <m/>
    <n v="0"/>
    <m/>
    <m/>
    <n v="0"/>
    <m/>
    <m/>
    <n v="0"/>
    <m/>
    <m/>
    <n v="0"/>
    <m/>
    <m/>
    <n v="0"/>
    <m/>
    <m/>
    <n v="0"/>
    <m/>
    <m/>
    <n v="0"/>
    <m/>
    <m/>
    <n v="0"/>
    <m/>
    <m/>
    <n v="0"/>
    <n v="1"/>
    <n v="45677"/>
    <n v="37372.921399999999"/>
    <n v="5"/>
    <n v="50762"/>
    <n v="207667.342"/>
  </r>
  <r>
    <x v="10"/>
    <s v="Western Technology Center"/>
    <n v="418302"/>
    <x v="10"/>
    <m/>
    <m/>
    <n v="0"/>
    <m/>
    <m/>
    <n v="0"/>
    <m/>
    <m/>
    <n v="0"/>
    <m/>
    <m/>
    <n v="0"/>
    <m/>
    <m/>
    <n v="0"/>
    <m/>
    <m/>
    <n v="0"/>
    <m/>
    <m/>
    <n v="0"/>
    <m/>
    <m/>
    <n v="0"/>
    <m/>
    <m/>
    <n v="0"/>
    <m/>
    <m/>
    <n v="0"/>
    <n v="24"/>
    <n v="42812.67"/>
    <n v="1027504.08"/>
    <n v="21"/>
    <n v="44990"/>
    <n v="944790"/>
    <m/>
    <m/>
    <n v="0"/>
    <m/>
    <m/>
    <n v="0"/>
    <m/>
    <m/>
    <n v="0"/>
    <m/>
    <m/>
    <n v="0"/>
    <m/>
    <m/>
    <n v="0"/>
    <m/>
    <m/>
    <n v="0"/>
    <m/>
    <m/>
    <n v="0"/>
    <m/>
    <m/>
    <n v="0"/>
    <m/>
    <m/>
    <n v="0"/>
    <m/>
    <m/>
    <n v="0"/>
    <n v="5"/>
    <n v="47978.6"/>
    <n v="196280.45260000002"/>
    <n v="5"/>
    <n v="50979"/>
    <n v="208555.08900000001"/>
  </r>
  <r>
    <x v="11"/>
    <s v="Clemson University"/>
    <n v="217882"/>
    <x v="0"/>
    <n v="310"/>
    <n v="106858"/>
    <n v="33125980"/>
    <n v="301"/>
    <n v="108787"/>
    <n v="32744887"/>
    <n v="224"/>
    <n v="75778"/>
    <n v="16974272"/>
    <n v="227"/>
    <n v="76039"/>
    <n v="17260853"/>
    <n v="279"/>
    <n v="67767"/>
    <n v="18906993"/>
    <n v="285"/>
    <n v="68091"/>
    <n v="19405935"/>
    <n v="3"/>
    <n v="49209"/>
    <n v="147627"/>
    <n v="3"/>
    <n v="52632"/>
    <n v="157896"/>
    <n v="177"/>
    <n v="42517"/>
    <n v="7525509"/>
    <n v="181"/>
    <n v="43496"/>
    <n v="7872776"/>
    <m/>
    <m/>
    <n v="0"/>
    <m/>
    <m/>
    <n v="0"/>
    <n v="47"/>
    <n v="102963"/>
    <n v="3959483.3502000002"/>
    <n v="48"/>
    <n v="107778"/>
    <n v="4232830.0608000001"/>
    <n v="18"/>
    <n v="83993"/>
    <n v="1237015.3068000001"/>
    <n v="22"/>
    <n v="87046"/>
    <n v="1566862.8184"/>
    <n v="11"/>
    <n v="70395"/>
    <n v="633569.07900000003"/>
    <n v="12"/>
    <n v="71898"/>
    <n v="705923.32319999998"/>
    <n v="0"/>
    <m/>
    <n v="0"/>
    <m/>
    <m/>
    <n v="0"/>
    <n v="17"/>
    <n v="51728"/>
    <n v="719505.44319999998"/>
    <n v="15"/>
    <n v="53028"/>
    <n v="650812.64400000009"/>
    <m/>
    <m/>
    <n v="0"/>
    <m/>
    <m/>
    <n v="0"/>
  </r>
  <r>
    <x v="11"/>
    <s v="University of South Carolina-Columbia"/>
    <n v="218663"/>
    <x v="0"/>
    <n v="286"/>
    <n v="106235"/>
    <n v="30383210"/>
    <n v="254"/>
    <n v="109548"/>
    <n v="27825192"/>
    <n v="289"/>
    <n v="75255"/>
    <n v="21748695"/>
    <n v="297"/>
    <n v="77711"/>
    <n v="23080167"/>
    <n v="358"/>
    <n v="67643"/>
    <n v="24216194"/>
    <n v="363"/>
    <n v="68955"/>
    <n v="25030665"/>
    <n v="116"/>
    <n v="42336"/>
    <n v="4910976"/>
    <n v="124"/>
    <n v="42444"/>
    <n v="5263056"/>
    <n v="20"/>
    <n v="57282"/>
    <n v="1145640"/>
    <n v="20"/>
    <n v="57201"/>
    <n v="1144020"/>
    <m/>
    <m/>
    <n v="0"/>
    <m/>
    <m/>
    <n v="0"/>
    <n v="54"/>
    <n v="137396"/>
    <n v="6070539.9888000004"/>
    <n v="60"/>
    <n v="137173"/>
    <n v="6734096.9160000002"/>
    <n v="19"/>
    <n v="97679"/>
    <n v="1518498.1982"/>
    <n v="15"/>
    <n v="100554"/>
    <n v="1234099.2420000001"/>
    <n v="29"/>
    <n v="75146"/>
    <n v="1783049.2588000002"/>
    <n v="26"/>
    <n v="81750"/>
    <n v="1739084.1"/>
    <n v="26"/>
    <n v="60467"/>
    <n v="1286326.5844000001"/>
    <n v="29"/>
    <n v="57783"/>
    <n v="1371063.4674"/>
    <n v="20"/>
    <n v="74480"/>
    <n v="1218790.72"/>
    <n v="13"/>
    <n v="77631"/>
    <n v="825729.8946"/>
    <m/>
    <m/>
    <n v="0"/>
    <m/>
    <m/>
    <n v="0"/>
  </r>
  <r>
    <x v="11"/>
    <s v="College of Charleston"/>
    <n v="217819"/>
    <x v="2"/>
    <n v="121"/>
    <n v="77112"/>
    <n v="9330552"/>
    <n v="124"/>
    <n v="80548"/>
    <n v="9987952"/>
    <n v="153"/>
    <n v="63358"/>
    <n v="9693774"/>
    <n v="150"/>
    <n v="65407"/>
    <n v="9811050"/>
    <n v="167"/>
    <n v="55527"/>
    <n v="9273009"/>
    <n v="164"/>
    <n v="59008"/>
    <n v="9677312"/>
    <n v="53"/>
    <n v="47263"/>
    <n v="2504939"/>
    <n v="62"/>
    <n v="47966"/>
    <n v="2973892"/>
    <n v="1"/>
    <n v="40295"/>
    <n v="40295"/>
    <n v="1"/>
    <n v="41302"/>
    <n v="41302"/>
    <m/>
    <m/>
    <n v="0"/>
    <m/>
    <m/>
    <n v="0"/>
    <n v="1"/>
    <n v="116326"/>
    <n v="95177.933199999999"/>
    <n v="0"/>
    <m/>
    <n v="0"/>
    <n v="1"/>
    <n v="84568"/>
    <n v="69193.537599999996"/>
    <n v="0"/>
    <m/>
    <n v="0"/>
    <n v="0"/>
    <m/>
    <n v="0"/>
    <m/>
    <m/>
    <n v="0"/>
    <n v="1"/>
    <n v="43921"/>
    <n v="35936.162199999999"/>
    <n v="1"/>
    <n v="45204"/>
    <n v="36985.912799999998"/>
    <n v="1"/>
    <n v="39724"/>
    <n v="32502.176800000001"/>
    <n v="1"/>
    <n v="40518"/>
    <n v="33151.827600000004"/>
    <m/>
    <m/>
    <n v="0"/>
    <m/>
    <m/>
    <n v="0"/>
  </r>
  <r>
    <x v="11"/>
    <s v="Winthrop University "/>
    <n v="218964"/>
    <x v="2"/>
    <n v="62"/>
    <n v="75296"/>
    <n v="4668352"/>
    <n v="62"/>
    <n v="76033"/>
    <n v="4714046"/>
    <n v="93"/>
    <n v="65349"/>
    <n v="6077457"/>
    <n v="98"/>
    <n v="65489"/>
    <n v="6417922"/>
    <n v="89"/>
    <n v="53117"/>
    <n v="4727413"/>
    <n v="82"/>
    <n v="54022"/>
    <n v="4429804"/>
    <n v="33"/>
    <n v="43595"/>
    <n v="1438635"/>
    <n v="32"/>
    <n v="42382"/>
    <n v="1356224"/>
    <n v="0"/>
    <m/>
    <n v="0"/>
    <n v="2"/>
    <n v="40607"/>
    <n v="81214"/>
    <m/>
    <m/>
    <n v="0"/>
    <m/>
    <m/>
    <n v="0"/>
    <n v="1"/>
    <n v="86992"/>
    <n v="71176.854399999997"/>
    <n v="1"/>
    <n v="87861"/>
    <n v="71887.870200000005"/>
    <n v="1"/>
    <n v="88897"/>
    <n v="72735.525399999999"/>
    <n v="2"/>
    <n v="97850"/>
    <n v="160121.74000000002"/>
    <n v="1"/>
    <n v="52600"/>
    <n v="43037.32"/>
    <n v="1"/>
    <n v="53126"/>
    <n v="43467.693200000002"/>
    <n v="2"/>
    <n v="60900"/>
    <n v="99656.760000000009"/>
    <n v="14"/>
    <n v="55741"/>
    <n v="638502.00679999997"/>
    <n v="0"/>
    <m/>
    <n v="0"/>
    <n v="2"/>
    <n v="66505"/>
    <n v="108828.78200000001"/>
    <m/>
    <m/>
    <n v="0"/>
    <m/>
    <m/>
    <n v="0"/>
  </r>
  <r>
    <x v="11"/>
    <s v="The Citadel, the Military College of South Carolina "/>
    <n v="217864"/>
    <x v="3"/>
    <n v="60"/>
    <n v="77293"/>
    <n v="4637580"/>
    <n v="58"/>
    <n v="79765"/>
    <n v="4626370"/>
    <n v="45"/>
    <n v="68527"/>
    <n v="3083715"/>
    <n v="50"/>
    <n v="67506"/>
    <n v="3375300"/>
    <n v="59"/>
    <n v="55655"/>
    <n v="3283645"/>
    <n v="62"/>
    <n v="54036"/>
    <n v="3350232"/>
    <n v="0"/>
    <m/>
    <n v="0"/>
    <n v="0"/>
    <m/>
    <n v="0"/>
    <n v="0"/>
    <m/>
    <n v="0"/>
    <m/>
    <m/>
    <n v="0"/>
    <m/>
    <m/>
    <n v="0"/>
    <m/>
    <m/>
    <n v="0"/>
    <n v="1"/>
    <n v="106660"/>
    <n v="87269.212"/>
    <n v="1"/>
    <n v="107726"/>
    <n v="88141.41320000001"/>
    <n v="2"/>
    <n v="93045"/>
    <n v="152258.83800000002"/>
    <n v="2"/>
    <n v="88464"/>
    <n v="144762.4896"/>
    <n v="0"/>
    <m/>
    <n v="0"/>
    <m/>
    <m/>
    <n v="0"/>
    <n v="0"/>
    <m/>
    <n v="0"/>
    <m/>
    <m/>
    <n v="0"/>
    <n v="0"/>
    <m/>
    <n v="0"/>
    <m/>
    <m/>
    <n v="0"/>
    <m/>
    <m/>
    <n v="0"/>
    <m/>
    <m/>
    <n v="0"/>
  </r>
  <r>
    <x v="11"/>
    <s v="Coastal Carolina University"/>
    <n v="218724"/>
    <x v="4"/>
    <n v="32"/>
    <n v="77915"/>
    <n v="2493280"/>
    <n v="29"/>
    <n v="79656"/>
    <n v="2310024"/>
    <n v="52"/>
    <n v="63520"/>
    <n v="3303040"/>
    <n v="54"/>
    <n v="68806"/>
    <n v="3715524"/>
    <n v="111"/>
    <n v="57882"/>
    <n v="6424902"/>
    <n v="114"/>
    <n v="58265"/>
    <n v="6642210"/>
    <n v="19"/>
    <n v="39212"/>
    <n v="745028"/>
    <n v="18"/>
    <n v="43182"/>
    <n v="777276"/>
    <n v="15"/>
    <n v="37397"/>
    <n v="560955"/>
    <n v="41"/>
    <n v="37370"/>
    <n v="1532170"/>
    <m/>
    <m/>
    <n v="0"/>
    <m/>
    <m/>
    <n v="0"/>
    <n v="15"/>
    <n v="98107"/>
    <n v="1204067.2110000001"/>
    <n v="19"/>
    <n v="105085"/>
    <n v="1633630.3930000002"/>
    <n v="12"/>
    <n v="80030"/>
    <n v="785766.55200000003"/>
    <n v="11"/>
    <n v="77978"/>
    <n v="701817.5956"/>
    <n v="1"/>
    <n v="57567"/>
    <n v="47101.3194"/>
    <n v="3"/>
    <n v="58849"/>
    <n v="144450.75539999999"/>
    <n v="3"/>
    <n v="66643"/>
    <n v="163581.90780000002"/>
    <n v="3"/>
    <n v="67559"/>
    <n v="165830.32140000002"/>
    <n v="4"/>
    <n v="70858"/>
    <n v="231904.06240000002"/>
    <n v="7"/>
    <n v="58533"/>
    <n v="335241.90419999999"/>
    <m/>
    <m/>
    <n v="0"/>
    <m/>
    <m/>
    <n v="0"/>
  </r>
  <r>
    <x v="11"/>
    <s v="Francis Marion University "/>
    <n v="218061"/>
    <x v="4"/>
    <n v="57"/>
    <n v="74345"/>
    <n v="4237665"/>
    <n v="55"/>
    <n v="75969"/>
    <n v="4178295"/>
    <n v="35"/>
    <n v="59168"/>
    <n v="2070880"/>
    <n v="36"/>
    <n v="60413"/>
    <n v="2174868"/>
    <n v="83"/>
    <n v="50811"/>
    <n v="4217313"/>
    <n v="86"/>
    <n v="51834"/>
    <n v="4457724"/>
    <n v="17"/>
    <n v="44506"/>
    <n v="756602"/>
    <n v="15"/>
    <n v="46744"/>
    <n v="701160"/>
    <n v="0"/>
    <m/>
    <n v="0"/>
    <m/>
    <m/>
    <n v="0"/>
    <m/>
    <m/>
    <n v="0"/>
    <m/>
    <m/>
    <n v="0"/>
    <n v="7"/>
    <n v="91121"/>
    <n v="521886.4154"/>
    <n v="6"/>
    <n v="96986"/>
    <n v="476123.67120000004"/>
    <n v="1"/>
    <n v="74200"/>
    <n v="60710.44"/>
    <n v="1"/>
    <n v="76426"/>
    <n v="62531.753200000006"/>
    <n v="0"/>
    <m/>
    <n v="0"/>
    <m/>
    <m/>
    <n v="0"/>
    <n v="0"/>
    <m/>
    <n v="0"/>
    <m/>
    <m/>
    <n v="0"/>
    <n v="0"/>
    <m/>
    <n v="0"/>
    <m/>
    <m/>
    <n v="0"/>
    <m/>
    <m/>
    <n v="0"/>
    <m/>
    <m/>
    <n v="0"/>
  </r>
  <r>
    <x v="11"/>
    <s v="Lander University"/>
    <n v="218229"/>
    <x v="4"/>
    <n v="24"/>
    <n v="61766"/>
    <n v="1482384"/>
    <n v="22"/>
    <n v="53777"/>
    <n v="1183094"/>
    <n v="22"/>
    <n v="54874"/>
    <n v="1207228"/>
    <n v="25"/>
    <n v="54330"/>
    <n v="1358250"/>
    <n v="45"/>
    <n v="47907"/>
    <n v="2155815"/>
    <n v="35"/>
    <n v="50605"/>
    <n v="1771175"/>
    <n v="27"/>
    <n v="41022"/>
    <n v="1107594"/>
    <n v="18"/>
    <n v="37296"/>
    <n v="671328"/>
    <n v="5"/>
    <n v="32591"/>
    <n v="162955"/>
    <n v="4"/>
    <n v="33138"/>
    <n v="132552"/>
    <m/>
    <m/>
    <n v="0"/>
    <m/>
    <m/>
    <n v="0"/>
    <n v="3"/>
    <n v="100847"/>
    <n v="247539.04620000001"/>
    <n v="3"/>
    <n v="103177"/>
    <n v="253258.26420000001"/>
    <n v="2"/>
    <n v="59691"/>
    <n v="97678.352400000003"/>
    <n v="3"/>
    <n v="48455"/>
    <n v="118937.64300000001"/>
    <n v="0"/>
    <m/>
    <n v="0"/>
    <n v="14"/>
    <n v="37786"/>
    <n v="432831.07280000002"/>
    <n v="0"/>
    <m/>
    <n v="0"/>
    <n v="4"/>
    <n v="44145"/>
    <n v="144477.75599999999"/>
    <n v="0"/>
    <m/>
    <n v="0"/>
    <n v="2"/>
    <n v="38787"/>
    <n v="63471.046800000004"/>
    <m/>
    <m/>
    <n v="0"/>
    <m/>
    <m/>
    <n v="0"/>
  </r>
  <r>
    <x v="11"/>
    <s v="South Carolina State University "/>
    <n v="218733"/>
    <x v="4"/>
    <n v="34"/>
    <n v="72542"/>
    <n v="2466428"/>
    <n v="35"/>
    <n v="72843"/>
    <n v="2549505"/>
    <n v="48"/>
    <n v="63444"/>
    <n v="3045312"/>
    <n v="50"/>
    <n v="64044"/>
    <n v="3202200"/>
    <n v="74"/>
    <n v="55870"/>
    <n v="4134380"/>
    <n v="81"/>
    <n v="57472"/>
    <n v="4655232"/>
    <n v="22"/>
    <n v="41936"/>
    <n v="922592"/>
    <n v="27"/>
    <n v="42615"/>
    <n v="1150605"/>
    <n v="9"/>
    <n v="48342"/>
    <n v="435078"/>
    <n v="4"/>
    <n v="45401"/>
    <n v="181604"/>
    <m/>
    <m/>
    <n v="0"/>
    <m/>
    <m/>
    <n v="0"/>
    <n v="5"/>
    <n v="89672"/>
    <n v="366848.152"/>
    <n v="4"/>
    <n v="103328"/>
    <n v="338171.87839999999"/>
    <n v="16"/>
    <n v="81335"/>
    <n v="1064772.7520000001"/>
    <n v="12"/>
    <n v="82507"/>
    <n v="810086.72880000004"/>
    <n v="12"/>
    <n v="60341"/>
    <n v="592452.07440000004"/>
    <n v="10"/>
    <n v="73417"/>
    <n v="600697.89399999997"/>
    <n v="5"/>
    <n v="53645"/>
    <n v="219461.69500000001"/>
    <n v="5"/>
    <n v="60686"/>
    <n v="248266.42600000001"/>
    <n v="0"/>
    <m/>
    <n v="0"/>
    <m/>
    <m/>
    <n v="0"/>
    <m/>
    <m/>
    <n v="0"/>
    <m/>
    <m/>
    <n v="0"/>
  </r>
  <r>
    <x v="11"/>
    <s v="University of South Carolina-Aiken"/>
    <n v="218645"/>
    <x v="5"/>
    <n v="24"/>
    <n v="75176"/>
    <n v="1804224"/>
    <n v="24"/>
    <n v="75234"/>
    <n v="1805616"/>
    <n v="31"/>
    <n v="60303"/>
    <n v="1869393"/>
    <n v="31"/>
    <n v="59559"/>
    <n v="1846329"/>
    <n v="43"/>
    <n v="49836"/>
    <n v="2142948"/>
    <n v="41"/>
    <n v="49135"/>
    <n v="2014535"/>
    <n v="34"/>
    <n v="43695"/>
    <n v="1485630"/>
    <n v="39"/>
    <n v="42619"/>
    <n v="1662141"/>
    <n v="0"/>
    <m/>
    <n v="0"/>
    <m/>
    <m/>
    <n v="0"/>
    <m/>
    <m/>
    <n v="0"/>
    <m/>
    <m/>
    <n v="0"/>
    <n v="6"/>
    <n v="85443"/>
    <n v="419456.77559999999"/>
    <n v="6"/>
    <n v="87063"/>
    <n v="427409.67960000003"/>
    <n v="5"/>
    <n v="72110"/>
    <n v="295002.01"/>
    <n v="6"/>
    <n v="75334"/>
    <n v="369829.6728"/>
    <n v="3"/>
    <n v="59950"/>
    <n v="147153.27000000002"/>
    <n v="1"/>
    <n v="65947"/>
    <n v="53957.835400000004"/>
    <n v="4"/>
    <n v="55019"/>
    <n v="180066.1832"/>
    <n v="3"/>
    <n v="49031"/>
    <n v="120351.49260000001"/>
    <n v="0"/>
    <m/>
    <n v="0"/>
    <m/>
    <m/>
    <n v="0"/>
    <m/>
    <m/>
    <n v="0"/>
    <m/>
    <m/>
    <n v="0"/>
  </r>
  <r>
    <x v="11"/>
    <s v="University of South Carolina-Upstate"/>
    <n v="218742"/>
    <x v="5"/>
    <n v="31"/>
    <n v="69768"/>
    <n v="2162808"/>
    <n v="30"/>
    <n v="73585"/>
    <n v="2207550"/>
    <n v="29"/>
    <n v="58781"/>
    <n v="1704649"/>
    <n v="33"/>
    <n v="59059"/>
    <n v="1948947"/>
    <n v="63"/>
    <n v="51535"/>
    <n v="3246705"/>
    <n v="63"/>
    <n v="51739"/>
    <n v="3259557"/>
    <n v="64"/>
    <n v="45128"/>
    <n v="2888192"/>
    <n v="68"/>
    <n v="45904"/>
    <n v="3121472"/>
    <n v="0"/>
    <m/>
    <n v="0"/>
    <m/>
    <m/>
    <n v="0"/>
    <m/>
    <m/>
    <n v="0"/>
    <m/>
    <m/>
    <n v="0"/>
    <n v="7"/>
    <n v="95552"/>
    <n v="547264.52480000001"/>
    <n v="8"/>
    <n v="92568"/>
    <n v="605913.10080000001"/>
    <n v="6"/>
    <n v="71529"/>
    <n v="351150.16680000001"/>
    <n v="5"/>
    <n v="84026"/>
    <n v="343750.36600000004"/>
    <n v="3"/>
    <n v="73104"/>
    <n v="179441.0784"/>
    <n v="3"/>
    <n v="75121"/>
    <n v="184392.00660000002"/>
    <n v="3"/>
    <n v="52689"/>
    <n v="129330.4194"/>
    <n v="4"/>
    <n v="55646"/>
    <n v="182118.22880000001"/>
    <n v="0"/>
    <m/>
    <n v="0"/>
    <m/>
    <m/>
    <n v="0"/>
    <m/>
    <m/>
    <n v="0"/>
    <m/>
    <m/>
    <n v="0"/>
  </r>
  <r>
    <x v="11"/>
    <s v="University of South Carolina-Beaufort"/>
    <n v="218654"/>
    <x v="11"/>
    <n v="6"/>
    <n v="68666"/>
    <n v="411996"/>
    <n v="4"/>
    <n v="72462"/>
    <n v="289848"/>
    <n v="11"/>
    <n v="55716"/>
    <n v="612876"/>
    <n v="11"/>
    <n v="59246"/>
    <n v="651706"/>
    <n v="10"/>
    <n v="49159"/>
    <n v="491590"/>
    <n v="14"/>
    <n v="51807"/>
    <n v="725298"/>
    <n v="13"/>
    <n v="42536"/>
    <n v="552968"/>
    <n v="13"/>
    <n v="44201"/>
    <n v="574613"/>
    <n v="0"/>
    <m/>
    <n v="0"/>
    <m/>
    <m/>
    <n v="0"/>
    <m/>
    <m/>
    <n v="0"/>
    <m/>
    <m/>
    <n v="0"/>
    <n v="3"/>
    <n v="87658"/>
    <n v="215165.32680000001"/>
    <n v="5"/>
    <n v="82203"/>
    <n v="336292.473"/>
    <n v="4"/>
    <n v="86923"/>
    <n v="284481.5944"/>
    <n v="4"/>
    <n v="84650"/>
    <n v="277042.52"/>
    <n v="0"/>
    <m/>
    <n v="0"/>
    <m/>
    <m/>
    <n v="0"/>
    <n v="1"/>
    <n v="65000"/>
    <n v="53183"/>
    <n v="2"/>
    <n v="66772"/>
    <n v="109265.70080000001"/>
    <n v="0"/>
    <m/>
    <n v="0"/>
    <m/>
    <m/>
    <n v="0"/>
    <m/>
    <m/>
    <n v="0"/>
    <m/>
    <m/>
    <n v="0"/>
  </r>
  <r>
    <x v="11"/>
    <s v="Greenville Technical College "/>
    <n v="218113"/>
    <x v="6"/>
    <m/>
    <m/>
    <n v="0"/>
    <m/>
    <m/>
    <n v="0"/>
    <m/>
    <m/>
    <n v="0"/>
    <m/>
    <m/>
    <n v="0"/>
    <m/>
    <m/>
    <n v="0"/>
    <m/>
    <m/>
    <n v="0"/>
    <m/>
    <m/>
    <n v="0"/>
    <m/>
    <m/>
    <n v="0"/>
    <n v="331"/>
    <n v="44935"/>
    <n v="14873485"/>
    <n v="335"/>
    <n v="45493"/>
    <n v="15240155"/>
    <m/>
    <m/>
    <n v="0"/>
    <m/>
    <m/>
    <n v="0"/>
    <m/>
    <m/>
    <n v="0"/>
    <m/>
    <m/>
    <n v="0"/>
    <m/>
    <m/>
    <n v="0"/>
    <m/>
    <m/>
    <n v="0"/>
    <m/>
    <m/>
    <n v="0"/>
    <m/>
    <m/>
    <n v="0"/>
    <m/>
    <m/>
    <n v="0"/>
    <m/>
    <m/>
    <n v="0"/>
    <m/>
    <m/>
    <n v="0"/>
    <m/>
    <m/>
    <n v="0"/>
    <m/>
    <m/>
    <n v="0"/>
    <m/>
    <m/>
    <n v="0"/>
  </r>
  <r>
    <x v="11"/>
    <s v="Midlands Technical College "/>
    <n v="218353"/>
    <x v="6"/>
    <m/>
    <m/>
    <n v="0"/>
    <m/>
    <m/>
    <n v="0"/>
    <m/>
    <m/>
    <n v="0"/>
    <m/>
    <m/>
    <n v="0"/>
    <m/>
    <m/>
    <n v="0"/>
    <m/>
    <m/>
    <n v="0"/>
    <m/>
    <m/>
    <n v="0"/>
    <m/>
    <m/>
    <n v="0"/>
    <n v="225"/>
    <n v="48816"/>
    <n v="10983600"/>
    <n v="220"/>
    <n v="49362"/>
    <n v="10859640"/>
    <m/>
    <m/>
    <n v="0"/>
    <m/>
    <m/>
    <n v="0"/>
    <m/>
    <m/>
    <n v="0"/>
    <m/>
    <m/>
    <n v="0"/>
    <m/>
    <m/>
    <n v="0"/>
    <m/>
    <m/>
    <n v="0"/>
    <m/>
    <m/>
    <n v="0"/>
    <m/>
    <m/>
    <n v="0"/>
    <m/>
    <m/>
    <n v="0"/>
    <m/>
    <m/>
    <n v="0"/>
    <m/>
    <m/>
    <n v="0"/>
    <m/>
    <m/>
    <n v="0"/>
    <m/>
    <m/>
    <n v="0"/>
    <m/>
    <m/>
    <n v="0"/>
  </r>
  <r>
    <x v="11"/>
    <s v="Trident Technical College "/>
    <n v="218894"/>
    <x v="6"/>
    <m/>
    <m/>
    <n v="0"/>
    <m/>
    <m/>
    <n v="0"/>
    <m/>
    <m/>
    <n v="0"/>
    <m/>
    <m/>
    <n v="0"/>
    <m/>
    <m/>
    <n v="0"/>
    <m/>
    <m/>
    <n v="0"/>
    <m/>
    <m/>
    <n v="0"/>
    <m/>
    <m/>
    <n v="0"/>
    <n v="288"/>
    <n v="47018"/>
    <n v="13541184"/>
    <n v="296"/>
    <n v="47413"/>
    <n v="14034248"/>
    <m/>
    <m/>
    <n v="0"/>
    <m/>
    <m/>
    <n v="0"/>
    <m/>
    <m/>
    <n v="0"/>
    <m/>
    <m/>
    <n v="0"/>
    <m/>
    <m/>
    <n v="0"/>
    <m/>
    <m/>
    <n v="0"/>
    <m/>
    <m/>
    <n v="0"/>
    <m/>
    <m/>
    <n v="0"/>
    <m/>
    <m/>
    <n v="0"/>
    <m/>
    <m/>
    <n v="0"/>
    <m/>
    <m/>
    <n v="0"/>
    <m/>
    <m/>
    <n v="0"/>
    <m/>
    <m/>
    <n v="0"/>
    <m/>
    <m/>
    <n v="0"/>
  </r>
  <r>
    <x v="11"/>
    <s v="Aiken Technical College "/>
    <n v="217615"/>
    <x v="7"/>
    <m/>
    <m/>
    <n v="0"/>
    <m/>
    <m/>
    <n v="0"/>
    <m/>
    <m/>
    <n v="0"/>
    <m/>
    <m/>
    <n v="0"/>
    <m/>
    <m/>
    <n v="0"/>
    <m/>
    <m/>
    <n v="0"/>
    <m/>
    <m/>
    <n v="0"/>
    <m/>
    <m/>
    <n v="0"/>
    <n v="57"/>
    <n v="47885"/>
    <n v="2729445"/>
    <n v="61"/>
    <n v="48905"/>
    <n v="2983205"/>
    <m/>
    <m/>
    <n v="0"/>
    <m/>
    <m/>
    <n v="0"/>
    <m/>
    <m/>
    <n v="0"/>
    <m/>
    <m/>
    <n v="0"/>
    <m/>
    <m/>
    <n v="0"/>
    <m/>
    <m/>
    <n v="0"/>
    <m/>
    <m/>
    <n v="0"/>
    <m/>
    <m/>
    <n v="0"/>
    <m/>
    <m/>
    <n v="0"/>
    <m/>
    <m/>
    <n v="0"/>
    <m/>
    <m/>
    <n v="0"/>
    <m/>
    <m/>
    <n v="0"/>
    <m/>
    <m/>
    <n v="0"/>
    <m/>
    <m/>
    <n v="0"/>
  </r>
  <r>
    <x v="11"/>
    <s v="Central Carolina Technical College "/>
    <n v="218858"/>
    <x v="7"/>
    <m/>
    <m/>
    <n v="0"/>
    <m/>
    <m/>
    <n v="0"/>
    <m/>
    <m/>
    <n v="0"/>
    <m/>
    <m/>
    <n v="0"/>
    <m/>
    <m/>
    <n v="0"/>
    <m/>
    <m/>
    <n v="0"/>
    <m/>
    <m/>
    <n v="0"/>
    <m/>
    <m/>
    <n v="0"/>
    <n v="81"/>
    <n v="43837"/>
    <n v="3550797"/>
    <n v="84"/>
    <n v="44455"/>
    <n v="3734220"/>
    <m/>
    <m/>
    <n v="0"/>
    <m/>
    <m/>
    <n v="0"/>
    <m/>
    <m/>
    <n v="0"/>
    <m/>
    <m/>
    <n v="0"/>
    <m/>
    <m/>
    <n v="0"/>
    <m/>
    <m/>
    <n v="0"/>
    <m/>
    <m/>
    <n v="0"/>
    <m/>
    <m/>
    <n v="0"/>
    <m/>
    <m/>
    <n v="0"/>
    <m/>
    <m/>
    <n v="0"/>
    <m/>
    <m/>
    <n v="0"/>
    <m/>
    <m/>
    <n v="0"/>
    <m/>
    <m/>
    <n v="0"/>
    <m/>
    <m/>
    <n v="0"/>
  </r>
  <r>
    <x v="11"/>
    <s v="Florence-Darlington Technical College "/>
    <n v="218025"/>
    <x v="7"/>
    <m/>
    <m/>
    <n v="0"/>
    <m/>
    <m/>
    <n v="0"/>
    <m/>
    <m/>
    <n v="0"/>
    <m/>
    <m/>
    <n v="0"/>
    <m/>
    <m/>
    <n v="0"/>
    <m/>
    <m/>
    <n v="0"/>
    <m/>
    <m/>
    <n v="0"/>
    <m/>
    <m/>
    <n v="0"/>
    <n v="100"/>
    <n v="49201"/>
    <n v="4920100"/>
    <n v="103"/>
    <n v="49540"/>
    <n v="5102620"/>
    <m/>
    <m/>
    <n v="0"/>
    <m/>
    <m/>
    <n v="0"/>
    <m/>
    <m/>
    <n v="0"/>
    <m/>
    <m/>
    <n v="0"/>
    <m/>
    <m/>
    <n v="0"/>
    <m/>
    <m/>
    <n v="0"/>
    <m/>
    <m/>
    <n v="0"/>
    <m/>
    <m/>
    <n v="0"/>
    <m/>
    <m/>
    <n v="0"/>
    <m/>
    <m/>
    <n v="0"/>
    <m/>
    <m/>
    <n v="0"/>
    <m/>
    <m/>
    <n v="0"/>
    <m/>
    <m/>
    <n v="0"/>
    <m/>
    <m/>
    <n v="0"/>
  </r>
  <r>
    <x v="11"/>
    <s v="Horry-Georgetown Technical College "/>
    <n v="218140"/>
    <x v="7"/>
    <m/>
    <m/>
    <n v="0"/>
    <m/>
    <m/>
    <n v="0"/>
    <m/>
    <m/>
    <n v="0"/>
    <m/>
    <m/>
    <n v="0"/>
    <m/>
    <m/>
    <n v="0"/>
    <m/>
    <m/>
    <n v="0"/>
    <m/>
    <m/>
    <n v="0"/>
    <m/>
    <m/>
    <n v="0"/>
    <n v="134"/>
    <n v="48974"/>
    <n v="6562516"/>
    <n v="138"/>
    <n v="49291"/>
    <n v="6802158"/>
    <m/>
    <m/>
    <n v="0"/>
    <m/>
    <m/>
    <n v="0"/>
    <m/>
    <m/>
    <n v="0"/>
    <m/>
    <m/>
    <n v="0"/>
    <m/>
    <m/>
    <n v="0"/>
    <m/>
    <m/>
    <n v="0"/>
    <m/>
    <m/>
    <n v="0"/>
    <m/>
    <m/>
    <n v="0"/>
    <m/>
    <m/>
    <n v="0"/>
    <m/>
    <m/>
    <n v="0"/>
    <m/>
    <m/>
    <n v="0"/>
    <m/>
    <m/>
    <n v="0"/>
    <m/>
    <m/>
    <n v="0"/>
    <m/>
    <m/>
    <n v="0"/>
  </r>
  <r>
    <x v="11"/>
    <s v="Orangeburg-Calhoun Technical College "/>
    <n v="218487"/>
    <x v="7"/>
    <m/>
    <m/>
    <n v="0"/>
    <m/>
    <m/>
    <n v="0"/>
    <m/>
    <m/>
    <n v="0"/>
    <m/>
    <m/>
    <n v="0"/>
    <m/>
    <m/>
    <n v="0"/>
    <m/>
    <m/>
    <n v="0"/>
    <m/>
    <m/>
    <n v="0"/>
    <m/>
    <m/>
    <n v="0"/>
    <n v="84"/>
    <n v="43585"/>
    <n v="3661140"/>
    <n v="82"/>
    <n v="43705"/>
    <n v="3583810"/>
    <m/>
    <m/>
    <n v="0"/>
    <m/>
    <m/>
    <n v="0"/>
    <m/>
    <m/>
    <n v="0"/>
    <m/>
    <m/>
    <n v="0"/>
    <m/>
    <m/>
    <n v="0"/>
    <m/>
    <m/>
    <n v="0"/>
    <m/>
    <m/>
    <n v="0"/>
    <m/>
    <m/>
    <n v="0"/>
    <m/>
    <m/>
    <n v="0"/>
    <m/>
    <m/>
    <n v="0"/>
    <m/>
    <m/>
    <n v="0"/>
    <m/>
    <m/>
    <n v="0"/>
    <m/>
    <m/>
    <n v="0"/>
    <m/>
    <m/>
    <n v="0"/>
  </r>
  <r>
    <x v="11"/>
    <s v="Piedmont Technical College "/>
    <n v="218520"/>
    <x v="7"/>
    <m/>
    <m/>
    <n v="0"/>
    <m/>
    <m/>
    <n v="0"/>
    <m/>
    <m/>
    <n v="0"/>
    <m/>
    <m/>
    <n v="0"/>
    <m/>
    <m/>
    <n v="0"/>
    <m/>
    <m/>
    <n v="0"/>
    <m/>
    <m/>
    <n v="0"/>
    <m/>
    <m/>
    <n v="0"/>
    <n v="115"/>
    <n v="43122"/>
    <n v="4959030"/>
    <n v="118"/>
    <n v="42799"/>
    <n v="5050282"/>
    <m/>
    <m/>
    <n v="0"/>
    <m/>
    <m/>
    <n v="0"/>
    <m/>
    <m/>
    <n v="0"/>
    <m/>
    <m/>
    <n v="0"/>
    <m/>
    <m/>
    <n v="0"/>
    <m/>
    <m/>
    <n v="0"/>
    <m/>
    <m/>
    <n v="0"/>
    <m/>
    <m/>
    <n v="0"/>
    <m/>
    <m/>
    <n v="0"/>
    <m/>
    <m/>
    <n v="0"/>
    <m/>
    <m/>
    <n v="0"/>
    <m/>
    <m/>
    <n v="0"/>
    <m/>
    <m/>
    <n v="0"/>
    <m/>
    <m/>
    <n v="0"/>
  </r>
  <r>
    <x v="11"/>
    <s v="Spartanburg Technical College "/>
    <n v="218830"/>
    <x v="7"/>
    <m/>
    <m/>
    <n v="0"/>
    <m/>
    <m/>
    <n v="0"/>
    <m/>
    <m/>
    <n v="0"/>
    <m/>
    <m/>
    <n v="0"/>
    <m/>
    <m/>
    <n v="0"/>
    <m/>
    <m/>
    <n v="0"/>
    <m/>
    <m/>
    <n v="0"/>
    <m/>
    <m/>
    <n v="0"/>
    <n v="103"/>
    <n v="44113"/>
    <n v="4543639"/>
    <n v="113"/>
    <n v="45687"/>
    <n v="5162631"/>
    <m/>
    <m/>
    <n v="0"/>
    <m/>
    <m/>
    <n v="0"/>
    <m/>
    <m/>
    <n v="0"/>
    <m/>
    <m/>
    <n v="0"/>
    <m/>
    <m/>
    <n v="0"/>
    <m/>
    <m/>
    <n v="0"/>
    <m/>
    <m/>
    <n v="0"/>
    <m/>
    <m/>
    <n v="0"/>
    <m/>
    <m/>
    <n v="0"/>
    <m/>
    <m/>
    <n v="0"/>
    <m/>
    <m/>
    <n v="0"/>
    <m/>
    <m/>
    <n v="0"/>
    <m/>
    <m/>
    <n v="0"/>
    <m/>
    <m/>
    <n v="0"/>
  </r>
  <r>
    <x v="11"/>
    <s v="Tri-County Technical College "/>
    <n v="218885"/>
    <x v="7"/>
    <m/>
    <m/>
    <n v="0"/>
    <m/>
    <m/>
    <n v="0"/>
    <m/>
    <m/>
    <n v="0"/>
    <m/>
    <m/>
    <n v="0"/>
    <m/>
    <m/>
    <n v="0"/>
    <m/>
    <m/>
    <n v="0"/>
    <m/>
    <m/>
    <n v="0"/>
    <m/>
    <m/>
    <n v="0"/>
    <n v="115"/>
    <n v="44450"/>
    <n v="5111750"/>
    <n v="112"/>
    <n v="44801"/>
    <n v="5017712"/>
    <m/>
    <m/>
    <n v="0"/>
    <m/>
    <m/>
    <n v="0"/>
    <m/>
    <m/>
    <n v="0"/>
    <m/>
    <m/>
    <n v="0"/>
    <m/>
    <m/>
    <n v="0"/>
    <m/>
    <m/>
    <n v="0"/>
    <m/>
    <m/>
    <n v="0"/>
    <m/>
    <m/>
    <n v="0"/>
    <m/>
    <m/>
    <n v="0"/>
    <m/>
    <m/>
    <n v="0"/>
    <m/>
    <m/>
    <n v="0"/>
    <m/>
    <m/>
    <n v="0"/>
    <m/>
    <m/>
    <n v="0"/>
    <m/>
    <m/>
    <n v="0"/>
  </r>
  <r>
    <x v="11"/>
    <s v="York Technical College "/>
    <n v="218991"/>
    <x v="7"/>
    <m/>
    <m/>
    <n v="0"/>
    <m/>
    <m/>
    <n v="0"/>
    <m/>
    <m/>
    <n v="0"/>
    <m/>
    <m/>
    <n v="0"/>
    <m/>
    <m/>
    <n v="0"/>
    <m/>
    <m/>
    <n v="0"/>
    <m/>
    <m/>
    <n v="0"/>
    <m/>
    <m/>
    <n v="0"/>
    <n v="119"/>
    <n v="48187"/>
    <n v="5734253"/>
    <n v="120"/>
    <n v="47820"/>
    <n v="5738400"/>
    <m/>
    <m/>
    <n v="0"/>
    <m/>
    <m/>
    <n v="0"/>
    <m/>
    <m/>
    <n v="0"/>
    <m/>
    <m/>
    <n v="0"/>
    <m/>
    <m/>
    <n v="0"/>
    <m/>
    <m/>
    <n v="0"/>
    <m/>
    <m/>
    <n v="0"/>
    <m/>
    <m/>
    <n v="0"/>
    <m/>
    <m/>
    <n v="0"/>
    <m/>
    <m/>
    <n v="0"/>
    <m/>
    <m/>
    <n v="0"/>
    <m/>
    <m/>
    <n v="0"/>
    <m/>
    <m/>
    <n v="0"/>
    <m/>
    <m/>
    <n v="0"/>
  </r>
  <r>
    <x v="11"/>
    <s v="Denmark Technical College "/>
    <n v="217989"/>
    <x v="8"/>
    <m/>
    <m/>
    <n v="0"/>
    <m/>
    <m/>
    <n v="0"/>
    <m/>
    <m/>
    <n v="0"/>
    <m/>
    <m/>
    <n v="0"/>
    <m/>
    <m/>
    <n v="0"/>
    <m/>
    <m/>
    <n v="0"/>
    <m/>
    <m/>
    <n v="0"/>
    <m/>
    <m/>
    <n v="0"/>
    <n v="39"/>
    <n v="38981"/>
    <n v="1520259"/>
    <n v="39"/>
    <n v="39230"/>
    <n v="1529970"/>
    <m/>
    <m/>
    <n v="0"/>
    <m/>
    <m/>
    <n v="0"/>
    <m/>
    <m/>
    <n v="0"/>
    <m/>
    <m/>
    <n v="0"/>
    <m/>
    <m/>
    <n v="0"/>
    <m/>
    <m/>
    <n v="0"/>
    <m/>
    <m/>
    <n v="0"/>
    <m/>
    <m/>
    <n v="0"/>
    <m/>
    <m/>
    <n v="0"/>
    <m/>
    <m/>
    <n v="0"/>
    <m/>
    <m/>
    <n v="0"/>
    <m/>
    <m/>
    <n v="0"/>
    <m/>
    <m/>
    <n v="0"/>
    <m/>
    <m/>
    <n v="0"/>
  </r>
  <r>
    <x v="11"/>
    <s v="Northeastern Technical College"/>
    <n v="217837"/>
    <x v="8"/>
    <m/>
    <m/>
    <n v="0"/>
    <m/>
    <m/>
    <n v="0"/>
    <m/>
    <m/>
    <n v="0"/>
    <m/>
    <m/>
    <n v="0"/>
    <m/>
    <m/>
    <n v="0"/>
    <m/>
    <m/>
    <n v="0"/>
    <m/>
    <m/>
    <n v="0"/>
    <m/>
    <m/>
    <n v="0"/>
    <n v="30"/>
    <n v="37932"/>
    <n v="1137960"/>
    <n v="30"/>
    <n v="36650"/>
    <n v="1099500"/>
    <m/>
    <m/>
    <n v="0"/>
    <m/>
    <m/>
    <n v="0"/>
    <m/>
    <m/>
    <n v="0"/>
    <m/>
    <m/>
    <n v="0"/>
    <m/>
    <m/>
    <n v="0"/>
    <m/>
    <m/>
    <n v="0"/>
    <m/>
    <m/>
    <n v="0"/>
    <m/>
    <m/>
    <n v="0"/>
    <m/>
    <m/>
    <n v="0"/>
    <m/>
    <m/>
    <n v="0"/>
    <m/>
    <m/>
    <n v="0"/>
    <m/>
    <m/>
    <n v="0"/>
    <m/>
    <m/>
    <n v="0"/>
    <m/>
    <m/>
    <n v="0"/>
  </r>
  <r>
    <x v="11"/>
    <s v="Technical College of the Lowcountry"/>
    <n v="217712"/>
    <x v="8"/>
    <m/>
    <m/>
    <n v="0"/>
    <m/>
    <m/>
    <n v="0"/>
    <m/>
    <m/>
    <n v="0"/>
    <m/>
    <m/>
    <n v="0"/>
    <m/>
    <m/>
    <n v="0"/>
    <m/>
    <m/>
    <n v="0"/>
    <m/>
    <m/>
    <n v="0"/>
    <m/>
    <m/>
    <n v="0"/>
    <n v="47"/>
    <n v="49978"/>
    <n v="2348966"/>
    <n v="48"/>
    <n v="49808"/>
    <n v="2390784"/>
    <m/>
    <m/>
    <n v="0"/>
    <m/>
    <m/>
    <n v="0"/>
    <m/>
    <m/>
    <n v="0"/>
    <m/>
    <m/>
    <n v="0"/>
    <m/>
    <m/>
    <n v="0"/>
    <m/>
    <m/>
    <n v="0"/>
    <m/>
    <m/>
    <n v="0"/>
    <m/>
    <m/>
    <n v="0"/>
    <m/>
    <m/>
    <n v="0"/>
    <m/>
    <m/>
    <n v="0"/>
    <m/>
    <m/>
    <n v="0"/>
    <m/>
    <m/>
    <n v="0"/>
    <m/>
    <m/>
    <n v="0"/>
    <m/>
    <m/>
    <n v="0"/>
  </r>
  <r>
    <x v="11"/>
    <s v="University of South Carolina-Lancaster"/>
    <n v="218672"/>
    <x v="8"/>
    <n v="3"/>
    <n v="64857"/>
    <n v="194571"/>
    <n v="5"/>
    <n v="62994"/>
    <n v="314970"/>
    <n v="6"/>
    <n v="57126"/>
    <n v="342756"/>
    <n v="4"/>
    <n v="57679"/>
    <n v="230716"/>
    <n v="13"/>
    <n v="47000"/>
    <n v="611000"/>
    <n v="19"/>
    <n v="46745"/>
    <n v="888155"/>
    <n v="15"/>
    <n v="41898"/>
    <n v="628470"/>
    <n v="17"/>
    <n v="46008"/>
    <n v="782136"/>
    <m/>
    <m/>
    <n v="0"/>
    <m/>
    <m/>
    <n v="0"/>
    <m/>
    <m/>
    <n v="0"/>
    <m/>
    <m/>
    <n v="0"/>
    <m/>
    <m/>
    <n v="0"/>
    <m/>
    <m/>
    <n v="0"/>
    <n v="1"/>
    <n v="79715"/>
    <n v="65222.813000000002"/>
    <n v="1"/>
    <n v="80492"/>
    <n v="65858.554400000008"/>
    <m/>
    <m/>
    <n v="0"/>
    <n v="1"/>
    <n v="67556"/>
    <n v="55274.319200000005"/>
    <n v="1"/>
    <n v="53322"/>
    <n v="43628.060400000002"/>
    <n v="1"/>
    <n v="40400"/>
    <n v="33055.279999999999"/>
    <m/>
    <m/>
    <n v="0"/>
    <m/>
    <m/>
    <n v="0"/>
    <m/>
    <m/>
    <n v="0"/>
    <m/>
    <m/>
    <n v="0"/>
  </r>
  <r>
    <x v="11"/>
    <s v="University of South Carolina-Salkehatchie"/>
    <n v="218681"/>
    <x v="8"/>
    <n v="1"/>
    <n v="56690"/>
    <n v="56690"/>
    <n v="1"/>
    <n v="57256"/>
    <n v="57256"/>
    <n v="3"/>
    <n v="50902"/>
    <n v="152706"/>
    <n v="2"/>
    <n v="50883"/>
    <n v="101766"/>
    <n v="8"/>
    <n v="43146"/>
    <n v="345168"/>
    <n v="7"/>
    <n v="44393"/>
    <n v="310751"/>
    <n v="4"/>
    <n v="40234"/>
    <n v="160936"/>
    <n v="6"/>
    <n v="42341"/>
    <n v="254046"/>
    <m/>
    <m/>
    <n v="0"/>
    <m/>
    <m/>
    <n v="0"/>
    <m/>
    <m/>
    <n v="0"/>
    <m/>
    <m/>
    <n v="0"/>
    <m/>
    <m/>
    <n v="0"/>
    <m/>
    <m/>
    <n v="0"/>
    <n v="1"/>
    <n v="42477"/>
    <n v="34754.681400000001"/>
    <n v="1"/>
    <n v="42901"/>
    <n v="35101.5982"/>
    <m/>
    <m/>
    <n v="0"/>
    <m/>
    <m/>
    <n v="0"/>
    <n v="0"/>
    <m/>
    <n v="0"/>
    <n v="1"/>
    <n v="53855"/>
    <n v="44064.161"/>
    <n v="1"/>
    <n v="81007"/>
    <n v="66279.9274"/>
    <n v="1"/>
    <n v="84817"/>
    <n v="69397.269400000005"/>
    <m/>
    <m/>
    <n v="0"/>
    <m/>
    <m/>
    <n v="0"/>
  </r>
  <r>
    <x v="11"/>
    <s v="University of South Carolina-Sumter"/>
    <n v="218690"/>
    <x v="8"/>
    <n v="8"/>
    <n v="64438"/>
    <n v="515504"/>
    <n v="7"/>
    <n v="65533"/>
    <n v="458731"/>
    <n v="13"/>
    <n v="57199"/>
    <n v="743587"/>
    <n v="15"/>
    <n v="56947"/>
    <n v="854205"/>
    <n v="9"/>
    <n v="47383"/>
    <n v="426447"/>
    <n v="10"/>
    <n v="46381"/>
    <n v="463810"/>
    <n v="9"/>
    <n v="33374"/>
    <n v="300366"/>
    <n v="16"/>
    <n v="33858"/>
    <n v="541728"/>
    <m/>
    <m/>
    <n v="0"/>
    <m/>
    <m/>
    <n v="0"/>
    <m/>
    <m/>
    <n v="0"/>
    <m/>
    <m/>
    <n v="0"/>
    <n v="2"/>
    <n v="86729"/>
    <n v="141923.33560000002"/>
    <n v="2"/>
    <n v="88050"/>
    <n v="144085.02000000002"/>
    <n v="2"/>
    <n v="77602"/>
    <n v="126987.91280000001"/>
    <n v="2"/>
    <n v="78311"/>
    <n v="128148.1204"/>
    <m/>
    <m/>
    <n v="0"/>
    <m/>
    <m/>
    <n v="0"/>
    <n v="1"/>
    <n v="42167"/>
    <n v="34501.039400000001"/>
    <m/>
    <m/>
    <n v="0"/>
    <m/>
    <m/>
    <n v="0"/>
    <m/>
    <m/>
    <n v="0"/>
    <m/>
    <m/>
    <n v="0"/>
    <m/>
    <m/>
    <n v="0"/>
  </r>
  <r>
    <x v="11"/>
    <s v="University of South Carolina-Union"/>
    <n v="218706"/>
    <x v="8"/>
    <m/>
    <m/>
    <n v="0"/>
    <n v="0"/>
    <m/>
    <n v="0"/>
    <m/>
    <m/>
    <n v="0"/>
    <m/>
    <m/>
    <n v="0"/>
    <n v="3"/>
    <n v="45472"/>
    <n v="136416"/>
    <n v="3"/>
    <n v="45926"/>
    <n v="137778"/>
    <n v="3"/>
    <n v="44593"/>
    <n v="133779"/>
    <n v="4"/>
    <n v="45810"/>
    <n v="183240"/>
    <m/>
    <m/>
    <n v="0"/>
    <m/>
    <m/>
    <n v="0"/>
    <m/>
    <m/>
    <n v="0"/>
    <m/>
    <m/>
    <n v="0"/>
    <m/>
    <m/>
    <n v="0"/>
    <m/>
    <m/>
    <n v="0"/>
    <m/>
    <m/>
    <n v="0"/>
    <m/>
    <m/>
    <n v="0"/>
    <m/>
    <m/>
    <n v="0"/>
    <m/>
    <m/>
    <n v="0"/>
    <m/>
    <m/>
    <n v="0"/>
    <n v="1"/>
    <n v="42588"/>
    <n v="34845.501600000003"/>
    <m/>
    <m/>
    <n v="0"/>
    <m/>
    <m/>
    <n v="0"/>
    <m/>
    <m/>
    <n v="0"/>
    <m/>
    <m/>
    <n v="0"/>
  </r>
  <r>
    <x v="11"/>
    <s v="Willamsburg Technical College "/>
    <n v="218955"/>
    <x v="8"/>
    <m/>
    <m/>
    <n v="0"/>
    <m/>
    <m/>
    <n v="0"/>
    <m/>
    <m/>
    <n v="0"/>
    <m/>
    <m/>
    <n v="0"/>
    <m/>
    <m/>
    <n v="0"/>
    <m/>
    <m/>
    <n v="0"/>
    <m/>
    <m/>
    <n v="0"/>
    <m/>
    <m/>
    <n v="0"/>
    <n v="19"/>
    <n v="34423"/>
    <n v="654037"/>
    <n v="19"/>
    <m/>
    <n v="0"/>
    <m/>
    <m/>
    <n v="0"/>
    <m/>
    <m/>
    <n v="0"/>
    <m/>
    <m/>
    <n v="0"/>
    <m/>
    <m/>
    <n v="0"/>
    <m/>
    <m/>
    <n v="0"/>
    <m/>
    <m/>
    <n v="0"/>
    <m/>
    <m/>
    <n v="0"/>
    <m/>
    <m/>
    <n v="0"/>
    <m/>
    <m/>
    <n v="0"/>
    <m/>
    <m/>
    <n v="0"/>
    <m/>
    <m/>
    <n v="0"/>
    <m/>
    <m/>
    <n v="0"/>
    <m/>
    <m/>
    <n v="0"/>
    <m/>
    <m/>
    <n v="0"/>
  </r>
  <r>
    <x v="12"/>
    <s v="University of Tennessee, Knoxville"/>
    <n v="221759"/>
    <x v="0"/>
    <n v="376"/>
    <n v="104730.24468085106"/>
    <n v="39378572"/>
    <n v="373"/>
    <n v="101276"/>
    <n v="37775948"/>
    <n v="282"/>
    <n v="77178.570921985811"/>
    <n v="21764357"/>
    <n v="286"/>
    <n v="76797.489510489511"/>
    <n v="21964082"/>
    <n v="278"/>
    <n v="63953.647482014385"/>
    <n v="17779114"/>
    <n v="275"/>
    <n v="63306.163636363635"/>
    <n v="17409195"/>
    <n v="24"/>
    <n v="50289.833333333336"/>
    <n v="1206956"/>
    <n v="16"/>
    <n v="49040.25"/>
    <n v="784644"/>
    <n v="207"/>
    <n v="38265.270531400965"/>
    <n v="7920911"/>
    <n v="196"/>
    <n v="37715.765306122448"/>
    <n v="7392290"/>
    <m/>
    <m/>
    <n v="0"/>
    <m/>
    <m/>
    <n v="0"/>
    <n v="142"/>
    <n v="125745.78169014085"/>
    <n v="14609698.1982"/>
    <n v="156"/>
    <n v="121201.80128205128"/>
    <n v="15470100.954200001"/>
    <n v="112"/>
    <n v="99915.919642857145"/>
    <n v="9156135.0106000006"/>
    <n v="115"/>
    <n v="97123.156521739133"/>
    <n v="9138609.1666000001"/>
    <n v="106"/>
    <n v="86147.60377358491"/>
    <n v="7471512.7572000008"/>
    <n v="114"/>
    <n v="84196.175438596489"/>
    <n v="7853381.4248000002"/>
    <n v="24"/>
    <n v="59462.083333333336"/>
    <n v="1167645.0379999999"/>
    <n v="22"/>
    <n v="64018"/>
    <n v="1152349.6072"/>
    <n v="25"/>
    <n v="42720.480000000003"/>
    <n v="873847.41840000008"/>
    <n v="27"/>
    <n v="47400.296296296299"/>
    <n v="1047138.9056000001"/>
    <m/>
    <m/>
    <n v="0"/>
    <m/>
    <m/>
    <n v="0"/>
  </r>
  <r>
    <x v="12"/>
    <s v="University of Memphis"/>
    <n v="220862"/>
    <x v="1"/>
    <n v="235"/>
    <n v="93880.94042553191"/>
    <n v="22062021"/>
    <n v="234"/>
    <n v="93989.162393162391"/>
    <n v="21993464"/>
    <n v="216"/>
    <n v="69634.620370370365"/>
    <n v="15041077.999999998"/>
    <n v="231"/>
    <n v="70466.155844155845"/>
    <n v="16277682"/>
    <n v="234"/>
    <n v="59180.431623931625"/>
    <n v="13848221"/>
    <n v="227"/>
    <n v="59716.387665198235"/>
    <n v="13555620"/>
    <n v="95"/>
    <n v="40692.947368421053"/>
    <n v="3865830"/>
    <n v="95"/>
    <n v="40769.863157894739"/>
    <n v="3873137"/>
    <n v="20"/>
    <n v="42663.65"/>
    <n v="853273"/>
    <n v="23"/>
    <n v="44104.086956521736"/>
    <n v="1014393.9999999999"/>
    <m/>
    <m/>
    <n v="0"/>
    <m/>
    <m/>
    <n v="0"/>
    <n v="19"/>
    <n v="126156.31578947368"/>
    <n v="1961200.8540000001"/>
    <n v="23"/>
    <n v="140021.21739130435"/>
    <n v="2635003.2816000003"/>
    <n v="18"/>
    <n v="67823.5"/>
    <n v="998877.37860000005"/>
    <n v="19"/>
    <n v="77558.421052631573"/>
    <n v="1205707.702"/>
    <n v="14"/>
    <n v="59770.357142857145"/>
    <n v="684657.48700000008"/>
    <n v="15"/>
    <n v="60252.133333333331"/>
    <n v="739474.43240000005"/>
    <n v="11"/>
    <n v="50967"/>
    <n v="458713.19340000005"/>
    <n v="7"/>
    <n v="88820.142857142855"/>
    <n v="508708.48620000004"/>
    <n v="6"/>
    <n v="41784.166666666664"/>
    <n v="205126.83100000001"/>
    <n v="5"/>
    <n v="36675"/>
    <n v="150037.42500000002"/>
    <m/>
    <m/>
    <n v="0"/>
    <m/>
    <m/>
    <n v="0"/>
  </r>
  <r>
    <x v="12"/>
    <s v="East Tennessee State University "/>
    <n v="220075"/>
    <x v="2"/>
    <n v="96"/>
    <n v="73578.197916666672"/>
    <n v="7063507"/>
    <n v="93"/>
    <n v="72619.268817204298"/>
    <n v="6753592"/>
    <n v="117"/>
    <n v="58454.743589743586"/>
    <n v="6839205"/>
    <n v="116"/>
    <n v="58540.456896551725"/>
    <n v="6790693"/>
    <n v="160"/>
    <n v="50538.212500000001"/>
    <n v="8086114"/>
    <n v="160"/>
    <n v="50018.1"/>
    <n v="8002896"/>
    <n v="24"/>
    <n v="40015.75"/>
    <n v="960378"/>
    <n v="20"/>
    <n v="38767.9"/>
    <n v="775358"/>
    <n v="29"/>
    <n v="33766.931034482761"/>
    <n v="979241.00000000012"/>
    <n v="28"/>
    <n v="31684"/>
    <n v="887152"/>
    <m/>
    <m/>
    <n v="0"/>
    <m/>
    <m/>
    <n v="0"/>
    <n v="26"/>
    <n v="87779.269230769234"/>
    <n v="1867345.9502000001"/>
    <n v="29"/>
    <n v="91015.344827586203"/>
    <n v="2159593.8990000002"/>
    <n v="25"/>
    <n v="79761.72"/>
    <n v="1631525.9826"/>
    <n v="26"/>
    <n v="85613.961538461532"/>
    <n v="1821282.9266000001"/>
    <n v="16"/>
    <n v="61576.5625"/>
    <n v="806111.09500000009"/>
    <n v="28"/>
    <n v="76761.821428571435"/>
    <n v="1758582.6242000002"/>
    <n v="4"/>
    <n v="40693.75"/>
    <n v="133182.505"/>
    <n v="3"/>
    <n v="48000"/>
    <n v="117820.8"/>
    <n v="2"/>
    <n v="50000"/>
    <n v="81820"/>
    <n v="2"/>
    <n v="50000"/>
    <n v="81820"/>
    <m/>
    <m/>
    <n v="0"/>
    <m/>
    <m/>
    <n v="0"/>
  </r>
  <r>
    <x v="12"/>
    <s v="Middle Tennessee State University "/>
    <n v="220978"/>
    <x v="2"/>
    <n v="294"/>
    <n v="81555.265306122456"/>
    <n v="23977248.000000004"/>
    <n v="296"/>
    <n v="82322.341216216213"/>
    <n v="24367413"/>
    <n v="254"/>
    <n v="63048.433070866144"/>
    <n v="16014302"/>
    <n v="236"/>
    <n v="64355.987288135591"/>
    <n v="15188013"/>
    <n v="214"/>
    <n v="51695.17757009346"/>
    <n v="11062768"/>
    <n v="232"/>
    <n v="52586.336206896551"/>
    <n v="12200030"/>
    <n v="102"/>
    <n v="34522.049019607846"/>
    <n v="3521249.0000000005"/>
    <n v="90"/>
    <n v="35244.422222222223"/>
    <n v="3171998"/>
    <n v="0"/>
    <n v="0"/>
    <n v="0"/>
    <n v="0"/>
    <m/>
    <n v="0"/>
    <m/>
    <m/>
    <n v="0"/>
    <m/>
    <m/>
    <n v="0"/>
    <n v="1"/>
    <n v="114000"/>
    <n v="93274.8"/>
    <n v="2"/>
    <n v="102661"/>
    <n v="167994.46040000001"/>
    <n v="1"/>
    <n v="66950"/>
    <n v="54778.490000000005"/>
    <n v="1"/>
    <n v="66950"/>
    <n v="54778.490000000005"/>
    <n v="1"/>
    <n v="72448"/>
    <n v="59276.953600000001"/>
    <n v="1"/>
    <n v="72448"/>
    <n v="59276.953600000001"/>
    <n v="0"/>
    <n v="0"/>
    <n v="0"/>
    <n v="0"/>
    <m/>
    <n v="0"/>
    <n v="0"/>
    <n v="0"/>
    <n v="0"/>
    <n v="0"/>
    <m/>
    <n v="0"/>
    <m/>
    <m/>
    <n v="0"/>
    <m/>
    <m/>
    <n v="0"/>
  </r>
  <r>
    <x v="12"/>
    <s v="Tennessee State University "/>
    <n v="221838"/>
    <x v="2"/>
    <n v="105"/>
    <n v="72224.552380952387"/>
    <n v="7583578.0000000009"/>
    <n v="103"/>
    <n v="72921.456310679612"/>
    <n v="7510910"/>
    <n v="95"/>
    <n v="54329.568421052631"/>
    <n v="5161309"/>
    <n v="93"/>
    <n v="57342.483870967742"/>
    <n v="5332851"/>
    <n v="117"/>
    <n v="49810.102564102563"/>
    <n v="5827782"/>
    <n v="122"/>
    <n v="49699.401639344265"/>
    <n v="6063327"/>
    <n v="23"/>
    <n v="43866.695652173912"/>
    <n v="1008934"/>
    <n v="35"/>
    <n v="40682.485714285714"/>
    <n v="1423887"/>
    <n v="30"/>
    <n v="51061.8"/>
    <n v="1531854"/>
    <n v="0"/>
    <m/>
    <n v="0"/>
    <m/>
    <m/>
    <n v="0"/>
    <m/>
    <m/>
    <n v="0"/>
    <n v="9"/>
    <n v="97749"/>
    <n v="719804.08620000002"/>
    <n v="10"/>
    <n v="84349"/>
    <n v="690143.51800000004"/>
    <n v="12"/>
    <n v="72401.75"/>
    <n v="710869.34220000007"/>
    <n v="23"/>
    <n v="66783.739130434784"/>
    <n v="1256776.4732000001"/>
    <n v="20"/>
    <n v="56192.15"/>
    <n v="919528.34260000009"/>
    <n v="40"/>
    <n v="55084.65"/>
    <n v="1802810.4252000002"/>
    <n v="6"/>
    <n v="46746.666666666664"/>
    <n v="229488.736"/>
    <n v="8"/>
    <n v="49268.25"/>
    <n v="322490.25719999999"/>
    <n v="26"/>
    <n v="57827.307692307695"/>
    <n v="1230171.882"/>
    <n v="0"/>
    <m/>
    <n v="0"/>
    <m/>
    <m/>
    <n v="0"/>
    <m/>
    <m/>
    <n v="0"/>
  </r>
  <r>
    <x v="12"/>
    <s v="University of Tennessee at Chattanooga"/>
    <n v="221740"/>
    <x v="2"/>
    <n v="117"/>
    <n v="81316.709401709406"/>
    <n v="9514055"/>
    <n v="121"/>
    <n v="83425.35537190082"/>
    <n v="10094468"/>
    <n v="76"/>
    <n v="65898.789473684214"/>
    <n v="5008308"/>
    <n v="79"/>
    <n v="65795.379746835446"/>
    <n v="5197835"/>
    <n v="78"/>
    <n v="53052.205128205125"/>
    <n v="4138072"/>
    <n v="75"/>
    <n v="53637.213333333333"/>
    <n v="4022791"/>
    <n v="6"/>
    <n v="40139.166666666664"/>
    <n v="240835"/>
    <n v="5"/>
    <n v="39063"/>
    <n v="195315"/>
    <n v="68"/>
    <n v="34873.5"/>
    <n v="2371398"/>
    <n v="75"/>
    <n v="36480.613333333335"/>
    <n v="2736046"/>
    <m/>
    <m/>
    <n v="0"/>
    <m/>
    <m/>
    <n v="0"/>
    <n v="11"/>
    <n v="120614.72727272728"/>
    <n v="1085556.6684000001"/>
    <n v="9"/>
    <n v="130951.66666666667"/>
    <n v="964301.88300000003"/>
    <n v="9"/>
    <n v="68588.222222222219"/>
    <n v="505069.95080000005"/>
    <n v="9"/>
    <n v="68954.888888888891"/>
    <n v="507770.01080000005"/>
    <n v="8"/>
    <n v="58263"/>
    <n v="381366.2928"/>
    <n v="10"/>
    <n v="61283"/>
    <n v="501417.50600000005"/>
    <n v="1"/>
    <n v="67980"/>
    <n v="55621.236000000004"/>
    <n v="1"/>
    <n v="38000"/>
    <n v="31091.600000000002"/>
    <m/>
    <m/>
    <n v="0"/>
    <n v="3"/>
    <n v="36700"/>
    <n v="90083.82"/>
    <m/>
    <m/>
    <n v="0"/>
    <m/>
    <m/>
    <n v="0"/>
  </r>
  <r>
    <x v="12"/>
    <s v="Austin Peay State University "/>
    <n v="219602"/>
    <x v="3"/>
    <n v="92"/>
    <n v="69534.978260869568"/>
    <n v="6397218"/>
    <n v="98"/>
    <n v="68901.306122448979"/>
    <n v="6752328"/>
    <n v="58"/>
    <n v="59945.879310344826"/>
    <n v="3476861"/>
    <n v="66"/>
    <n v="57095.606060606064"/>
    <n v="3768310"/>
    <n v="104"/>
    <n v="47386.519230769234"/>
    <n v="4928198"/>
    <n v="107"/>
    <n v="45495.82242990654"/>
    <n v="4868053"/>
    <n v="24"/>
    <n v="33801.125"/>
    <n v="811227"/>
    <n v="22"/>
    <n v="34028.227272727272"/>
    <n v="748621"/>
    <n v="4"/>
    <n v="34506"/>
    <n v="138024"/>
    <n v="5"/>
    <n v="33373.4"/>
    <n v="166867"/>
    <m/>
    <m/>
    <n v="0"/>
    <m/>
    <m/>
    <n v="0"/>
    <n v="3"/>
    <n v="88887.333333333328"/>
    <n v="218182.84840000002"/>
    <n v="3"/>
    <n v="90168"/>
    <n v="221326.37280000001"/>
    <n v="1"/>
    <n v="92098"/>
    <n v="75354.583599999998"/>
    <n v="1"/>
    <n v="92098"/>
    <n v="75354.583599999998"/>
    <n v="0"/>
    <n v="0"/>
    <n v="0"/>
    <n v="0"/>
    <m/>
    <n v="0"/>
    <n v="0"/>
    <n v="0"/>
    <n v="0"/>
    <n v="0"/>
    <m/>
    <n v="0"/>
    <m/>
    <m/>
    <n v="0"/>
    <m/>
    <m/>
    <n v="0"/>
    <m/>
    <m/>
    <n v="0"/>
    <m/>
    <m/>
    <n v="0"/>
  </r>
  <r>
    <x v="12"/>
    <s v="Tennessee Technological University "/>
    <n v="221847"/>
    <x v="3"/>
    <n v="143"/>
    <n v="76239.370629370635"/>
    <n v="10902230"/>
    <n v="144"/>
    <n v="77362.222222222219"/>
    <n v="11140160"/>
    <n v="86"/>
    <n v="62859.41860465116"/>
    <n v="5405910"/>
    <n v="79"/>
    <n v="64718.443037974685"/>
    <n v="5112757"/>
    <n v="88"/>
    <n v="51667.272727272728"/>
    <n v="4546720"/>
    <n v="88"/>
    <n v="52363.63636363636"/>
    <n v="4608000"/>
    <n v="41"/>
    <n v="37661.951219512193"/>
    <n v="1544140"/>
    <n v="45"/>
    <n v="38531.333333333336"/>
    <n v="1733910"/>
    <n v="0"/>
    <n v="0"/>
    <n v="0"/>
    <n v="0"/>
    <m/>
    <n v="0"/>
    <m/>
    <m/>
    <n v="0"/>
    <m/>
    <m/>
    <n v="0"/>
    <n v="2"/>
    <n v="84155"/>
    <n v="137711.242"/>
    <n v="3"/>
    <n v="82636.666666666672"/>
    <n v="202839.962"/>
    <n v="7"/>
    <n v="67295.71428571429"/>
    <n v="385429.47400000005"/>
    <n v="6"/>
    <n v="61688.333333333336"/>
    <n v="302840.36600000004"/>
    <n v="6"/>
    <n v="54493.333333333336"/>
    <n v="267518.67200000002"/>
    <n v="3"/>
    <n v="53700"/>
    <n v="131812.02000000002"/>
    <n v="0"/>
    <n v="0"/>
    <n v="0"/>
    <n v="0"/>
    <m/>
    <n v="0"/>
    <m/>
    <m/>
    <n v="0"/>
    <m/>
    <m/>
    <n v="0"/>
    <m/>
    <m/>
    <n v="0"/>
    <m/>
    <m/>
    <n v="0"/>
  </r>
  <r>
    <x v="12"/>
    <s v="University of Tennessee at Martin"/>
    <n v="221768"/>
    <x v="4"/>
    <n v="61"/>
    <n v="73793.901639344258"/>
    <n v="4501428"/>
    <n v="56"/>
    <n v="71310.017857142855"/>
    <n v="3993361"/>
    <n v="29"/>
    <n v="57458.793103448275"/>
    <n v="1666305"/>
    <n v="31"/>
    <n v="53656.06451612903"/>
    <n v="1663338"/>
    <n v="93"/>
    <n v="52612.913978494624"/>
    <n v="4893001"/>
    <n v="84"/>
    <n v="53241.75"/>
    <n v="4472307"/>
    <n v="22"/>
    <n v="45547.727272727272"/>
    <n v="1002050"/>
    <n v="21"/>
    <n v="44882.857142857145"/>
    <n v="942540"/>
    <n v="29"/>
    <n v="40941.103448275862"/>
    <n v="1187292"/>
    <n v="44"/>
    <n v="39375"/>
    <n v="1732500"/>
    <m/>
    <m/>
    <n v="0"/>
    <m/>
    <m/>
    <n v="0"/>
    <n v="16"/>
    <n v="94421.0625"/>
    <n v="1236085.0134000001"/>
    <n v="18"/>
    <n v="91169.222222222219"/>
    <n v="1342703.8372"/>
    <n v="8"/>
    <n v="71376"/>
    <n v="467198.74560000002"/>
    <n v="8"/>
    <n v="70150"/>
    <n v="459173.84"/>
    <n v="4"/>
    <n v="61455.5"/>
    <n v="201131.56040000002"/>
    <n v="3"/>
    <n v="63382.333333333336"/>
    <n v="155578.27540000001"/>
    <n v="3"/>
    <n v="48471.666666666664"/>
    <n v="118978.553"/>
    <n v="3"/>
    <n v="46218.333333333336"/>
    <n v="113447.52100000001"/>
    <m/>
    <m/>
    <n v="0"/>
    <m/>
    <m/>
    <n v="0"/>
    <m/>
    <m/>
    <n v="0"/>
    <m/>
    <m/>
    <n v="0"/>
  </r>
  <r>
    <x v="12"/>
    <s v="Chattanooga State Technical Community College "/>
    <n v="219824"/>
    <x v="6"/>
    <n v="19"/>
    <n v="58682.315789473687"/>
    <n v="1114964"/>
    <n v="19"/>
    <n v="59103.947368421053"/>
    <n v="1122975"/>
    <n v="76"/>
    <n v="49734.17105263158"/>
    <n v="3779797"/>
    <n v="78"/>
    <n v="49885.179487179485"/>
    <n v="3891044"/>
    <n v="36"/>
    <n v="43585.416666666664"/>
    <n v="1569075"/>
    <n v="33"/>
    <n v="44602.696969696968"/>
    <n v="1471889"/>
    <n v="21"/>
    <n v="41642.238095238092"/>
    <n v="874486.99999999988"/>
    <n v="21"/>
    <n v="42228.285714285717"/>
    <n v="886794.00000000012"/>
    <n v="0"/>
    <n v="0"/>
    <n v="0"/>
    <n v="1"/>
    <n v="46535"/>
    <n v="46535"/>
    <m/>
    <m/>
    <n v="0"/>
    <m/>
    <m/>
    <n v="0"/>
    <n v="2"/>
    <n v="73313.5"/>
    <n v="119970.2114"/>
    <n v="3"/>
    <n v="78324"/>
    <n v="192254.09040000002"/>
    <n v="12"/>
    <n v="62300.916666666664"/>
    <n v="611695.32020000007"/>
    <n v="13"/>
    <n v="64099.230769230766"/>
    <n v="681797.87800000003"/>
    <n v="8"/>
    <n v="55126.75"/>
    <n v="360837.65480000002"/>
    <n v="9"/>
    <n v="55950.444444444445"/>
    <n v="412007.88280000002"/>
    <n v="36"/>
    <n v="49333.694444444445"/>
    <n v="1453133.8366"/>
    <n v="35"/>
    <n v="48108.6"/>
    <n v="1377685.9782"/>
    <m/>
    <m/>
    <n v="0"/>
    <m/>
    <m/>
    <n v="0"/>
    <m/>
    <m/>
    <n v="0"/>
    <m/>
    <m/>
    <n v="0"/>
  </r>
  <r>
    <x v="12"/>
    <s v="Pellissippi State Technical Community College"/>
    <n v="221643"/>
    <x v="6"/>
    <n v="35"/>
    <n v="57575.199999999997"/>
    <n v="2015132"/>
    <n v="37"/>
    <n v="58799.729729729726"/>
    <n v="2175590"/>
    <n v="117"/>
    <n v="49839.51282051282"/>
    <n v="5831223"/>
    <n v="111"/>
    <n v="50799.189189189186"/>
    <n v="5638710"/>
    <n v="14"/>
    <n v="42282.857142857145"/>
    <n v="591960"/>
    <n v="15"/>
    <n v="41317.333333333336"/>
    <n v="619760"/>
    <n v="20"/>
    <n v="38707.15"/>
    <n v="774143"/>
    <n v="22"/>
    <n v="36030.909090909088"/>
    <n v="792680"/>
    <n v="4"/>
    <n v="37440"/>
    <n v="149760"/>
    <m/>
    <m/>
    <n v="0"/>
    <m/>
    <m/>
    <n v="0"/>
    <m/>
    <m/>
    <n v="0"/>
    <n v="0"/>
    <n v="0"/>
    <n v="0"/>
    <n v="0"/>
    <m/>
    <n v="0"/>
    <n v="0"/>
    <n v="0"/>
    <n v="0"/>
    <n v="0"/>
    <m/>
    <n v="0"/>
    <n v="0"/>
    <n v="0"/>
    <n v="0"/>
    <n v="0"/>
    <m/>
    <n v="0"/>
    <n v="0"/>
    <n v="0"/>
    <n v="0"/>
    <n v="0"/>
    <m/>
    <n v="0"/>
    <m/>
    <m/>
    <n v="0"/>
    <m/>
    <m/>
    <n v="0"/>
    <m/>
    <m/>
    <n v="0"/>
    <m/>
    <m/>
    <n v="0"/>
  </r>
  <r>
    <x v="12"/>
    <s v="Southwest Tennessee Community College"/>
    <n v="221485"/>
    <x v="6"/>
    <n v="16"/>
    <n v="61848.75"/>
    <n v="989580"/>
    <n v="20"/>
    <n v="61173.95"/>
    <n v="1223479"/>
    <n v="83"/>
    <n v="51352.337349397589"/>
    <n v="4262244"/>
    <n v="83"/>
    <n v="50411.566265060239"/>
    <n v="4184160"/>
    <n v="45"/>
    <n v="41238.400000000001"/>
    <n v="1855728"/>
    <n v="48"/>
    <n v="40708.75"/>
    <n v="1954020"/>
    <n v="29"/>
    <n v="36202.758620689652"/>
    <n v="1049880"/>
    <n v="32"/>
    <n v="36009.09375"/>
    <n v="1152291"/>
    <m/>
    <m/>
    <n v="0"/>
    <m/>
    <m/>
    <n v="0"/>
    <m/>
    <m/>
    <n v="0"/>
    <m/>
    <m/>
    <n v="0"/>
    <n v="13"/>
    <n v="78962.769230769234"/>
    <n v="839895.39120000007"/>
    <n v="12"/>
    <n v="75617"/>
    <n v="742437.95280000009"/>
    <n v="38"/>
    <n v="67671.15789473684"/>
    <n v="2104004.5728000002"/>
    <n v="38"/>
    <n v="66239.052631578947"/>
    <n v="2059478.1288000001"/>
    <n v="9"/>
    <n v="55164.888888888891"/>
    <n v="406223.20880000002"/>
    <n v="7"/>
    <n v="56703.428571428572"/>
    <n v="324763.21679999999"/>
    <n v="7"/>
    <n v="48955.714285714283"/>
    <n v="280388.95799999998"/>
    <n v="5"/>
    <n v="39950.400000000001"/>
    <n v="163437.0864"/>
    <m/>
    <m/>
    <n v="0"/>
    <m/>
    <m/>
    <n v="0"/>
    <m/>
    <m/>
    <n v="0"/>
    <m/>
    <m/>
    <n v="0"/>
  </r>
  <r>
    <x v="12"/>
    <s v="Cleveland State Community College "/>
    <n v="219879"/>
    <x v="7"/>
    <n v="4"/>
    <n v="56019"/>
    <n v="224076"/>
    <n v="5"/>
    <n v="56745.599999999999"/>
    <n v="283728"/>
    <n v="29"/>
    <n v="51046.34482758621"/>
    <n v="1480344"/>
    <n v="27"/>
    <n v="50503.407407407409"/>
    <n v="1363592"/>
    <n v="12"/>
    <n v="41445"/>
    <n v="497340"/>
    <n v="20"/>
    <n v="39967.4"/>
    <n v="799348"/>
    <n v="21"/>
    <n v="35124.952380952382"/>
    <n v="737624"/>
    <n v="13"/>
    <n v="34366.153846153844"/>
    <n v="446760"/>
    <m/>
    <m/>
    <n v="0"/>
    <m/>
    <m/>
    <n v="0"/>
    <m/>
    <m/>
    <n v="0"/>
    <m/>
    <m/>
    <n v="0"/>
    <n v="0"/>
    <n v="0"/>
    <n v="0"/>
    <n v="0"/>
    <m/>
    <n v="0"/>
    <n v="0"/>
    <n v="0"/>
    <n v="0"/>
    <n v="1"/>
    <n v="70156"/>
    <n v="57401.639200000005"/>
    <n v="1"/>
    <n v="69156"/>
    <n v="56583.439200000001"/>
    <n v="0"/>
    <m/>
    <n v="0"/>
    <n v="3"/>
    <n v="41976"/>
    <n v="103034.2896"/>
    <n v="3"/>
    <n v="44973.333333333336"/>
    <n v="110391.54400000001"/>
    <m/>
    <m/>
    <n v="0"/>
    <m/>
    <m/>
    <n v="0"/>
    <m/>
    <m/>
    <n v="0"/>
    <m/>
    <m/>
    <n v="0"/>
  </r>
  <r>
    <x v="12"/>
    <s v="Columbia State Community College "/>
    <n v="219888"/>
    <x v="7"/>
    <n v="15"/>
    <n v="68564.666666666672"/>
    <n v="1028470.0000000001"/>
    <n v="15"/>
    <n v="69414.666666666672"/>
    <n v="1041220.0000000001"/>
    <n v="31"/>
    <n v="52997.419354838712"/>
    <n v="1642920"/>
    <n v="35"/>
    <n v="52654.285714285717"/>
    <n v="1842900"/>
    <n v="25"/>
    <n v="41051.199999999997"/>
    <n v="1026279.9999999999"/>
    <n v="21"/>
    <n v="41147.142857142855"/>
    <n v="864090"/>
    <n v="13"/>
    <n v="35301.538461538461"/>
    <n v="458920"/>
    <n v="18"/>
    <n v="34386.666666666664"/>
    <n v="618960"/>
    <m/>
    <m/>
    <n v="0"/>
    <m/>
    <m/>
    <n v="0"/>
    <m/>
    <m/>
    <n v="0"/>
    <m/>
    <m/>
    <n v="0"/>
    <n v="1"/>
    <n v="95270"/>
    <n v="77949.914000000004"/>
    <n v="1"/>
    <n v="97680"/>
    <n v="79921.775999999998"/>
    <n v="3"/>
    <n v="72510"/>
    <n v="177983.046"/>
    <n v="3"/>
    <n v="76386.666666666672"/>
    <n v="187498.712"/>
    <n v="3"/>
    <n v="62660"/>
    <n v="153805.236"/>
    <n v="2"/>
    <n v="59790"/>
    <n v="97840.356"/>
    <n v="6"/>
    <n v="46450"/>
    <n v="228032.34"/>
    <n v="4"/>
    <n v="46255"/>
    <n v="151383.364"/>
    <m/>
    <m/>
    <n v="0"/>
    <m/>
    <m/>
    <n v="0"/>
    <m/>
    <m/>
    <n v="0"/>
    <m/>
    <m/>
    <n v="0"/>
  </r>
  <r>
    <x v="12"/>
    <s v="Jackson State Community College "/>
    <n v="220400"/>
    <x v="7"/>
    <n v="12"/>
    <n v="58422.666666666664"/>
    <n v="701072"/>
    <n v="10"/>
    <n v="60085.8"/>
    <n v="600858"/>
    <n v="38"/>
    <n v="48881.315789473687"/>
    <n v="1857490"/>
    <n v="37"/>
    <n v="48622.189189189186"/>
    <n v="1799021"/>
    <n v="32"/>
    <n v="41629.8125"/>
    <n v="1332154"/>
    <n v="33"/>
    <n v="42891.121212121216"/>
    <n v="1415407"/>
    <n v="7"/>
    <n v="39874"/>
    <n v="279118"/>
    <n v="8"/>
    <n v="43234.5"/>
    <n v="345876"/>
    <m/>
    <m/>
    <n v="0"/>
    <m/>
    <m/>
    <n v="0"/>
    <m/>
    <m/>
    <n v="0"/>
    <m/>
    <m/>
    <n v="0"/>
    <n v="1"/>
    <n v="79567"/>
    <n v="65101.719400000002"/>
    <n v="2"/>
    <n v="75080"/>
    <n v="122860.91200000001"/>
    <n v="12"/>
    <n v="62946.666666666664"/>
    <n v="618035.55200000003"/>
    <n v="8"/>
    <n v="65431.625"/>
    <n v="428289.24460000003"/>
    <n v="6"/>
    <n v="55199.333333333336"/>
    <n v="270984.56719999999"/>
    <n v="6"/>
    <n v="51769.333333333336"/>
    <n v="254146.01120000001"/>
    <n v="1"/>
    <n v="47358"/>
    <n v="38748.315600000002"/>
    <n v="1"/>
    <n v="47358"/>
    <n v="38748.315600000002"/>
    <m/>
    <m/>
    <n v="0"/>
    <m/>
    <m/>
    <n v="0"/>
    <m/>
    <m/>
    <n v="0"/>
    <m/>
    <m/>
    <n v="0"/>
  </r>
  <r>
    <x v="12"/>
    <s v="Motlow State Community College "/>
    <n v="221096"/>
    <x v="7"/>
    <n v="10"/>
    <n v="68501"/>
    <n v="685010"/>
    <n v="10"/>
    <n v="68501"/>
    <n v="685010"/>
    <n v="26"/>
    <n v="48398.115384615383"/>
    <n v="1258351"/>
    <n v="28"/>
    <n v="48215.857142857145"/>
    <n v="1350044"/>
    <n v="22"/>
    <n v="41409.454545454544"/>
    <n v="911008"/>
    <n v="17"/>
    <n v="40259.176470588238"/>
    <n v="684406"/>
    <n v="23"/>
    <n v="34557.043478260872"/>
    <n v="794812"/>
    <n v="27"/>
    <n v="36420.962962962964"/>
    <n v="983366"/>
    <m/>
    <m/>
    <n v="0"/>
    <m/>
    <m/>
    <n v="0"/>
    <m/>
    <m/>
    <n v="0"/>
    <m/>
    <m/>
    <n v="0"/>
    <n v="0"/>
    <n v="0"/>
    <n v="0"/>
    <n v="0"/>
    <m/>
    <n v="0"/>
    <n v="0"/>
    <n v="0"/>
    <n v="0"/>
    <n v="0"/>
    <m/>
    <n v="0"/>
    <n v="0"/>
    <n v="0"/>
    <n v="0"/>
    <n v="0"/>
    <m/>
    <n v="0"/>
    <n v="0"/>
    <n v="0"/>
    <n v="0"/>
    <n v="0"/>
    <m/>
    <n v="0"/>
    <m/>
    <m/>
    <n v="0"/>
    <m/>
    <m/>
    <n v="0"/>
    <m/>
    <m/>
    <n v="0"/>
    <m/>
    <m/>
    <n v="0"/>
  </r>
  <r>
    <x v="12"/>
    <s v="Nashville State Technical Community College"/>
    <n v="221184"/>
    <x v="7"/>
    <n v="7"/>
    <n v="59033.857142857145"/>
    <n v="413237"/>
    <n v="7"/>
    <n v="59033.857142857145"/>
    <n v="413237"/>
    <n v="49"/>
    <n v="51163.061224489793"/>
    <n v="2506990"/>
    <n v="44"/>
    <n v="53430.954545454544"/>
    <n v="2350962"/>
    <n v="22"/>
    <n v="43637.13636363636"/>
    <n v="960016.99999999988"/>
    <n v="29"/>
    <n v="41434.206896551725"/>
    <n v="1201592"/>
    <n v="57"/>
    <n v="36263.824561403511"/>
    <n v="2067038.0000000002"/>
    <n v="70"/>
    <n v="36812.400000000001"/>
    <n v="2576868"/>
    <m/>
    <m/>
    <n v="0"/>
    <m/>
    <m/>
    <n v="0"/>
    <m/>
    <m/>
    <n v="0"/>
    <m/>
    <m/>
    <n v="0"/>
    <n v="0"/>
    <n v="0"/>
    <n v="0"/>
    <n v="0"/>
    <m/>
    <n v="0"/>
    <n v="0"/>
    <n v="0"/>
    <n v="0"/>
    <n v="0"/>
    <m/>
    <n v="0"/>
    <n v="0"/>
    <n v="0"/>
    <n v="0"/>
    <n v="0"/>
    <m/>
    <n v="0"/>
    <n v="2"/>
    <n v="52253"/>
    <n v="85506.809200000003"/>
    <n v="2"/>
    <n v="52253"/>
    <n v="85506.809200000003"/>
    <m/>
    <m/>
    <n v="0"/>
    <m/>
    <m/>
    <n v="0"/>
    <m/>
    <m/>
    <n v="0"/>
    <m/>
    <m/>
    <n v="0"/>
  </r>
  <r>
    <x v="12"/>
    <s v="Northeast State Technical Community College"/>
    <n v="221908"/>
    <x v="7"/>
    <n v="9"/>
    <n v="51714.333333333336"/>
    <n v="465429"/>
    <n v="9"/>
    <n v="52055.777777777781"/>
    <n v="468502"/>
    <n v="29"/>
    <n v="46394.827586206899"/>
    <n v="1345450"/>
    <n v="30"/>
    <n v="45804.333333333336"/>
    <n v="1374130"/>
    <n v="24"/>
    <n v="39504.541666666664"/>
    <n v="948109"/>
    <n v="24"/>
    <n v="39089.291666666664"/>
    <n v="938143"/>
    <n v="31"/>
    <n v="37040.193548387098"/>
    <n v="1148246"/>
    <n v="33"/>
    <n v="37992.42424242424"/>
    <n v="1253750"/>
    <m/>
    <m/>
    <n v="0"/>
    <m/>
    <m/>
    <n v="0"/>
    <m/>
    <m/>
    <n v="0"/>
    <m/>
    <m/>
    <n v="0"/>
    <n v="1"/>
    <n v="70433"/>
    <n v="57628.280600000006"/>
    <n v="1"/>
    <n v="71680"/>
    <n v="58648.576000000001"/>
    <n v="7"/>
    <n v="67247"/>
    <n v="385150.46780000004"/>
    <n v="7"/>
    <n v="68388.142857142855"/>
    <n v="391686.24940000003"/>
    <n v="2"/>
    <n v="69873"/>
    <n v="114340.17720000001"/>
    <n v="3"/>
    <n v="70145.666666666672"/>
    <n v="172179.5534"/>
    <n v="1"/>
    <n v="47327"/>
    <n v="38722.951400000005"/>
    <n v="1"/>
    <n v="47327"/>
    <n v="38722.951400000005"/>
    <m/>
    <m/>
    <n v="0"/>
    <m/>
    <m/>
    <n v="0"/>
    <m/>
    <m/>
    <n v="0"/>
    <m/>
    <m/>
    <n v="0"/>
  </r>
  <r>
    <x v="12"/>
    <s v="Roane State Community College "/>
    <n v="221397"/>
    <x v="7"/>
    <n v="13"/>
    <n v="61520.461538461539"/>
    <n v="799766"/>
    <n v="13"/>
    <n v="59089.538461538461"/>
    <n v="768164"/>
    <n v="69"/>
    <n v="52526.028985507248"/>
    <n v="3624296"/>
    <n v="64"/>
    <n v="51109.984375"/>
    <n v="3271039"/>
    <n v="33"/>
    <n v="42232.242424242424"/>
    <n v="1393664"/>
    <n v="34"/>
    <n v="41994.205882352944"/>
    <n v="1427803"/>
    <n v="6"/>
    <n v="41270.333333333336"/>
    <n v="247622"/>
    <n v="12"/>
    <n v="40653.5"/>
    <n v="487842"/>
    <m/>
    <m/>
    <n v="0"/>
    <m/>
    <m/>
    <n v="0"/>
    <m/>
    <m/>
    <n v="0"/>
    <m/>
    <m/>
    <n v="0"/>
    <n v="4"/>
    <n v="79716.5"/>
    <n v="260896.1612"/>
    <n v="4"/>
    <n v="77769.5"/>
    <n v="254524.0196"/>
    <n v="4"/>
    <n v="69547.25"/>
    <n v="227614.23980000001"/>
    <n v="4"/>
    <n v="68448"/>
    <n v="224016.61440000002"/>
    <n v="5"/>
    <n v="56566"/>
    <n v="231411.50600000002"/>
    <n v="5"/>
    <n v="51915.6"/>
    <n v="212386.71960000001"/>
    <n v="2"/>
    <n v="47674.5"/>
    <n v="78014.551800000001"/>
    <n v="3"/>
    <n v="41950.333333333336"/>
    <n v="102971.28820000001"/>
    <m/>
    <m/>
    <n v="0"/>
    <m/>
    <m/>
    <n v="0"/>
    <m/>
    <m/>
    <n v="0"/>
    <m/>
    <m/>
    <n v="0"/>
  </r>
  <r>
    <x v="12"/>
    <s v="Volunteer State Community College "/>
    <n v="222053"/>
    <x v="7"/>
    <n v="15"/>
    <n v="56608.666666666664"/>
    <n v="849130"/>
    <n v="17"/>
    <n v="56105.529411764706"/>
    <n v="953794"/>
    <n v="74"/>
    <n v="48951.972972972973"/>
    <n v="3622446"/>
    <n v="71"/>
    <n v="48668.943661971833"/>
    <n v="3455495"/>
    <n v="14"/>
    <n v="40820.5"/>
    <n v="571487"/>
    <n v="16"/>
    <n v="41486.25"/>
    <n v="663780"/>
    <n v="18"/>
    <n v="35160.277777777781"/>
    <n v="632885"/>
    <n v="14"/>
    <n v="35009.642857142855"/>
    <n v="490135"/>
    <m/>
    <m/>
    <n v="0"/>
    <m/>
    <m/>
    <n v="0"/>
    <m/>
    <m/>
    <n v="0"/>
    <m/>
    <m/>
    <n v="0"/>
    <n v="1"/>
    <n v="77798"/>
    <n v="63654.323600000003"/>
    <n v="0"/>
    <m/>
    <n v="0"/>
    <n v="12"/>
    <n v="64503.916666666664"/>
    <n v="633325.25540000002"/>
    <n v="10"/>
    <n v="62770.6"/>
    <n v="513589.04920000001"/>
    <n v="6"/>
    <n v="56316.5"/>
    <n v="276468.96179999999"/>
    <n v="4"/>
    <n v="53964.5"/>
    <n v="176615.01560000001"/>
    <n v="7"/>
    <n v="52080.857142857145"/>
    <n v="298287.90120000002"/>
    <n v="11"/>
    <n v="51537.090909090912"/>
    <n v="463844.12560000003"/>
    <m/>
    <m/>
    <n v="0"/>
    <m/>
    <m/>
    <n v="0"/>
    <m/>
    <m/>
    <n v="0"/>
    <m/>
    <m/>
    <n v="0"/>
  </r>
  <r>
    <x v="12"/>
    <s v="Walters State Community College "/>
    <n v="222062"/>
    <x v="7"/>
    <n v="15"/>
    <n v="58604.666666666664"/>
    <n v="879070"/>
    <n v="14"/>
    <n v="60700.214285714283"/>
    <n v="849803"/>
    <n v="60"/>
    <n v="52196.95"/>
    <n v="3131817"/>
    <n v="59"/>
    <n v="51231.847457627118"/>
    <n v="3022679"/>
    <n v="27"/>
    <n v="42329.925925925927"/>
    <n v="1142908"/>
    <n v="27"/>
    <n v="41777.925925925927"/>
    <n v="1128004"/>
    <n v="11"/>
    <n v="38173.454545454544"/>
    <n v="419908"/>
    <n v="17"/>
    <n v="38497.529411764706"/>
    <n v="654458"/>
    <m/>
    <m/>
    <n v="0"/>
    <m/>
    <m/>
    <n v="0"/>
    <m/>
    <m/>
    <n v="0"/>
    <m/>
    <m/>
    <n v="0"/>
    <n v="4"/>
    <n v="87883.5"/>
    <n v="287625.1188"/>
    <n v="6"/>
    <n v="81059.333333333328"/>
    <n v="397936.4792"/>
    <n v="13"/>
    <n v="66033.769230769234"/>
    <n v="702374.78980000003"/>
    <n v="13"/>
    <n v="65256"/>
    <n v="694101.96960000007"/>
    <n v="7"/>
    <n v="55400.571428571428"/>
    <n v="317301.2328"/>
    <n v="5"/>
    <n v="55635.6"/>
    <n v="227605.2396"/>
    <n v="2"/>
    <n v="46249.5"/>
    <n v="75682.681800000006"/>
    <n v="4"/>
    <n v="49311.5"/>
    <n v="161386.67720000001"/>
    <m/>
    <m/>
    <n v="0"/>
    <m/>
    <m/>
    <n v="0"/>
    <m/>
    <m/>
    <n v="0"/>
    <m/>
    <m/>
    <n v="0"/>
  </r>
  <r>
    <x v="12"/>
    <s v="Dyersburg State Community College "/>
    <n v="220057"/>
    <x v="8"/>
    <n v="10"/>
    <n v="50448.1"/>
    <n v="504481"/>
    <n v="9"/>
    <n v="56546.222222222219"/>
    <n v="508916"/>
    <n v="18"/>
    <n v="49045.722222222219"/>
    <n v="882823"/>
    <n v="20"/>
    <n v="47828.35"/>
    <n v="956567"/>
    <n v="7"/>
    <n v="40824.142857142855"/>
    <n v="285769"/>
    <n v="7"/>
    <n v="39006.428571428572"/>
    <n v="273045"/>
    <n v="15"/>
    <n v="41014.800000000003"/>
    <n v="615222"/>
    <n v="13"/>
    <n v="43211.461538461539"/>
    <n v="561749"/>
    <m/>
    <m/>
    <n v="0"/>
    <m/>
    <m/>
    <n v="0"/>
    <m/>
    <m/>
    <n v="0"/>
    <m/>
    <m/>
    <n v="0"/>
    <n v="2"/>
    <n v="74891"/>
    <n v="122551.6324"/>
    <n v="2"/>
    <n v="76142"/>
    <n v="124598.76880000001"/>
    <n v="4"/>
    <n v="64799"/>
    <n v="212074.1672"/>
    <n v="4"/>
    <n v="64799.25"/>
    <n v="212074.98540000001"/>
    <n v="0"/>
    <n v="0"/>
    <n v="0"/>
    <m/>
    <m/>
    <n v="0"/>
    <n v="2"/>
    <n v="50734.5"/>
    <n v="83021.935800000007"/>
    <n v="1"/>
    <n v="45205"/>
    <n v="36986.731"/>
    <m/>
    <m/>
    <n v="0"/>
    <m/>
    <m/>
    <n v="0"/>
    <m/>
    <m/>
    <n v="0"/>
    <m/>
    <m/>
    <n v="0"/>
  </r>
  <r>
    <x v="12"/>
    <s v="Tennessee Technology Center at Athens"/>
    <n v="219596"/>
    <x v="10"/>
    <m/>
    <m/>
    <n v="0"/>
    <m/>
    <m/>
    <n v="0"/>
    <m/>
    <m/>
    <n v="0"/>
    <m/>
    <m/>
    <n v="0"/>
    <m/>
    <m/>
    <n v="0"/>
    <m/>
    <m/>
    <n v="0"/>
    <m/>
    <m/>
    <n v="0"/>
    <m/>
    <m/>
    <n v="0"/>
    <m/>
    <m/>
    <n v="0"/>
    <m/>
    <m/>
    <n v="0"/>
    <m/>
    <m/>
    <n v="0"/>
    <m/>
    <m/>
    <n v="0"/>
    <m/>
    <m/>
    <n v="0"/>
    <m/>
    <m/>
    <n v="0"/>
    <m/>
    <m/>
    <n v="0"/>
    <m/>
    <m/>
    <n v="0"/>
    <m/>
    <m/>
    <n v="0"/>
    <m/>
    <m/>
    <n v="0"/>
    <m/>
    <m/>
    <n v="0"/>
    <m/>
    <m/>
    <n v="0"/>
    <m/>
    <m/>
    <n v="0"/>
    <m/>
    <m/>
    <n v="0"/>
    <n v="11"/>
    <n v="45701.402890909085"/>
    <n v="411321.76629875996"/>
    <n v="9"/>
    <n v="45340"/>
    <n v="333874.69200000004"/>
  </r>
  <r>
    <x v="12"/>
    <s v="Tennessee Technology Center at Chattanooga"/>
    <s v="219824B"/>
    <x v="10"/>
    <m/>
    <m/>
    <n v="0"/>
    <m/>
    <m/>
    <n v="0"/>
    <m/>
    <m/>
    <n v="0"/>
    <m/>
    <m/>
    <n v="0"/>
    <m/>
    <m/>
    <n v="0"/>
    <m/>
    <m/>
    <n v="0"/>
    <m/>
    <m/>
    <n v="0"/>
    <m/>
    <m/>
    <n v="0"/>
    <m/>
    <m/>
    <n v="0"/>
    <m/>
    <m/>
    <n v="0"/>
    <m/>
    <m/>
    <n v="0"/>
    <m/>
    <m/>
    <n v="0"/>
    <m/>
    <m/>
    <n v="0"/>
    <m/>
    <m/>
    <n v="0"/>
    <m/>
    <m/>
    <n v="0"/>
    <m/>
    <m/>
    <n v="0"/>
    <m/>
    <m/>
    <n v="0"/>
    <m/>
    <m/>
    <n v="0"/>
    <m/>
    <m/>
    <n v="0"/>
    <m/>
    <m/>
    <n v="0"/>
    <m/>
    <m/>
    <n v="0"/>
    <m/>
    <m/>
    <n v="0"/>
    <n v="35"/>
    <n v="49069.401805714275"/>
    <n v="1405200.4595102398"/>
    <n v="34"/>
    <n v="47801.76470588235"/>
    <n v="1329787.7320000001"/>
  </r>
  <r>
    <x v="12"/>
    <s v="Tennessee Technology Center at Covington"/>
    <n v="219921"/>
    <x v="10"/>
    <m/>
    <m/>
    <n v="0"/>
    <m/>
    <m/>
    <n v="0"/>
    <m/>
    <m/>
    <n v="0"/>
    <m/>
    <m/>
    <n v="0"/>
    <m/>
    <m/>
    <n v="0"/>
    <m/>
    <m/>
    <n v="0"/>
    <m/>
    <m/>
    <n v="0"/>
    <m/>
    <m/>
    <n v="0"/>
    <m/>
    <m/>
    <n v="0"/>
    <m/>
    <m/>
    <n v="0"/>
    <m/>
    <m/>
    <n v="0"/>
    <m/>
    <m/>
    <n v="0"/>
    <m/>
    <m/>
    <n v="0"/>
    <m/>
    <m/>
    <n v="0"/>
    <m/>
    <m/>
    <n v="0"/>
    <m/>
    <m/>
    <n v="0"/>
    <m/>
    <m/>
    <n v="0"/>
    <m/>
    <m/>
    <n v="0"/>
    <m/>
    <m/>
    <n v="0"/>
    <m/>
    <m/>
    <n v="0"/>
    <m/>
    <m/>
    <n v="0"/>
    <m/>
    <m/>
    <n v="0"/>
    <n v="10"/>
    <n v="43262.518409999997"/>
    <n v="353973.92563061998"/>
    <n v="5"/>
    <n v="44158.8"/>
    <n v="180653.6508"/>
  </r>
  <r>
    <x v="12"/>
    <s v="Tennessee Technology Center at Crossville"/>
    <n v="221591"/>
    <x v="10"/>
    <m/>
    <m/>
    <n v="0"/>
    <m/>
    <m/>
    <n v="0"/>
    <m/>
    <m/>
    <n v="0"/>
    <m/>
    <m/>
    <n v="0"/>
    <m/>
    <m/>
    <n v="0"/>
    <m/>
    <m/>
    <n v="0"/>
    <m/>
    <m/>
    <n v="0"/>
    <m/>
    <m/>
    <n v="0"/>
    <m/>
    <m/>
    <n v="0"/>
    <m/>
    <m/>
    <n v="0"/>
    <m/>
    <m/>
    <n v="0"/>
    <m/>
    <m/>
    <n v="0"/>
    <m/>
    <m/>
    <n v="0"/>
    <m/>
    <m/>
    <n v="0"/>
    <m/>
    <m/>
    <n v="0"/>
    <m/>
    <m/>
    <n v="0"/>
    <m/>
    <m/>
    <n v="0"/>
    <m/>
    <m/>
    <n v="0"/>
    <m/>
    <m/>
    <n v="0"/>
    <m/>
    <m/>
    <n v="0"/>
    <m/>
    <m/>
    <n v="0"/>
    <m/>
    <m/>
    <n v="0"/>
    <n v="21"/>
    <n v="46184.496152380947"/>
    <n v="793551.24978943996"/>
    <n v="19"/>
    <n v="45791.789473684214"/>
    <n v="711870.00080000004"/>
  </r>
  <r>
    <x v="12"/>
    <s v="Tennessee Technology Center at Crump"/>
    <n v="221430"/>
    <x v="10"/>
    <m/>
    <m/>
    <n v="0"/>
    <m/>
    <m/>
    <n v="0"/>
    <m/>
    <m/>
    <n v="0"/>
    <m/>
    <m/>
    <n v="0"/>
    <m/>
    <m/>
    <n v="0"/>
    <m/>
    <m/>
    <n v="0"/>
    <m/>
    <m/>
    <n v="0"/>
    <m/>
    <m/>
    <n v="0"/>
    <m/>
    <m/>
    <n v="0"/>
    <m/>
    <m/>
    <n v="0"/>
    <m/>
    <m/>
    <n v="0"/>
    <m/>
    <m/>
    <n v="0"/>
    <m/>
    <m/>
    <n v="0"/>
    <m/>
    <m/>
    <n v="0"/>
    <m/>
    <m/>
    <n v="0"/>
    <m/>
    <m/>
    <n v="0"/>
    <m/>
    <m/>
    <n v="0"/>
    <m/>
    <m/>
    <n v="0"/>
    <m/>
    <m/>
    <n v="0"/>
    <m/>
    <m/>
    <n v="0"/>
    <m/>
    <m/>
    <n v="0"/>
    <m/>
    <m/>
    <n v="0"/>
    <n v="14"/>
    <n v="46478.742764285715"/>
    <n v="532404.70261634002"/>
    <n v="8"/>
    <n v="49423.25"/>
    <n v="323504.82520000002"/>
  </r>
  <r>
    <x v="12"/>
    <s v="Tennessee Technology Center at Dickson"/>
    <n v="219994"/>
    <x v="10"/>
    <m/>
    <m/>
    <n v="0"/>
    <m/>
    <m/>
    <n v="0"/>
    <m/>
    <m/>
    <n v="0"/>
    <m/>
    <m/>
    <n v="0"/>
    <m/>
    <m/>
    <n v="0"/>
    <m/>
    <m/>
    <n v="0"/>
    <m/>
    <m/>
    <n v="0"/>
    <m/>
    <m/>
    <n v="0"/>
    <m/>
    <m/>
    <n v="0"/>
    <m/>
    <m/>
    <n v="0"/>
    <m/>
    <m/>
    <n v="0"/>
    <m/>
    <m/>
    <n v="0"/>
    <m/>
    <m/>
    <n v="0"/>
    <m/>
    <m/>
    <n v="0"/>
    <m/>
    <m/>
    <n v="0"/>
    <m/>
    <m/>
    <n v="0"/>
    <m/>
    <m/>
    <n v="0"/>
    <m/>
    <m/>
    <n v="0"/>
    <m/>
    <m/>
    <n v="0"/>
    <m/>
    <m/>
    <n v="0"/>
    <m/>
    <m/>
    <n v="0"/>
    <m/>
    <m/>
    <n v="0"/>
    <n v="24"/>
    <n v="45106.650083333334"/>
    <n v="885750.26635639998"/>
    <n v="14"/>
    <n v="47277"/>
    <n v="541548.57960000006"/>
  </r>
  <r>
    <x v="12"/>
    <s v="Tennessee Technology Center at Elizabethton"/>
    <n v="220127"/>
    <x v="10"/>
    <m/>
    <m/>
    <n v="0"/>
    <m/>
    <m/>
    <n v="0"/>
    <m/>
    <m/>
    <n v="0"/>
    <m/>
    <m/>
    <n v="0"/>
    <m/>
    <m/>
    <n v="0"/>
    <m/>
    <m/>
    <n v="0"/>
    <m/>
    <m/>
    <n v="0"/>
    <m/>
    <m/>
    <n v="0"/>
    <m/>
    <m/>
    <n v="0"/>
    <m/>
    <m/>
    <n v="0"/>
    <m/>
    <m/>
    <n v="0"/>
    <m/>
    <m/>
    <n v="0"/>
    <m/>
    <m/>
    <n v="0"/>
    <m/>
    <m/>
    <n v="0"/>
    <m/>
    <m/>
    <n v="0"/>
    <m/>
    <m/>
    <n v="0"/>
    <m/>
    <m/>
    <n v="0"/>
    <m/>
    <m/>
    <n v="0"/>
    <m/>
    <m/>
    <n v="0"/>
    <m/>
    <m/>
    <n v="0"/>
    <m/>
    <m/>
    <n v="0"/>
    <m/>
    <m/>
    <n v="0"/>
    <n v="15"/>
    <n v="46120.269186666665"/>
    <n v="566034.06372795999"/>
    <n v="15"/>
    <n v="45240.933333333334"/>
    <n v="555241.97480000008"/>
  </r>
  <r>
    <x v="12"/>
    <s v="Tennessee Technology Center at Harriman"/>
    <n v="220251"/>
    <x v="10"/>
    <m/>
    <m/>
    <n v="0"/>
    <m/>
    <m/>
    <n v="0"/>
    <m/>
    <m/>
    <n v="0"/>
    <m/>
    <m/>
    <n v="0"/>
    <m/>
    <m/>
    <n v="0"/>
    <m/>
    <m/>
    <n v="0"/>
    <m/>
    <m/>
    <n v="0"/>
    <m/>
    <m/>
    <n v="0"/>
    <m/>
    <m/>
    <n v="0"/>
    <m/>
    <m/>
    <n v="0"/>
    <m/>
    <m/>
    <n v="0"/>
    <m/>
    <m/>
    <n v="0"/>
    <m/>
    <m/>
    <n v="0"/>
    <m/>
    <m/>
    <n v="0"/>
    <m/>
    <m/>
    <n v="0"/>
    <m/>
    <m/>
    <n v="0"/>
    <m/>
    <m/>
    <n v="0"/>
    <m/>
    <m/>
    <n v="0"/>
    <m/>
    <m/>
    <n v="0"/>
    <m/>
    <m/>
    <n v="0"/>
    <m/>
    <m/>
    <n v="0"/>
    <m/>
    <m/>
    <n v="0"/>
    <n v="11"/>
    <n v="40355.597145454543"/>
    <n v="363208.44542852003"/>
    <n v="11"/>
    <n v="39924.818181818184"/>
    <n v="359331.34860000003"/>
  </r>
  <r>
    <x v="12"/>
    <s v="Tennessee Technology Center at Hartsville"/>
    <n v="220279"/>
    <x v="10"/>
    <m/>
    <m/>
    <n v="0"/>
    <m/>
    <m/>
    <n v="0"/>
    <m/>
    <m/>
    <n v="0"/>
    <m/>
    <m/>
    <n v="0"/>
    <m/>
    <m/>
    <n v="0"/>
    <m/>
    <m/>
    <n v="0"/>
    <m/>
    <m/>
    <n v="0"/>
    <m/>
    <m/>
    <n v="0"/>
    <m/>
    <m/>
    <n v="0"/>
    <m/>
    <m/>
    <n v="0"/>
    <m/>
    <m/>
    <n v="0"/>
    <m/>
    <m/>
    <n v="0"/>
    <m/>
    <m/>
    <n v="0"/>
    <m/>
    <m/>
    <n v="0"/>
    <m/>
    <m/>
    <n v="0"/>
    <m/>
    <m/>
    <n v="0"/>
    <m/>
    <m/>
    <n v="0"/>
    <m/>
    <m/>
    <n v="0"/>
    <m/>
    <m/>
    <n v="0"/>
    <m/>
    <m/>
    <n v="0"/>
    <m/>
    <m/>
    <n v="0"/>
    <m/>
    <m/>
    <n v="0"/>
    <n v="10"/>
    <n v="45938.051519999994"/>
    <n v="375865.13753663993"/>
    <n v="11"/>
    <n v="44207.272727272728"/>
    <n v="397874.29600000003"/>
  </r>
  <r>
    <x v="12"/>
    <s v="Tennessee Technology Center at Holenwald"/>
    <n v="220321"/>
    <x v="10"/>
    <m/>
    <m/>
    <n v="0"/>
    <m/>
    <m/>
    <n v="0"/>
    <m/>
    <m/>
    <n v="0"/>
    <m/>
    <m/>
    <n v="0"/>
    <m/>
    <m/>
    <n v="0"/>
    <m/>
    <m/>
    <n v="0"/>
    <m/>
    <m/>
    <n v="0"/>
    <m/>
    <m/>
    <n v="0"/>
    <m/>
    <m/>
    <n v="0"/>
    <m/>
    <m/>
    <n v="0"/>
    <m/>
    <m/>
    <n v="0"/>
    <m/>
    <m/>
    <n v="0"/>
    <m/>
    <m/>
    <n v="0"/>
    <m/>
    <m/>
    <n v="0"/>
    <m/>
    <m/>
    <n v="0"/>
    <m/>
    <m/>
    <n v="0"/>
    <m/>
    <m/>
    <n v="0"/>
    <m/>
    <m/>
    <n v="0"/>
    <m/>
    <m/>
    <n v="0"/>
    <m/>
    <m/>
    <n v="0"/>
    <m/>
    <m/>
    <n v="0"/>
    <m/>
    <m/>
    <n v="0"/>
    <n v="19"/>
    <n v="42323.292768421059"/>
    <n v="657949.44471932005"/>
    <n v="19"/>
    <n v="41803.368421052633"/>
    <n v="649866.80480000004"/>
  </r>
  <r>
    <x v="12"/>
    <s v="Tennessee Technology Center at Jacksboro"/>
    <n v="220394"/>
    <x v="10"/>
    <m/>
    <m/>
    <n v="0"/>
    <m/>
    <m/>
    <n v="0"/>
    <m/>
    <m/>
    <n v="0"/>
    <m/>
    <m/>
    <n v="0"/>
    <m/>
    <m/>
    <n v="0"/>
    <m/>
    <m/>
    <n v="0"/>
    <m/>
    <m/>
    <n v="0"/>
    <m/>
    <m/>
    <n v="0"/>
    <m/>
    <m/>
    <n v="0"/>
    <m/>
    <m/>
    <n v="0"/>
    <m/>
    <m/>
    <n v="0"/>
    <m/>
    <m/>
    <n v="0"/>
    <m/>
    <m/>
    <n v="0"/>
    <m/>
    <m/>
    <n v="0"/>
    <m/>
    <m/>
    <n v="0"/>
    <m/>
    <m/>
    <n v="0"/>
    <m/>
    <m/>
    <n v="0"/>
    <m/>
    <m/>
    <n v="0"/>
    <m/>
    <m/>
    <n v="0"/>
    <m/>
    <m/>
    <n v="0"/>
    <m/>
    <m/>
    <n v="0"/>
    <m/>
    <m/>
    <n v="0"/>
    <n v="9"/>
    <n v="46997.491699999999"/>
    <n v="346080.12938046001"/>
    <n v="9"/>
    <n v="46821.111111111109"/>
    <n v="344781.29800000001"/>
  </r>
  <r>
    <x v="12"/>
    <s v="Tennessee Technology Center at Jackson"/>
    <n v="221616"/>
    <x v="10"/>
    <m/>
    <m/>
    <n v="0"/>
    <m/>
    <m/>
    <n v="0"/>
    <m/>
    <m/>
    <n v="0"/>
    <m/>
    <m/>
    <n v="0"/>
    <m/>
    <m/>
    <n v="0"/>
    <m/>
    <m/>
    <n v="0"/>
    <m/>
    <m/>
    <n v="0"/>
    <m/>
    <m/>
    <n v="0"/>
    <m/>
    <m/>
    <n v="0"/>
    <m/>
    <m/>
    <n v="0"/>
    <m/>
    <m/>
    <n v="0"/>
    <m/>
    <m/>
    <n v="0"/>
    <m/>
    <m/>
    <n v="0"/>
    <m/>
    <m/>
    <n v="0"/>
    <m/>
    <m/>
    <n v="0"/>
    <m/>
    <m/>
    <n v="0"/>
    <m/>
    <m/>
    <n v="0"/>
    <m/>
    <m/>
    <n v="0"/>
    <m/>
    <m/>
    <n v="0"/>
    <m/>
    <m/>
    <n v="0"/>
    <m/>
    <m/>
    <n v="0"/>
    <m/>
    <m/>
    <n v="0"/>
    <n v="23"/>
    <n v="47696.778565217384"/>
    <n v="897586.59710739995"/>
    <n v="16"/>
    <n v="48021"/>
    <n v="628652.51520000002"/>
  </r>
  <r>
    <x v="12"/>
    <s v="Tennessee Technology Center at Knoxville"/>
    <n v="221625"/>
    <x v="10"/>
    <m/>
    <m/>
    <n v="0"/>
    <m/>
    <m/>
    <n v="0"/>
    <m/>
    <m/>
    <n v="0"/>
    <m/>
    <m/>
    <n v="0"/>
    <m/>
    <m/>
    <n v="0"/>
    <m/>
    <m/>
    <n v="0"/>
    <m/>
    <m/>
    <n v="0"/>
    <m/>
    <m/>
    <n v="0"/>
    <m/>
    <m/>
    <n v="0"/>
    <m/>
    <m/>
    <n v="0"/>
    <m/>
    <m/>
    <n v="0"/>
    <m/>
    <m/>
    <n v="0"/>
    <m/>
    <m/>
    <n v="0"/>
    <m/>
    <m/>
    <n v="0"/>
    <m/>
    <m/>
    <n v="0"/>
    <m/>
    <m/>
    <n v="0"/>
    <m/>
    <m/>
    <n v="0"/>
    <m/>
    <m/>
    <n v="0"/>
    <m/>
    <m/>
    <n v="0"/>
    <m/>
    <m/>
    <n v="0"/>
    <m/>
    <m/>
    <n v="0"/>
    <m/>
    <m/>
    <n v="0"/>
    <n v="28"/>
    <n v="46131.370496428572"/>
    <n v="1056851.2455249801"/>
    <n v="28"/>
    <n v="46072"/>
    <n v="1055491.0912000001"/>
  </r>
  <r>
    <x v="12"/>
    <s v="Tennessee Technology Center at Livingston"/>
    <n v="220640"/>
    <x v="10"/>
    <m/>
    <m/>
    <n v="0"/>
    <m/>
    <m/>
    <n v="0"/>
    <m/>
    <m/>
    <n v="0"/>
    <m/>
    <m/>
    <n v="0"/>
    <m/>
    <m/>
    <n v="0"/>
    <m/>
    <m/>
    <n v="0"/>
    <m/>
    <m/>
    <n v="0"/>
    <m/>
    <m/>
    <n v="0"/>
    <m/>
    <m/>
    <n v="0"/>
    <m/>
    <m/>
    <n v="0"/>
    <m/>
    <m/>
    <n v="0"/>
    <m/>
    <m/>
    <n v="0"/>
    <m/>
    <m/>
    <n v="0"/>
    <m/>
    <m/>
    <n v="0"/>
    <m/>
    <m/>
    <n v="0"/>
    <m/>
    <m/>
    <n v="0"/>
    <m/>
    <m/>
    <n v="0"/>
    <m/>
    <m/>
    <n v="0"/>
    <m/>
    <m/>
    <n v="0"/>
    <m/>
    <m/>
    <n v="0"/>
    <m/>
    <m/>
    <n v="0"/>
    <m/>
    <m/>
    <n v="0"/>
    <n v="20"/>
    <n v="45049.807059999992"/>
    <n v="737195.04272983992"/>
    <n v="17"/>
    <n v="44174.294117647056"/>
    <n v="614437.92660000001"/>
  </r>
  <r>
    <x v="12"/>
    <s v="Tennessee Technology Center at McKenzie"/>
    <n v="220756"/>
    <x v="10"/>
    <m/>
    <m/>
    <n v="0"/>
    <m/>
    <m/>
    <n v="0"/>
    <m/>
    <m/>
    <n v="0"/>
    <m/>
    <m/>
    <n v="0"/>
    <m/>
    <m/>
    <n v="0"/>
    <m/>
    <m/>
    <n v="0"/>
    <m/>
    <m/>
    <n v="0"/>
    <m/>
    <m/>
    <n v="0"/>
    <m/>
    <m/>
    <n v="0"/>
    <m/>
    <m/>
    <n v="0"/>
    <m/>
    <m/>
    <n v="0"/>
    <m/>
    <m/>
    <n v="0"/>
    <m/>
    <m/>
    <n v="0"/>
    <m/>
    <m/>
    <n v="0"/>
    <m/>
    <m/>
    <n v="0"/>
    <m/>
    <m/>
    <n v="0"/>
    <m/>
    <m/>
    <n v="0"/>
    <m/>
    <m/>
    <n v="0"/>
    <m/>
    <m/>
    <n v="0"/>
    <m/>
    <m/>
    <n v="0"/>
    <m/>
    <m/>
    <n v="0"/>
    <m/>
    <m/>
    <n v="0"/>
    <n v="11"/>
    <n v="43236.13119090908"/>
    <n v="389133.82794441993"/>
    <n v="12"/>
    <n v="43031"/>
    <n v="422495.57040000003"/>
  </r>
  <r>
    <x v="12"/>
    <s v="Tennessee Technology Center at McMinnville"/>
    <n v="221607"/>
    <x v="10"/>
    <m/>
    <m/>
    <n v="0"/>
    <m/>
    <m/>
    <n v="0"/>
    <m/>
    <m/>
    <n v="0"/>
    <m/>
    <m/>
    <n v="0"/>
    <m/>
    <m/>
    <n v="0"/>
    <m/>
    <m/>
    <n v="0"/>
    <m/>
    <m/>
    <n v="0"/>
    <m/>
    <m/>
    <n v="0"/>
    <m/>
    <m/>
    <n v="0"/>
    <m/>
    <m/>
    <n v="0"/>
    <m/>
    <m/>
    <n v="0"/>
    <m/>
    <m/>
    <n v="0"/>
    <m/>
    <m/>
    <n v="0"/>
    <m/>
    <m/>
    <n v="0"/>
    <m/>
    <m/>
    <n v="0"/>
    <m/>
    <m/>
    <n v="0"/>
    <m/>
    <m/>
    <n v="0"/>
    <m/>
    <m/>
    <n v="0"/>
    <m/>
    <m/>
    <n v="0"/>
    <m/>
    <m/>
    <n v="0"/>
    <m/>
    <m/>
    <n v="0"/>
    <m/>
    <m/>
    <n v="0"/>
    <n v="12"/>
    <n v="45290.089941666665"/>
    <n v="444676.21908325999"/>
    <n v="13"/>
    <n v="46132.538461538461"/>
    <n v="490693.35860000004"/>
  </r>
  <r>
    <x v="12"/>
    <s v="Tennessee Technology Center at Memphis"/>
    <n v="220853"/>
    <x v="10"/>
    <m/>
    <m/>
    <n v="0"/>
    <m/>
    <m/>
    <n v="0"/>
    <m/>
    <m/>
    <n v="0"/>
    <m/>
    <m/>
    <n v="0"/>
    <m/>
    <m/>
    <n v="0"/>
    <m/>
    <m/>
    <n v="0"/>
    <m/>
    <m/>
    <n v="0"/>
    <m/>
    <m/>
    <n v="0"/>
    <m/>
    <m/>
    <n v="0"/>
    <m/>
    <m/>
    <n v="0"/>
    <m/>
    <m/>
    <n v="0"/>
    <m/>
    <m/>
    <n v="0"/>
    <m/>
    <m/>
    <n v="0"/>
    <m/>
    <m/>
    <n v="0"/>
    <m/>
    <m/>
    <n v="0"/>
    <m/>
    <m/>
    <n v="0"/>
    <m/>
    <m/>
    <n v="0"/>
    <m/>
    <m/>
    <n v="0"/>
    <m/>
    <m/>
    <n v="0"/>
    <m/>
    <m/>
    <n v="0"/>
    <m/>
    <m/>
    <n v="0"/>
    <m/>
    <m/>
    <n v="0"/>
    <n v="41"/>
    <n v="45523.122056097556"/>
    <n v="1527127.75711826"/>
    <n v="38"/>
    <n v="46110.15789473684"/>
    <n v="1433638.5852000001"/>
  </r>
  <r>
    <x v="12"/>
    <s v="Tennessee Technology Center at Morristown"/>
    <n v="221050"/>
    <x v="10"/>
    <m/>
    <m/>
    <n v="0"/>
    <m/>
    <m/>
    <n v="0"/>
    <m/>
    <m/>
    <n v="0"/>
    <m/>
    <m/>
    <n v="0"/>
    <m/>
    <m/>
    <n v="0"/>
    <m/>
    <m/>
    <n v="0"/>
    <m/>
    <m/>
    <n v="0"/>
    <m/>
    <m/>
    <n v="0"/>
    <m/>
    <m/>
    <n v="0"/>
    <m/>
    <m/>
    <n v="0"/>
    <m/>
    <m/>
    <n v="0"/>
    <m/>
    <m/>
    <n v="0"/>
    <m/>
    <m/>
    <n v="0"/>
    <m/>
    <m/>
    <n v="0"/>
    <m/>
    <m/>
    <n v="0"/>
    <m/>
    <m/>
    <n v="0"/>
    <m/>
    <m/>
    <n v="0"/>
    <m/>
    <m/>
    <n v="0"/>
    <m/>
    <m/>
    <n v="0"/>
    <m/>
    <m/>
    <n v="0"/>
    <m/>
    <m/>
    <n v="0"/>
    <m/>
    <m/>
    <n v="0"/>
    <n v="35"/>
    <n v="48799.351414285709"/>
    <n v="1397467.0264508999"/>
    <n v="34"/>
    <n v="48997.352941176468"/>
    <n v="1363047.5620000002"/>
  </r>
  <r>
    <x v="12"/>
    <s v="Tennessee Technology Center at Murfreesboro"/>
    <n v="221102"/>
    <x v="10"/>
    <m/>
    <m/>
    <n v="0"/>
    <m/>
    <m/>
    <n v="0"/>
    <m/>
    <m/>
    <n v="0"/>
    <m/>
    <m/>
    <n v="0"/>
    <m/>
    <m/>
    <n v="0"/>
    <m/>
    <m/>
    <n v="0"/>
    <m/>
    <m/>
    <n v="0"/>
    <m/>
    <m/>
    <n v="0"/>
    <m/>
    <m/>
    <n v="0"/>
    <m/>
    <m/>
    <n v="0"/>
    <m/>
    <m/>
    <n v="0"/>
    <m/>
    <m/>
    <n v="0"/>
    <m/>
    <m/>
    <n v="0"/>
    <m/>
    <m/>
    <n v="0"/>
    <m/>
    <m/>
    <n v="0"/>
    <m/>
    <m/>
    <n v="0"/>
    <m/>
    <m/>
    <n v="0"/>
    <m/>
    <m/>
    <n v="0"/>
    <m/>
    <m/>
    <n v="0"/>
    <m/>
    <m/>
    <n v="0"/>
    <m/>
    <m/>
    <n v="0"/>
    <m/>
    <m/>
    <n v="0"/>
    <n v="20"/>
    <n v="45410.998029999995"/>
    <n v="743105.57176291989"/>
    <n v="19"/>
    <n v="49028.894736842107"/>
    <n v="762193.39179999998"/>
  </r>
  <r>
    <x v="12"/>
    <s v="Tennessee Technology Center at Nashville"/>
    <n v="248925"/>
    <x v="10"/>
    <m/>
    <m/>
    <n v="0"/>
    <m/>
    <m/>
    <n v="0"/>
    <m/>
    <m/>
    <n v="0"/>
    <m/>
    <m/>
    <n v="0"/>
    <m/>
    <m/>
    <n v="0"/>
    <m/>
    <m/>
    <n v="0"/>
    <m/>
    <m/>
    <n v="0"/>
    <m/>
    <m/>
    <n v="0"/>
    <m/>
    <m/>
    <n v="0"/>
    <m/>
    <m/>
    <n v="0"/>
    <m/>
    <m/>
    <n v="0"/>
    <m/>
    <m/>
    <n v="0"/>
    <m/>
    <m/>
    <n v="0"/>
    <m/>
    <m/>
    <n v="0"/>
    <m/>
    <m/>
    <n v="0"/>
    <m/>
    <m/>
    <n v="0"/>
    <m/>
    <m/>
    <n v="0"/>
    <m/>
    <m/>
    <n v="0"/>
    <m/>
    <m/>
    <n v="0"/>
    <m/>
    <m/>
    <n v="0"/>
    <m/>
    <m/>
    <n v="0"/>
    <m/>
    <m/>
    <n v="0"/>
    <n v="30"/>
    <n v="43046.479366666666"/>
    <n v="1056618.8825342001"/>
    <n v="18"/>
    <n v="46716.388888888891"/>
    <n v="688020.28899999999"/>
  </r>
  <r>
    <x v="12"/>
    <s v="Tennessee Technology Center at Newbern"/>
    <n v="221236"/>
    <x v="10"/>
    <m/>
    <m/>
    <n v="0"/>
    <m/>
    <m/>
    <n v="0"/>
    <m/>
    <m/>
    <n v="0"/>
    <m/>
    <m/>
    <n v="0"/>
    <m/>
    <m/>
    <n v="0"/>
    <m/>
    <m/>
    <n v="0"/>
    <m/>
    <m/>
    <n v="0"/>
    <m/>
    <m/>
    <n v="0"/>
    <m/>
    <m/>
    <n v="0"/>
    <m/>
    <m/>
    <n v="0"/>
    <m/>
    <m/>
    <n v="0"/>
    <m/>
    <m/>
    <n v="0"/>
    <m/>
    <m/>
    <n v="0"/>
    <m/>
    <m/>
    <n v="0"/>
    <m/>
    <m/>
    <n v="0"/>
    <m/>
    <m/>
    <n v="0"/>
    <m/>
    <m/>
    <n v="0"/>
    <m/>
    <m/>
    <n v="0"/>
    <m/>
    <m/>
    <n v="0"/>
    <m/>
    <m/>
    <n v="0"/>
    <m/>
    <m/>
    <n v="0"/>
    <m/>
    <m/>
    <n v="0"/>
    <n v="12"/>
    <n v="42087.392233333339"/>
    <n v="413230.85190376005"/>
    <n v="7"/>
    <n v="41574.285714285717"/>
    <n v="238112.56400000001"/>
  </r>
  <r>
    <x v="12"/>
    <s v="Tennessee Technology Center at Oneida"/>
    <n v="221582"/>
    <x v="10"/>
    <m/>
    <m/>
    <n v="0"/>
    <m/>
    <m/>
    <n v="0"/>
    <m/>
    <m/>
    <n v="0"/>
    <m/>
    <m/>
    <n v="0"/>
    <m/>
    <m/>
    <n v="0"/>
    <m/>
    <m/>
    <n v="0"/>
    <m/>
    <m/>
    <n v="0"/>
    <m/>
    <m/>
    <n v="0"/>
    <m/>
    <m/>
    <n v="0"/>
    <m/>
    <m/>
    <n v="0"/>
    <m/>
    <m/>
    <n v="0"/>
    <m/>
    <m/>
    <n v="0"/>
    <m/>
    <m/>
    <n v="0"/>
    <m/>
    <m/>
    <n v="0"/>
    <m/>
    <m/>
    <n v="0"/>
    <m/>
    <m/>
    <n v="0"/>
    <m/>
    <m/>
    <n v="0"/>
    <m/>
    <m/>
    <n v="0"/>
    <m/>
    <m/>
    <n v="0"/>
    <m/>
    <m/>
    <n v="0"/>
    <m/>
    <m/>
    <n v="0"/>
    <m/>
    <m/>
    <n v="0"/>
    <n v="13"/>
    <n v="41860.081676923081"/>
    <n v="445248.94476476003"/>
    <n v="13"/>
    <n v="42588.923076923078"/>
    <n v="453001.33920000005"/>
  </r>
  <r>
    <x v="12"/>
    <s v="Tennessee Technology Center at Paris"/>
    <n v="221281"/>
    <x v="10"/>
    <m/>
    <m/>
    <n v="0"/>
    <m/>
    <m/>
    <n v="0"/>
    <m/>
    <m/>
    <n v="0"/>
    <m/>
    <m/>
    <n v="0"/>
    <m/>
    <m/>
    <n v="0"/>
    <m/>
    <m/>
    <n v="0"/>
    <m/>
    <m/>
    <n v="0"/>
    <m/>
    <m/>
    <n v="0"/>
    <m/>
    <m/>
    <n v="0"/>
    <m/>
    <m/>
    <n v="0"/>
    <m/>
    <m/>
    <n v="0"/>
    <m/>
    <m/>
    <n v="0"/>
    <m/>
    <m/>
    <n v="0"/>
    <m/>
    <m/>
    <n v="0"/>
    <m/>
    <m/>
    <n v="0"/>
    <m/>
    <m/>
    <n v="0"/>
    <m/>
    <m/>
    <n v="0"/>
    <m/>
    <m/>
    <n v="0"/>
    <m/>
    <m/>
    <n v="0"/>
    <m/>
    <m/>
    <n v="0"/>
    <m/>
    <m/>
    <n v="0"/>
    <m/>
    <m/>
    <n v="0"/>
    <n v="20"/>
    <n v="44072.831484999995"/>
    <n v="721207.81442054"/>
    <n v="11"/>
    <n v="44514.36363636364"/>
    <n v="400638.17560000008"/>
  </r>
  <r>
    <x v="12"/>
    <s v="Tennessee Technology Center at Pulaski"/>
    <n v="221333"/>
    <x v="10"/>
    <m/>
    <m/>
    <n v="0"/>
    <m/>
    <m/>
    <n v="0"/>
    <m/>
    <m/>
    <n v="0"/>
    <m/>
    <m/>
    <n v="0"/>
    <m/>
    <m/>
    <n v="0"/>
    <m/>
    <m/>
    <n v="0"/>
    <m/>
    <m/>
    <n v="0"/>
    <m/>
    <m/>
    <n v="0"/>
    <m/>
    <m/>
    <n v="0"/>
    <m/>
    <m/>
    <n v="0"/>
    <m/>
    <m/>
    <n v="0"/>
    <m/>
    <m/>
    <n v="0"/>
    <m/>
    <m/>
    <n v="0"/>
    <m/>
    <m/>
    <n v="0"/>
    <m/>
    <m/>
    <n v="0"/>
    <m/>
    <m/>
    <n v="0"/>
    <m/>
    <m/>
    <n v="0"/>
    <m/>
    <m/>
    <n v="0"/>
    <m/>
    <m/>
    <n v="0"/>
    <m/>
    <m/>
    <n v="0"/>
    <m/>
    <m/>
    <n v="0"/>
    <m/>
    <m/>
    <n v="0"/>
    <n v="15"/>
    <n v="47542.278079999996"/>
    <n v="583486.37887583999"/>
    <n v="16"/>
    <n v="47962.375"/>
    <n v="627885.04359999998"/>
  </r>
  <r>
    <x v="12"/>
    <s v="Tennessee Technology Center at Ripley"/>
    <n v="221388"/>
    <x v="10"/>
    <m/>
    <m/>
    <n v="0"/>
    <m/>
    <m/>
    <n v="0"/>
    <m/>
    <m/>
    <n v="0"/>
    <m/>
    <m/>
    <n v="0"/>
    <m/>
    <m/>
    <n v="0"/>
    <m/>
    <m/>
    <n v="0"/>
    <m/>
    <m/>
    <n v="0"/>
    <m/>
    <m/>
    <n v="0"/>
    <m/>
    <m/>
    <n v="0"/>
    <m/>
    <m/>
    <n v="0"/>
    <m/>
    <m/>
    <n v="0"/>
    <m/>
    <m/>
    <n v="0"/>
    <m/>
    <m/>
    <n v="0"/>
    <m/>
    <m/>
    <n v="0"/>
    <m/>
    <m/>
    <n v="0"/>
    <m/>
    <m/>
    <n v="0"/>
    <m/>
    <m/>
    <n v="0"/>
    <m/>
    <m/>
    <n v="0"/>
    <m/>
    <m/>
    <n v="0"/>
    <m/>
    <m/>
    <n v="0"/>
    <m/>
    <m/>
    <n v="0"/>
    <m/>
    <m/>
    <n v="0"/>
    <n v="12"/>
    <n v="42192.500716666669"/>
    <n v="414262.84903652006"/>
    <n v="9"/>
    <n v="42538.444444444445"/>
    <n v="313244.59720000002"/>
  </r>
  <r>
    <x v="12"/>
    <s v="Tennessee Technology Center at Shelbyville"/>
    <n v="221494"/>
    <x v="10"/>
    <m/>
    <m/>
    <n v="0"/>
    <m/>
    <m/>
    <n v="0"/>
    <m/>
    <m/>
    <n v="0"/>
    <m/>
    <m/>
    <n v="0"/>
    <m/>
    <m/>
    <n v="0"/>
    <m/>
    <m/>
    <n v="0"/>
    <m/>
    <m/>
    <n v="0"/>
    <m/>
    <m/>
    <n v="0"/>
    <m/>
    <m/>
    <n v="0"/>
    <m/>
    <m/>
    <n v="0"/>
    <m/>
    <m/>
    <n v="0"/>
    <m/>
    <m/>
    <n v="0"/>
    <m/>
    <m/>
    <n v="0"/>
    <m/>
    <m/>
    <n v="0"/>
    <m/>
    <m/>
    <n v="0"/>
    <m/>
    <m/>
    <n v="0"/>
    <m/>
    <m/>
    <n v="0"/>
    <m/>
    <m/>
    <n v="0"/>
    <m/>
    <m/>
    <n v="0"/>
    <m/>
    <m/>
    <n v="0"/>
    <m/>
    <m/>
    <n v="0"/>
    <m/>
    <m/>
    <n v="0"/>
    <n v="19"/>
    <n v="46850.407657894735"/>
    <n v="728327.06736810005"/>
    <n v="20"/>
    <n v="47588.95"/>
    <n v="778745.57780000009"/>
  </r>
  <r>
    <x v="12"/>
    <s v="Tennessee Technology Center at Whiteville"/>
    <n v="221634"/>
    <x v="10"/>
    <m/>
    <m/>
    <n v="0"/>
    <m/>
    <m/>
    <n v="0"/>
    <m/>
    <m/>
    <n v="0"/>
    <m/>
    <m/>
    <n v="0"/>
    <m/>
    <m/>
    <n v="0"/>
    <m/>
    <m/>
    <n v="0"/>
    <m/>
    <m/>
    <n v="0"/>
    <m/>
    <m/>
    <n v="0"/>
    <m/>
    <m/>
    <n v="0"/>
    <m/>
    <m/>
    <n v="0"/>
    <m/>
    <m/>
    <n v="0"/>
    <m/>
    <m/>
    <n v="0"/>
    <m/>
    <m/>
    <n v="0"/>
    <m/>
    <m/>
    <n v="0"/>
    <m/>
    <m/>
    <n v="0"/>
    <m/>
    <m/>
    <n v="0"/>
    <m/>
    <m/>
    <n v="0"/>
    <m/>
    <m/>
    <n v="0"/>
    <m/>
    <m/>
    <n v="0"/>
    <m/>
    <m/>
    <n v="0"/>
    <m/>
    <m/>
    <n v="0"/>
    <m/>
    <m/>
    <n v="0"/>
    <n v="10"/>
    <n v="47692.940979999999"/>
    <n v="390223.64309836004"/>
    <n v="8"/>
    <n v="48842.125"/>
    <n v="319701.0134"/>
  </r>
  <r>
    <x v="13"/>
    <s v="Texas A &amp; M University "/>
    <n v="228723"/>
    <x v="0"/>
    <n v="828"/>
    <n v="110143"/>
    <n v="91198404"/>
    <n v="913"/>
    <n v="118024.88280394305"/>
    <n v="107756718"/>
    <n v="473"/>
    <n v="76285"/>
    <n v="36082805"/>
    <n v="573"/>
    <n v="78681.568935427567"/>
    <n v="45084538.999999993"/>
    <n v="567"/>
    <n v="68634"/>
    <n v="38915478"/>
    <n v="664"/>
    <n v="68371.272590361448"/>
    <n v="45398525"/>
    <m/>
    <m/>
    <n v="0"/>
    <n v="38"/>
    <n v="30895.42105263158"/>
    <n v="1174026"/>
    <n v="311"/>
    <n v="43166"/>
    <n v="13424626"/>
    <n v="460"/>
    <n v="51604.513043478262"/>
    <n v="23738076"/>
    <m/>
    <m/>
    <n v="0"/>
    <m/>
    <m/>
    <n v="0"/>
    <m/>
    <m/>
    <n v="0"/>
    <m/>
    <m/>
    <n v="0"/>
    <m/>
    <m/>
    <n v="0"/>
    <m/>
    <m/>
    <n v="0"/>
    <m/>
    <m/>
    <n v="0"/>
    <m/>
    <m/>
    <n v="0"/>
    <m/>
    <m/>
    <n v="0"/>
    <m/>
    <m/>
    <n v="0"/>
    <m/>
    <m/>
    <n v="0"/>
    <m/>
    <m/>
    <n v="0"/>
    <m/>
    <m/>
    <n v="0"/>
    <m/>
    <m/>
    <n v="0"/>
  </r>
  <r>
    <x v="13"/>
    <s v="Texas Tech University "/>
    <n v="229115"/>
    <x v="0"/>
    <n v="258"/>
    <n v="99345"/>
    <n v="25631010"/>
    <n v="252"/>
    <n v="102130.10714285714"/>
    <n v="25736787"/>
    <n v="316"/>
    <n v="70518"/>
    <n v="22283688"/>
    <n v="347"/>
    <n v="72031.90489913545"/>
    <n v="24995071"/>
    <n v="308"/>
    <n v="61142"/>
    <n v="18831736"/>
    <n v="298"/>
    <n v="62002.322147651008"/>
    <n v="18476692"/>
    <n v="146"/>
    <n v="39158"/>
    <n v="5717068"/>
    <n v="141"/>
    <n v="42012.829787234041"/>
    <n v="5923809"/>
    <m/>
    <m/>
    <n v="0"/>
    <n v="1"/>
    <n v="67000"/>
    <n v="67000"/>
    <m/>
    <m/>
    <n v="0"/>
    <m/>
    <m/>
    <n v="0"/>
    <n v="18"/>
    <n v="143329"/>
    <n v="2110892.1804"/>
    <n v="20"/>
    <n v="132258.04999999999"/>
    <n v="2164270.7302000001"/>
    <n v="7"/>
    <n v="100843"/>
    <n v="577568.19819999998"/>
    <n v="8"/>
    <n v="93566.875"/>
    <n v="612451.33700000006"/>
    <n v="11"/>
    <n v="72969"/>
    <n v="656735.59380000003"/>
    <n v="11"/>
    <n v="87248.363636363632"/>
    <n v="785252.72240000009"/>
    <n v="14"/>
    <n v="58007"/>
    <n v="664458.58360000001"/>
    <n v="21"/>
    <n v="45811.523809523809"/>
    <n v="787142.76439999999"/>
    <m/>
    <m/>
    <n v="0"/>
    <m/>
    <m/>
    <n v="0"/>
    <m/>
    <m/>
    <n v="0"/>
    <m/>
    <m/>
    <n v="0"/>
  </r>
  <r>
    <x v="13"/>
    <s v="University of Houston"/>
    <n v="225511"/>
    <x v="0"/>
    <n v="355"/>
    <n v="111621"/>
    <n v="39625455"/>
    <n v="359"/>
    <n v="117493.91364902507"/>
    <n v="42180315"/>
    <n v="284"/>
    <n v="74244"/>
    <n v="21085296"/>
    <n v="270"/>
    <n v="77499.622222222228"/>
    <n v="20924898"/>
    <n v="165"/>
    <n v="75238"/>
    <n v="12414270"/>
    <n v="188"/>
    <n v="77193.335106382976"/>
    <n v="14512347"/>
    <m/>
    <m/>
    <n v="0"/>
    <m/>
    <m/>
    <n v="0"/>
    <n v="200"/>
    <n v="52760"/>
    <n v="10552000"/>
    <n v="209"/>
    <n v="53459.133971291863"/>
    <n v="11172959"/>
    <m/>
    <m/>
    <n v="0"/>
    <m/>
    <m/>
    <n v="0"/>
    <n v="15"/>
    <n v="136725"/>
    <n v="1678025.925"/>
    <n v="19"/>
    <n v="153799.10526315789"/>
    <n v="2390930.1306000003"/>
    <n v="14"/>
    <n v="95974"/>
    <n v="1099362.9752"/>
    <n v="14"/>
    <n v="102772.42857142857"/>
    <n v="1177237.6148000001"/>
    <n v="8"/>
    <n v="90491"/>
    <n v="592317.88959999999"/>
    <n v="9"/>
    <n v="88667.777777777781"/>
    <n v="652931.78200000001"/>
    <m/>
    <m/>
    <n v="0"/>
    <m/>
    <m/>
    <n v="0"/>
    <n v="48"/>
    <n v="76884"/>
    <n v="3019511.4624000001"/>
    <n v="6"/>
    <n v="87563.833333333328"/>
    <n v="429868.37060000002"/>
    <m/>
    <m/>
    <n v="0"/>
    <m/>
    <m/>
    <n v="0"/>
  </r>
  <r>
    <x v="13"/>
    <s v="University of North Texas"/>
    <n v="227216"/>
    <x v="0"/>
    <n v="230"/>
    <n v="96663"/>
    <n v="22232490"/>
    <n v="225"/>
    <n v="102394.36444444445"/>
    <n v="23038732"/>
    <n v="237"/>
    <n v="73995"/>
    <n v="17536815"/>
    <n v="252"/>
    <n v="78386.960317460311"/>
    <n v="19753514"/>
    <n v="220"/>
    <n v="62262"/>
    <n v="13697640"/>
    <n v="219"/>
    <n v="65758.251141552508"/>
    <n v="14401057"/>
    <n v="1"/>
    <n v="54632"/>
    <n v="54632"/>
    <n v="1"/>
    <n v="56763"/>
    <n v="56763"/>
    <n v="146"/>
    <n v="45241"/>
    <n v="6605186"/>
    <n v="154"/>
    <n v="48087.85064935065"/>
    <n v="7405529"/>
    <m/>
    <m/>
    <n v="0"/>
    <m/>
    <m/>
    <n v="0"/>
    <n v="18"/>
    <n v="138996"/>
    <n v="2047077.4896000002"/>
    <n v="25"/>
    <n v="145182.64000000001"/>
    <n v="2969710.9012000007"/>
    <n v="19"/>
    <n v="101708"/>
    <n v="1581132.2264"/>
    <n v="22"/>
    <n v="103457.59090909091"/>
    <n v="1862278.0194000001"/>
    <m/>
    <m/>
    <n v="0"/>
    <m/>
    <m/>
    <n v="0"/>
    <m/>
    <m/>
    <n v="0"/>
    <m/>
    <m/>
    <n v="0"/>
    <m/>
    <m/>
    <n v="0"/>
    <m/>
    <m/>
    <n v="0"/>
    <m/>
    <m/>
    <n v="0"/>
    <m/>
    <m/>
    <n v="0"/>
  </r>
  <r>
    <x v="13"/>
    <s v="University of Texas at Arlington"/>
    <n v="228769"/>
    <x v="0"/>
    <n v="180"/>
    <n v="98160"/>
    <n v="17668800"/>
    <n v="180"/>
    <n v="102184.36666666667"/>
    <n v="18393186"/>
    <n v="174"/>
    <n v="72220"/>
    <n v="12566280"/>
    <n v="182"/>
    <n v="76071.912087912089"/>
    <n v="13845088"/>
    <n v="210"/>
    <n v="69582"/>
    <n v="14612220"/>
    <n v="217"/>
    <n v="70587.66820276498"/>
    <n v="15317524"/>
    <m/>
    <m/>
    <n v="0"/>
    <m/>
    <m/>
    <n v="0"/>
    <n v="248"/>
    <n v="45677"/>
    <n v="11327896"/>
    <n v="246"/>
    <n v="47114.739837398374"/>
    <n v="11590226"/>
    <m/>
    <m/>
    <n v="0"/>
    <m/>
    <m/>
    <n v="0"/>
    <m/>
    <m/>
    <n v="0"/>
    <m/>
    <m/>
    <n v="0"/>
    <m/>
    <m/>
    <n v="0"/>
    <m/>
    <m/>
    <n v="0"/>
    <m/>
    <m/>
    <n v="0"/>
    <m/>
    <m/>
    <n v="0"/>
    <m/>
    <m/>
    <n v="0"/>
    <m/>
    <m/>
    <n v="0"/>
    <m/>
    <m/>
    <n v="0"/>
    <m/>
    <m/>
    <n v="0"/>
    <m/>
    <m/>
    <n v="0"/>
    <m/>
    <m/>
    <n v="0"/>
  </r>
  <r>
    <x v="13"/>
    <s v="University of Texas at Austin"/>
    <n v="228778"/>
    <x v="0"/>
    <n v="976"/>
    <n v="126018"/>
    <n v="122993568"/>
    <n v="968"/>
    <n v="132253.36157024794"/>
    <n v="128021254.00000001"/>
    <n v="453"/>
    <n v="81269"/>
    <n v="36814857"/>
    <n v="487"/>
    <n v="85325.540041067768"/>
    <n v="41553538"/>
    <n v="455"/>
    <n v="77574"/>
    <n v="35296170"/>
    <n v="456"/>
    <n v="81800.037280701756"/>
    <n v="37300817"/>
    <n v="3"/>
    <n v="75667"/>
    <n v="227001"/>
    <n v="2"/>
    <n v="65000"/>
    <n v="130000"/>
    <n v="561"/>
    <n v="54355"/>
    <n v="30493155"/>
    <n v="596"/>
    <n v="57048.172818791943"/>
    <n v="34000711"/>
    <m/>
    <m/>
    <n v="0"/>
    <m/>
    <m/>
    <n v="0"/>
    <m/>
    <m/>
    <n v="0"/>
    <m/>
    <m/>
    <n v="0"/>
    <m/>
    <m/>
    <n v="0"/>
    <m/>
    <m/>
    <n v="0"/>
    <m/>
    <m/>
    <n v="0"/>
    <m/>
    <m/>
    <n v="0"/>
    <m/>
    <m/>
    <n v="0"/>
    <m/>
    <m/>
    <n v="0"/>
    <m/>
    <m/>
    <n v="0"/>
    <m/>
    <m/>
    <n v="0"/>
    <m/>
    <m/>
    <n v="0"/>
    <m/>
    <m/>
    <n v="0"/>
  </r>
  <r>
    <x v="13"/>
    <s v="University of Texas at Dallas"/>
    <n v="228787"/>
    <x v="0"/>
    <n v="168"/>
    <n v="123079"/>
    <n v="20677272"/>
    <n v="146"/>
    <n v="126705.47945205479"/>
    <n v="18499000"/>
    <n v="108"/>
    <n v="96421"/>
    <n v="10413468"/>
    <n v="91"/>
    <n v="94473.252747252744"/>
    <n v="8597066"/>
    <n v="95"/>
    <n v="88366"/>
    <n v="8394770"/>
    <n v="94"/>
    <n v="90486.819148936163"/>
    <n v="8505761"/>
    <m/>
    <m/>
    <n v="0"/>
    <m/>
    <m/>
    <n v="0"/>
    <n v="101"/>
    <n v="54743"/>
    <n v="5529043"/>
    <n v="122"/>
    <n v="59983.467213114753"/>
    <n v="7317983"/>
    <m/>
    <m/>
    <n v="0"/>
    <m/>
    <m/>
    <n v="0"/>
    <m/>
    <m/>
    <n v="0"/>
    <n v="14"/>
    <n v="132510.57142857142"/>
    <n v="1517882.0936"/>
    <m/>
    <m/>
    <n v="0"/>
    <n v="8"/>
    <n v="88015.375"/>
    <n v="576113.43859999999"/>
    <m/>
    <m/>
    <n v="0"/>
    <n v="3"/>
    <n v="78850"/>
    <n v="193545.21000000002"/>
    <m/>
    <m/>
    <n v="0"/>
    <m/>
    <m/>
    <n v="0"/>
    <m/>
    <m/>
    <n v="0"/>
    <n v="2"/>
    <n v="60577.482500000006"/>
    <n v="99128.992363000012"/>
    <m/>
    <m/>
    <n v="0"/>
    <m/>
    <m/>
    <n v="0"/>
  </r>
  <r>
    <x v="13"/>
    <s v="Texas Woman's University"/>
    <n v="229179"/>
    <x v="1"/>
    <n v="73"/>
    <n v="85568"/>
    <n v="6246464"/>
    <n v="64"/>
    <n v="84222.421875"/>
    <n v="5390235"/>
    <n v="92"/>
    <n v="66559"/>
    <n v="6123428"/>
    <n v="87"/>
    <n v="69454.3908045977"/>
    <n v="6042532"/>
    <n v="134"/>
    <n v="55722"/>
    <n v="7466748"/>
    <n v="120"/>
    <n v="58105.033333333333"/>
    <n v="6972604"/>
    <n v="9"/>
    <n v="49302"/>
    <n v="443718"/>
    <n v="10"/>
    <n v="50562.9"/>
    <n v="505629"/>
    <n v="96"/>
    <n v="50712"/>
    <n v="4868352"/>
    <n v="146"/>
    <n v="53447.760273972606"/>
    <n v="7803373.0000000009"/>
    <m/>
    <m/>
    <n v="0"/>
    <m/>
    <m/>
    <n v="0"/>
    <m/>
    <m/>
    <n v="0"/>
    <m/>
    <m/>
    <n v="0"/>
    <m/>
    <m/>
    <n v="0"/>
    <m/>
    <m/>
    <n v="0"/>
    <m/>
    <m/>
    <n v="0"/>
    <m/>
    <m/>
    <n v="0"/>
    <m/>
    <m/>
    <n v="0"/>
    <m/>
    <m/>
    <n v="0"/>
    <m/>
    <m/>
    <n v="0"/>
    <m/>
    <m/>
    <n v="0"/>
    <m/>
    <m/>
    <n v="0"/>
    <m/>
    <m/>
    <n v="0"/>
  </r>
  <r>
    <x v="13"/>
    <s v="University of Texas at El Paso"/>
    <n v="228796"/>
    <x v="1"/>
    <n v="140"/>
    <n v="89498"/>
    <n v="12529720"/>
    <n v="145"/>
    <n v="91276.358620689658"/>
    <n v="13235072"/>
    <n v="160"/>
    <n v="67270"/>
    <n v="10763200"/>
    <n v="167"/>
    <n v="69603.365269461079"/>
    <n v="11623762"/>
    <n v="153"/>
    <n v="61477"/>
    <n v="9405981"/>
    <n v="152"/>
    <n v="63661.07894736842"/>
    <n v="9676484"/>
    <m/>
    <m/>
    <n v="0"/>
    <m/>
    <m/>
    <n v="0"/>
    <n v="179"/>
    <n v="40748"/>
    <n v="7293892"/>
    <n v="190"/>
    <n v="43818.473684210527"/>
    <n v="8325510"/>
    <m/>
    <m/>
    <n v="0"/>
    <m/>
    <m/>
    <n v="0"/>
    <m/>
    <m/>
    <n v="0"/>
    <m/>
    <m/>
    <n v="0"/>
    <m/>
    <m/>
    <n v="0"/>
    <m/>
    <m/>
    <n v="0"/>
    <m/>
    <m/>
    <n v="0"/>
    <m/>
    <m/>
    <n v="0"/>
    <m/>
    <m/>
    <n v="0"/>
    <m/>
    <m/>
    <n v="0"/>
    <m/>
    <m/>
    <n v="0"/>
    <m/>
    <m/>
    <n v="0"/>
    <m/>
    <m/>
    <n v="0"/>
    <m/>
    <m/>
    <n v="0"/>
  </r>
  <r>
    <x v="13"/>
    <s v="Angelo State University"/>
    <n v="222831"/>
    <x v="2"/>
    <n v="55"/>
    <n v="71620"/>
    <n v="3939100"/>
    <n v="50"/>
    <n v="72718.179999999993"/>
    <n v="3635908.9999999995"/>
    <n v="56"/>
    <n v="60191"/>
    <n v="3370696"/>
    <n v="64"/>
    <n v="62076.828125"/>
    <n v="3972917"/>
    <n v="51"/>
    <n v="52641"/>
    <n v="2684691"/>
    <n v="57"/>
    <n v="54003.719298245611"/>
    <n v="3078212"/>
    <n v="13"/>
    <n v="38945"/>
    <n v="506285"/>
    <n v="15"/>
    <n v="42348.333333333336"/>
    <n v="635225"/>
    <n v="40"/>
    <n v="38057"/>
    <n v="1522280"/>
    <n v="36"/>
    <n v="37198.277777777781"/>
    <n v="1339138"/>
    <m/>
    <m/>
    <n v="0"/>
    <m/>
    <m/>
    <n v="0"/>
    <n v="7"/>
    <n v="112569"/>
    <n v="644727.69059999997"/>
    <n v="4"/>
    <n v="107168.5"/>
    <n v="350741.06680000003"/>
    <n v="1"/>
    <n v="71153"/>
    <n v="58217.384600000005"/>
    <n v="4"/>
    <n v="84744.75"/>
    <n v="277352.61780000001"/>
    <n v="3"/>
    <n v="68901"/>
    <n v="169124.3946"/>
    <n v="3"/>
    <n v="72370.333333333328"/>
    <n v="177640.22020000001"/>
    <m/>
    <m/>
    <n v="0"/>
    <n v="1"/>
    <n v="43039"/>
    <n v="35214.5098"/>
    <n v="4"/>
    <n v="67411"/>
    <n v="220622.72080000001"/>
    <n v="6"/>
    <n v="54553.757733333339"/>
    <n v="267815.30746448005"/>
    <m/>
    <m/>
    <n v="0"/>
    <m/>
    <m/>
    <n v="0"/>
  </r>
  <r>
    <x v="13"/>
    <s v="Lamar University"/>
    <n v="226091"/>
    <x v="2"/>
    <n v="95"/>
    <n v="82366"/>
    <n v="7824770"/>
    <n v="93"/>
    <n v="86760.204301075268"/>
    <n v="8068699"/>
    <n v="70"/>
    <n v="66773"/>
    <n v="4674110"/>
    <n v="86"/>
    <n v="69388.441860465115"/>
    <n v="5967406"/>
    <n v="109"/>
    <n v="55844"/>
    <n v="6086996"/>
    <n v="103"/>
    <n v="60020.446601941745"/>
    <n v="6182106"/>
    <n v="49"/>
    <n v="42609"/>
    <n v="2087841"/>
    <n v="93"/>
    <n v="40186.645161290326"/>
    <n v="3737358.0000000005"/>
    <n v="33"/>
    <n v="30920"/>
    <n v="1020360"/>
    <n v="4"/>
    <n v="34057"/>
    <n v="136228"/>
    <m/>
    <m/>
    <n v="0"/>
    <m/>
    <m/>
    <n v="0"/>
    <n v="1"/>
    <n v="116940"/>
    <n v="95680.308000000005"/>
    <m/>
    <m/>
    <n v="0"/>
    <n v="2"/>
    <n v="71520"/>
    <n v="117035.32800000001"/>
    <n v="1"/>
    <n v="115008"/>
    <n v="94099.545599999998"/>
    <n v="9"/>
    <n v="62287"/>
    <n v="458669.01060000004"/>
    <m/>
    <m/>
    <n v="0"/>
    <n v="4"/>
    <n v="45942"/>
    <n v="150358.97760000001"/>
    <m/>
    <m/>
    <n v="0"/>
    <n v="1"/>
    <n v="26992"/>
    <n v="22084.8544"/>
    <m/>
    <m/>
    <n v="0"/>
    <m/>
    <m/>
    <n v="0"/>
    <m/>
    <m/>
    <n v="0"/>
  </r>
  <r>
    <x v="13"/>
    <s v="Midwestern State University"/>
    <n v="226833"/>
    <x v="2"/>
    <n v="47"/>
    <n v="75493"/>
    <n v="3548171"/>
    <n v="47"/>
    <n v="78327.574468085106"/>
    <n v="3681396"/>
    <n v="56"/>
    <n v="62906"/>
    <n v="3522736"/>
    <n v="53"/>
    <n v="64006.188679245286"/>
    <n v="3392328"/>
    <n v="79"/>
    <n v="54138"/>
    <n v="4276902"/>
    <n v="82"/>
    <n v="56350.329268292684"/>
    <n v="4620727"/>
    <n v="31"/>
    <n v="42378"/>
    <n v="1313718"/>
    <n v="30"/>
    <n v="42928.366666666669"/>
    <n v="1287851"/>
    <m/>
    <m/>
    <n v="0"/>
    <m/>
    <m/>
    <n v="0"/>
    <m/>
    <m/>
    <n v="0"/>
    <m/>
    <m/>
    <n v="0"/>
    <m/>
    <m/>
    <n v="0"/>
    <m/>
    <m/>
    <n v="0"/>
    <m/>
    <m/>
    <n v="0"/>
    <m/>
    <m/>
    <n v="0"/>
    <m/>
    <m/>
    <n v="0"/>
    <m/>
    <m/>
    <n v="0"/>
    <m/>
    <m/>
    <n v="0"/>
    <m/>
    <m/>
    <n v="0"/>
    <m/>
    <m/>
    <n v="0"/>
    <m/>
    <m/>
    <n v="0"/>
    <m/>
    <m/>
    <n v="0"/>
    <m/>
    <m/>
    <n v="0"/>
  </r>
  <r>
    <x v="13"/>
    <s v="Prairie View A &amp; M University"/>
    <n v="227526"/>
    <x v="2"/>
    <n v="40"/>
    <n v="77172"/>
    <n v="3086880"/>
    <n v="41"/>
    <n v="80840.243902439019"/>
    <n v="3314450"/>
    <n v="54"/>
    <n v="62999"/>
    <n v="3401946"/>
    <n v="59"/>
    <n v="65915.898305084746"/>
    <n v="3889038"/>
    <n v="79"/>
    <n v="57277"/>
    <n v="4524883"/>
    <n v="72"/>
    <n v="59325.75"/>
    <n v="4271454"/>
    <n v="2"/>
    <n v="48406"/>
    <n v="96812"/>
    <n v="2"/>
    <n v="48380"/>
    <n v="96760"/>
    <n v="94"/>
    <n v="50035"/>
    <n v="4703290"/>
    <n v="100"/>
    <n v="51552.03"/>
    <n v="5155203"/>
    <m/>
    <m/>
    <n v="0"/>
    <m/>
    <m/>
    <n v="0"/>
    <n v="15"/>
    <n v="109359"/>
    <n v="1342163.007"/>
    <n v="15"/>
    <n v="83351.8"/>
    <n v="1022976.6414000001"/>
    <n v="19"/>
    <n v="90026"/>
    <n v="1399526.1908"/>
    <n v="21"/>
    <n v="72680.666666666672"/>
    <n v="1248813.7508"/>
    <n v="8"/>
    <n v="74136"/>
    <n v="485264.60159999999"/>
    <n v="5"/>
    <n v="63929.2"/>
    <n v="261534.3572"/>
    <m/>
    <m/>
    <n v="0"/>
    <m/>
    <m/>
    <n v="0"/>
    <n v="22"/>
    <n v="62964"/>
    <n v="1133377.1856"/>
    <n v="25"/>
    <n v="49480.160000000003"/>
    <n v="1012116.6728000001"/>
    <m/>
    <m/>
    <n v="0"/>
    <m/>
    <m/>
    <n v="0"/>
  </r>
  <r>
    <x v="13"/>
    <s v="Sam Houston State University "/>
    <n v="227881"/>
    <x v="2"/>
    <n v="128"/>
    <n v="82014"/>
    <n v="10497792"/>
    <n v="128"/>
    <n v="84783.640625"/>
    <n v="10852306"/>
    <n v="133"/>
    <n v="64683"/>
    <n v="8602839"/>
    <n v="137"/>
    <n v="66275.576642335771"/>
    <n v="9079754"/>
    <n v="181"/>
    <n v="55065"/>
    <n v="9966765"/>
    <n v="184"/>
    <n v="56352.315217391304"/>
    <n v="10368826"/>
    <n v="2"/>
    <n v="49410"/>
    <n v="98820"/>
    <n v="2"/>
    <n v="50571"/>
    <n v="101142"/>
    <n v="54"/>
    <n v="44810"/>
    <n v="2419740"/>
    <n v="46"/>
    <n v="45052.043478260872"/>
    <n v="2072394"/>
    <m/>
    <m/>
    <n v="0"/>
    <m/>
    <m/>
    <n v="0"/>
    <m/>
    <m/>
    <n v="0"/>
    <m/>
    <m/>
    <n v="0"/>
    <m/>
    <m/>
    <n v="0"/>
    <m/>
    <m/>
    <n v="0"/>
    <m/>
    <m/>
    <n v="0"/>
    <m/>
    <m/>
    <n v="0"/>
    <m/>
    <m/>
    <n v="0"/>
    <m/>
    <m/>
    <n v="0"/>
    <m/>
    <m/>
    <n v="0"/>
    <m/>
    <m/>
    <n v="0"/>
    <m/>
    <m/>
    <n v="0"/>
    <m/>
    <m/>
    <n v="0"/>
  </r>
  <r>
    <x v="13"/>
    <s v="Stephen F. Austin State University"/>
    <n v="228431"/>
    <x v="2"/>
    <n v="47"/>
    <n v="73916"/>
    <n v="3474052"/>
    <n v="36"/>
    <n v="78367.611111111109"/>
    <n v="2821234"/>
    <n v="63"/>
    <n v="66957"/>
    <n v="4218291"/>
    <n v="54"/>
    <n v="71717.388888888891"/>
    <n v="3872739"/>
    <n v="66"/>
    <n v="58042"/>
    <n v="3830772"/>
    <n v="57"/>
    <n v="62936.701754385962"/>
    <n v="3587392"/>
    <n v="23"/>
    <n v="51945"/>
    <n v="1194735"/>
    <n v="20"/>
    <n v="58957.9"/>
    <n v="1179158"/>
    <n v="163"/>
    <n v="48637"/>
    <n v="7927831"/>
    <n v="186"/>
    <n v="51086.639784946237"/>
    <n v="9502115"/>
    <m/>
    <m/>
    <n v="0"/>
    <m/>
    <m/>
    <n v="0"/>
    <n v="12"/>
    <n v="99622"/>
    <n v="978128.64480000001"/>
    <n v="12"/>
    <n v="103712.25"/>
    <n v="1018288.3554"/>
    <n v="3"/>
    <n v="102356"/>
    <n v="251243.03760000001"/>
    <n v="3"/>
    <n v="107761.66666666667"/>
    <n v="264511.78700000001"/>
    <n v="3"/>
    <n v="52901"/>
    <n v="129850.79460000001"/>
    <n v="4"/>
    <n v="54924"/>
    <n v="179755.2672"/>
    <n v="5"/>
    <n v="50454"/>
    <n v="206407.31400000001"/>
    <n v="4"/>
    <n v="51341.5"/>
    <n v="168030.46120000002"/>
    <n v="44"/>
    <n v="49581"/>
    <n v="1784955.6648000001"/>
    <n v="56"/>
    <n v="43735.390707142862"/>
    <n v="2003920.6138887203"/>
    <m/>
    <m/>
    <n v="0"/>
    <m/>
    <m/>
    <n v="0"/>
  </r>
  <r>
    <x v="13"/>
    <s v="Sul Ross State University "/>
    <n v="228501"/>
    <x v="2"/>
    <n v="36"/>
    <n v="67654"/>
    <n v="2435544"/>
    <n v="38"/>
    <n v="67881.605263157893"/>
    <n v="2579501"/>
    <n v="31"/>
    <n v="52543"/>
    <n v="1628833"/>
    <n v="29"/>
    <n v="52680.310344827587"/>
    <n v="1527729"/>
    <n v="30"/>
    <n v="46203"/>
    <n v="1386090"/>
    <n v="29"/>
    <n v="47391.551724137928"/>
    <n v="1374355"/>
    <m/>
    <m/>
    <n v="0"/>
    <m/>
    <m/>
    <n v="0"/>
    <n v="19"/>
    <n v="39020"/>
    <n v="741380"/>
    <n v="22"/>
    <n v="43560.909090909088"/>
    <n v="958340"/>
    <m/>
    <m/>
    <n v="0"/>
    <m/>
    <m/>
    <n v="0"/>
    <n v="2"/>
    <n v="96201"/>
    <n v="157423.31640000001"/>
    <n v="5"/>
    <n v="99458.4"/>
    <n v="406884.31440000003"/>
    <m/>
    <m/>
    <n v="0"/>
    <n v="1"/>
    <n v="79479"/>
    <n v="65029.717800000006"/>
    <m/>
    <m/>
    <n v="0"/>
    <m/>
    <m/>
    <n v="0"/>
    <n v="1"/>
    <n v="40902"/>
    <n v="33466.0164"/>
    <n v="2"/>
    <n v="50860"/>
    <n v="83227.304000000004"/>
    <n v="4"/>
    <n v="52830"/>
    <n v="172902.024"/>
    <n v="2"/>
    <n v="55770"/>
    <n v="91262.028000000006"/>
    <m/>
    <m/>
    <n v="0"/>
    <m/>
    <m/>
    <n v="0"/>
  </r>
  <r>
    <x v="13"/>
    <s v="Tarleton State University"/>
    <n v="228529"/>
    <x v="2"/>
    <n v="48"/>
    <n v="75372"/>
    <n v="3617856"/>
    <n v="50"/>
    <n v="78598.14"/>
    <n v="3929907"/>
    <n v="58"/>
    <n v="61538"/>
    <n v="3569204"/>
    <n v="58"/>
    <n v="63569.431034482761"/>
    <n v="3687027"/>
    <n v="94"/>
    <n v="52210"/>
    <n v="4907740"/>
    <n v="103"/>
    <n v="51696.281553398061"/>
    <n v="5324717"/>
    <n v="50"/>
    <n v="39073"/>
    <n v="1953650"/>
    <n v="47"/>
    <n v="42170.808510638301"/>
    <n v="1982028.0000000002"/>
    <n v="4"/>
    <n v="28076"/>
    <n v="112304"/>
    <n v="15"/>
    <n v="34935.333333333336"/>
    <n v="524030.00000000006"/>
    <m/>
    <m/>
    <n v="0"/>
    <m/>
    <m/>
    <n v="0"/>
    <n v="14"/>
    <n v="103783"/>
    <n v="1188813.5084000002"/>
    <n v="15"/>
    <n v="102621.06666666667"/>
    <n v="1259468.3512000002"/>
    <n v="14"/>
    <n v="83848"/>
    <n v="960462.07040000008"/>
    <n v="20"/>
    <n v="93919.35"/>
    <n v="1536896.2434"/>
    <n v="19"/>
    <n v="75107"/>
    <n v="1167598.4006000001"/>
    <n v="31"/>
    <n v="70399.967741935485"/>
    <n v="1785638.8618000001"/>
    <n v="18"/>
    <n v="59455"/>
    <n v="875629.45799999998"/>
    <n v="18"/>
    <n v="66173.722222222219"/>
    <n v="974580.11140000005"/>
    <n v="1"/>
    <n v="56586"/>
    <n v="46298.665200000003"/>
    <n v="2"/>
    <n v="55200"/>
    <n v="90329.279999999999"/>
    <m/>
    <m/>
    <n v="0"/>
    <m/>
    <m/>
    <n v="0"/>
  </r>
  <r>
    <x v="13"/>
    <s v="Texas A &amp; M - Commerce"/>
    <n v="224554"/>
    <x v="2"/>
    <n v="39"/>
    <n v="73448"/>
    <n v="2864472"/>
    <n v="38"/>
    <n v="77726.15789473684"/>
    <n v="2953594"/>
    <n v="39"/>
    <n v="62189"/>
    <n v="2425371"/>
    <n v="43"/>
    <n v="61487"/>
    <n v="2643941"/>
    <n v="109"/>
    <n v="53861"/>
    <n v="5870849"/>
    <n v="127"/>
    <n v="57312.27559055118"/>
    <n v="7278659"/>
    <n v="40"/>
    <n v="45676"/>
    <n v="1827040"/>
    <n v="44"/>
    <n v="46119.931818181816"/>
    <n v="2029277"/>
    <m/>
    <m/>
    <n v="0"/>
    <m/>
    <m/>
    <n v="0"/>
    <m/>
    <m/>
    <n v="0"/>
    <m/>
    <m/>
    <n v="0"/>
    <m/>
    <m/>
    <n v="0"/>
    <m/>
    <m/>
    <n v="0"/>
    <n v="1"/>
    <n v="51301"/>
    <n v="41974.478200000005"/>
    <m/>
    <m/>
    <n v="0"/>
    <m/>
    <m/>
    <n v="0"/>
    <n v="1"/>
    <n v="67000"/>
    <n v="54819.4"/>
    <n v="8"/>
    <n v="57101"/>
    <n v="373760.30560000002"/>
    <n v="14"/>
    <n v="50355.428571428572"/>
    <n v="576811.36320000002"/>
    <m/>
    <m/>
    <n v="0"/>
    <m/>
    <m/>
    <n v="0"/>
    <m/>
    <m/>
    <n v="0"/>
    <m/>
    <m/>
    <n v="0"/>
  </r>
  <r>
    <x v="13"/>
    <s v="Texas A &amp; M University-Corpus Christi "/>
    <n v="224147"/>
    <x v="2"/>
    <n v="92"/>
    <n v="76222"/>
    <n v="7012424"/>
    <n v="97"/>
    <n v="80724.515463917531"/>
    <n v="7830278.0000000009"/>
    <n v="73"/>
    <n v="66875"/>
    <n v="4881875"/>
    <n v="84"/>
    <n v="64127.095238095237"/>
    <n v="5386676"/>
    <n v="72"/>
    <n v="59357"/>
    <n v="4273704"/>
    <n v="70"/>
    <n v="58854.314285714288"/>
    <n v="4119802"/>
    <n v="14"/>
    <n v="34332"/>
    <n v="480648"/>
    <m/>
    <m/>
    <n v="0"/>
    <m/>
    <m/>
    <n v="0"/>
    <m/>
    <m/>
    <n v="0"/>
    <m/>
    <m/>
    <n v="0"/>
    <m/>
    <m/>
    <n v="0"/>
    <m/>
    <m/>
    <n v="0"/>
    <m/>
    <m/>
    <n v="0"/>
    <m/>
    <m/>
    <n v="0"/>
    <m/>
    <m/>
    <n v="0"/>
    <m/>
    <m/>
    <n v="0"/>
    <m/>
    <m/>
    <n v="0"/>
    <m/>
    <m/>
    <n v="0"/>
    <m/>
    <m/>
    <n v="0"/>
    <m/>
    <m/>
    <n v="0"/>
    <m/>
    <m/>
    <n v="0"/>
    <m/>
    <m/>
    <n v="0"/>
    <m/>
    <m/>
    <n v="0"/>
  </r>
  <r>
    <x v="13"/>
    <s v="Texas A &amp; M University-Kingsville"/>
    <n v="228705"/>
    <x v="2"/>
    <n v="68"/>
    <n v="71292"/>
    <n v="4847856"/>
    <n v="65"/>
    <n v="76592.338461538457"/>
    <n v="4978502"/>
    <n v="61"/>
    <n v="62044"/>
    <n v="3784684"/>
    <n v="62"/>
    <n v="63590.93548387097"/>
    <n v="3942638"/>
    <n v="90"/>
    <n v="53476"/>
    <n v="4812840"/>
    <n v="86"/>
    <n v="58097.406976744183"/>
    <n v="4996377"/>
    <m/>
    <m/>
    <n v="0"/>
    <n v="3"/>
    <n v="49277"/>
    <n v="147831"/>
    <n v="50"/>
    <n v="34932"/>
    <n v="1746600"/>
    <n v="50"/>
    <n v="39068"/>
    <n v="1953400"/>
    <m/>
    <m/>
    <n v="0"/>
    <m/>
    <m/>
    <n v="0"/>
    <n v="14"/>
    <n v="96374"/>
    <n v="1103944.8952000001"/>
    <n v="18"/>
    <n v="102638.61111111111"/>
    <n v="1511620.409"/>
    <n v="10"/>
    <n v="86089"/>
    <n v="704380.19799999997"/>
    <n v="10"/>
    <n v="84039.4"/>
    <n v="687610.37080000003"/>
    <n v="7"/>
    <n v="53286"/>
    <n v="305190.23639999999"/>
    <n v="8"/>
    <n v="58335.25"/>
    <n v="381839.21240000002"/>
    <m/>
    <m/>
    <n v="0"/>
    <m/>
    <m/>
    <n v="0"/>
    <m/>
    <m/>
    <n v="0"/>
    <m/>
    <m/>
    <n v="0"/>
    <m/>
    <m/>
    <n v="0"/>
    <m/>
    <m/>
    <n v="0"/>
  </r>
  <r>
    <x v="13"/>
    <s v="Texas Southern University "/>
    <n v="229063"/>
    <x v="2"/>
    <n v="70"/>
    <n v="86287"/>
    <n v="6040090"/>
    <n v="40"/>
    <n v="102726.675"/>
    <n v="4109067"/>
    <n v="76"/>
    <n v="68130"/>
    <n v="5177880"/>
    <n v="55"/>
    <n v="80837.94545454545"/>
    <n v="4446087"/>
    <n v="95"/>
    <n v="58117"/>
    <n v="5521115"/>
    <n v="72"/>
    <n v="68067.833333333328"/>
    <n v="4900884"/>
    <n v="74"/>
    <n v="28450"/>
    <n v="2105300"/>
    <n v="9"/>
    <n v="67602.888888888891"/>
    <n v="608426"/>
    <m/>
    <m/>
    <n v="0"/>
    <n v="148"/>
    <n v="53784.891891891893"/>
    <n v="7960164"/>
    <m/>
    <m/>
    <n v="0"/>
    <m/>
    <m/>
    <n v="0"/>
    <n v="17"/>
    <n v="110008"/>
    <n v="1530145.2752"/>
    <n v="12"/>
    <n v="112924.75"/>
    <n v="1108740.3654"/>
    <n v="10"/>
    <n v="86793"/>
    <n v="710140.326"/>
    <n v="6"/>
    <n v="112167.5"/>
    <n v="550652.69099999999"/>
    <n v="2"/>
    <n v="51352"/>
    <n v="84032.412800000006"/>
    <n v="7"/>
    <n v="96513.71428571429"/>
    <n v="552772.64720000001"/>
    <n v="1"/>
    <n v="54540"/>
    <n v="44624.628000000004"/>
    <n v="1"/>
    <n v="115984"/>
    <n v="94898.108800000002"/>
    <m/>
    <m/>
    <n v="0"/>
    <n v="3"/>
    <n v="79540.666666666672"/>
    <n v="195240.52040000001"/>
    <m/>
    <m/>
    <n v="0"/>
    <m/>
    <m/>
    <n v="0"/>
  </r>
  <r>
    <x v="13"/>
    <s v="Texas State University - San Marcos"/>
    <n v="228459"/>
    <x v="2"/>
    <n v="231"/>
    <n v="82909"/>
    <n v="19151979"/>
    <n v="237"/>
    <n v="85704.033755274257"/>
    <n v="20311856"/>
    <n v="151"/>
    <n v="67767"/>
    <n v="10232817"/>
    <n v="160"/>
    <n v="69742.53125"/>
    <n v="11158805"/>
    <n v="208"/>
    <n v="57406"/>
    <n v="11940448"/>
    <n v="251"/>
    <n v="58966.346613545815"/>
    <n v="14800553"/>
    <n v="5"/>
    <n v="41157"/>
    <n v="205785"/>
    <n v="5"/>
    <n v="39583.800000000003"/>
    <n v="197919"/>
    <n v="243"/>
    <n v="40733"/>
    <n v="9898119"/>
    <n v="245"/>
    <n v="42312.693877551021"/>
    <n v="10366610"/>
    <m/>
    <m/>
    <n v="0"/>
    <m/>
    <m/>
    <n v="0"/>
    <n v="27"/>
    <n v="126153"/>
    <n v="2786896.3842000002"/>
    <n v="32"/>
    <n v="129755.96875"/>
    <n v="3397322.6762000001"/>
    <n v="5"/>
    <n v="102704"/>
    <n v="420162.06400000001"/>
    <n v="4"/>
    <n v="105909.75"/>
    <n v="346621.42980000004"/>
    <m/>
    <m/>
    <n v="0"/>
    <m/>
    <m/>
    <n v="0"/>
    <m/>
    <m/>
    <n v="0"/>
    <m/>
    <m/>
    <n v="0"/>
    <m/>
    <m/>
    <n v="0"/>
    <m/>
    <m/>
    <n v="0"/>
    <m/>
    <m/>
    <n v="0"/>
    <m/>
    <m/>
    <n v="0"/>
  </r>
  <r>
    <x v="13"/>
    <s v="University of Houston-Clear Lake "/>
    <n v="225414"/>
    <x v="2"/>
    <n v="40"/>
    <n v="89236"/>
    <n v="3569440"/>
    <n v="42"/>
    <n v="85551.476190476184"/>
    <n v="3593161.9999999995"/>
    <n v="62"/>
    <n v="68863"/>
    <n v="4269506"/>
    <n v="82"/>
    <n v="66951.768292682929"/>
    <n v="5490045"/>
    <n v="60"/>
    <n v="62497"/>
    <n v="3749820"/>
    <n v="63"/>
    <n v="64753.555555555555"/>
    <n v="4079474"/>
    <n v="2"/>
    <n v="43145"/>
    <n v="86290"/>
    <n v="2"/>
    <n v="43072.5"/>
    <n v="86145"/>
    <n v="34"/>
    <n v="45796"/>
    <n v="1557064"/>
    <n v="27"/>
    <n v="46789.037037037036"/>
    <n v="1263304"/>
    <m/>
    <m/>
    <n v="0"/>
    <m/>
    <m/>
    <n v="0"/>
    <n v="1"/>
    <n v="85279"/>
    <n v="69775.277799999996"/>
    <n v="1"/>
    <n v="85279"/>
    <n v="69775.277799999996"/>
    <m/>
    <m/>
    <n v="0"/>
    <m/>
    <m/>
    <n v="0"/>
    <m/>
    <m/>
    <n v="0"/>
    <m/>
    <m/>
    <n v="0"/>
    <m/>
    <m/>
    <n v="0"/>
    <m/>
    <m/>
    <n v="0"/>
    <n v="3"/>
    <n v="78078"/>
    <n v="191650.25880000001"/>
    <n v="3"/>
    <n v="78078.333333333328"/>
    <n v="191651.07700000002"/>
    <m/>
    <m/>
    <n v="0"/>
    <m/>
    <m/>
    <n v="0"/>
  </r>
  <r>
    <x v="13"/>
    <s v="University of Texas at San Antonio"/>
    <n v="229027"/>
    <x v="2"/>
    <n v="156"/>
    <n v="106990"/>
    <n v="16690440"/>
    <n v="153"/>
    <n v="111776.36601307189"/>
    <n v="17101784"/>
    <n v="180"/>
    <n v="77975"/>
    <n v="14035500"/>
    <n v="180"/>
    <n v="80902.877777777772"/>
    <n v="14562517.999999998"/>
    <n v="177"/>
    <n v="66643"/>
    <n v="11795811"/>
    <n v="173"/>
    <n v="68344.242774566475"/>
    <n v="11823554"/>
    <n v="3"/>
    <n v="47169"/>
    <n v="141507"/>
    <n v="5"/>
    <n v="49561.2"/>
    <n v="247806"/>
    <n v="66"/>
    <n v="43767"/>
    <n v="2888622"/>
    <n v="75"/>
    <n v="51648.946666666663"/>
    <n v="3873670.9999999995"/>
    <m/>
    <m/>
    <n v="0"/>
    <m/>
    <m/>
    <n v="0"/>
    <m/>
    <m/>
    <n v="0"/>
    <m/>
    <m/>
    <n v="0"/>
    <m/>
    <m/>
    <n v="0"/>
    <m/>
    <m/>
    <n v="0"/>
    <m/>
    <m/>
    <n v="0"/>
    <m/>
    <m/>
    <n v="0"/>
    <m/>
    <m/>
    <n v="0"/>
    <m/>
    <m/>
    <n v="0"/>
    <m/>
    <m/>
    <n v="0"/>
    <m/>
    <m/>
    <n v="0"/>
    <m/>
    <m/>
    <n v="0"/>
    <m/>
    <m/>
    <n v="0"/>
  </r>
  <r>
    <x v="13"/>
    <s v="University of Texas at Tyler"/>
    <n v="228802"/>
    <x v="2"/>
    <n v="50"/>
    <n v="76451"/>
    <n v="3822550"/>
    <n v="55"/>
    <n v="81223.854545454538"/>
    <n v="4467312"/>
    <n v="59"/>
    <n v="63252"/>
    <n v="3731868"/>
    <n v="54"/>
    <n v="65373.944444444445"/>
    <n v="3530193"/>
    <n v="60"/>
    <n v="55464"/>
    <n v="3327840"/>
    <n v="69"/>
    <n v="58398"/>
    <n v="4029462"/>
    <n v="45"/>
    <n v="44091"/>
    <n v="1984095"/>
    <n v="41"/>
    <n v="46891.756097560974"/>
    <n v="1922562"/>
    <n v="39"/>
    <n v="43907"/>
    <n v="1712373"/>
    <n v="41"/>
    <n v="49668.439024390245"/>
    <n v="2036406"/>
    <m/>
    <m/>
    <n v="0"/>
    <m/>
    <m/>
    <n v="0"/>
    <m/>
    <m/>
    <n v="0"/>
    <m/>
    <m/>
    <n v="0"/>
    <m/>
    <m/>
    <n v="0"/>
    <m/>
    <m/>
    <n v="0"/>
    <m/>
    <m/>
    <n v="0"/>
    <m/>
    <m/>
    <n v="0"/>
    <m/>
    <m/>
    <n v="0"/>
    <m/>
    <m/>
    <n v="0"/>
    <m/>
    <m/>
    <n v="0"/>
    <m/>
    <m/>
    <n v="0"/>
    <m/>
    <m/>
    <n v="0"/>
    <m/>
    <m/>
    <n v="0"/>
  </r>
  <r>
    <x v="13"/>
    <s v="University of Texas-Pan American"/>
    <n v="227368"/>
    <x v="2"/>
    <n v="99"/>
    <n v="82278"/>
    <n v="8145522"/>
    <n v="107"/>
    <n v="83328"/>
    <n v="8916096"/>
    <n v="148"/>
    <n v="68734"/>
    <n v="10172632"/>
    <n v="148"/>
    <n v="68926"/>
    <n v="10201048"/>
    <n v="191"/>
    <n v="55898"/>
    <n v="10676518"/>
    <n v="204"/>
    <n v="58019"/>
    <n v="11835876"/>
    <m/>
    <m/>
    <n v="0"/>
    <m/>
    <m/>
    <n v="0"/>
    <n v="181"/>
    <n v="42641"/>
    <n v="7718021"/>
    <n v="188"/>
    <n v="47146.106382978724"/>
    <n v="8863468"/>
    <m/>
    <m/>
    <n v="0"/>
    <m/>
    <m/>
    <n v="0"/>
    <n v="1"/>
    <n v="97725"/>
    <n v="79958.595000000001"/>
    <n v="1"/>
    <n v="101634"/>
    <n v="83156.938800000004"/>
    <n v="2"/>
    <n v="88249"/>
    <n v="144410.6636"/>
    <n v="2"/>
    <n v="82819"/>
    <n v="135525.0116"/>
    <n v="10"/>
    <n v="75998"/>
    <n v="621815.63600000006"/>
    <n v="5"/>
    <n v="79737"/>
    <n v="326204.06700000004"/>
    <m/>
    <m/>
    <n v="0"/>
    <n v="0"/>
    <m/>
    <n v="0"/>
    <n v="1"/>
    <n v="38000"/>
    <n v="31091.600000000002"/>
    <n v="6"/>
    <n v="67433.453033333339"/>
    <n v="331044.30763123999"/>
    <m/>
    <m/>
    <n v="0"/>
    <m/>
    <m/>
    <n v="0"/>
  </r>
  <r>
    <x v="13"/>
    <s v="West Texas A &amp; M University"/>
    <n v="229814"/>
    <x v="2"/>
    <n v="35"/>
    <n v="69859"/>
    <n v="2445065"/>
    <n v="27"/>
    <n v="72275.111111111109"/>
    <n v="1951428"/>
    <n v="44"/>
    <n v="59436"/>
    <n v="2615184"/>
    <n v="45"/>
    <n v="61884.977777777778"/>
    <n v="2784824"/>
    <n v="70"/>
    <n v="52653"/>
    <n v="3685710"/>
    <n v="80"/>
    <n v="55213.574999999997"/>
    <n v="4417086"/>
    <n v="61"/>
    <n v="44332"/>
    <n v="2704252"/>
    <n v="68"/>
    <n v="42999.647058823532"/>
    <n v="2923976"/>
    <m/>
    <m/>
    <n v="0"/>
    <m/>
    <m/>
    <n v="0"/>
    <m/>
    <m/>
    <n v="0"/>
    <m/>
    <m/>
    <n v="0"/>
    <n v="12"/>
    <n v="97750"/>
    <n v="959748.60000000009"/>
    <n v="12"/>
    <n v="104185.83333333333"/>
    <n v="1022938.1860000001"/>
    <n v="10"/>
    <n v="90045"/>
    <n v="736748.19000000006"/>
    <n v="10"/>
    <n v="83211.600000000006"/>
    <n v="680837.3112"/>
    <n v="1"/>
    <n v="90117"/>
    <n v="73733.729399999997"/>
    <n v="3"/>
    <n v="85316.666666666672"/>
    <n v="209418.29"/>
    <n v="3"/>
    <n v="60075"/>
    <n v="147460.095"/>
    <n v="5"/>
    <n v="65234.400000000001"/>
    <n v="266873.93040000001"/>
    <m/>
    <m/>
    <n v="0"/>
    <m/>
    <m/>
    <n v="0"/>
    <m/>
    <m/>
    <n v="0"/>
    <m/>
    <m/>
    <n v="0"/>
  </r>
  <r>
    <x v="13"/>
    <s v="Texas A &amp; M -Texarkana"/>
    <n v="224545"/>
    <x v="3"/>
    <n v="19"/>
    <n v="75226"/>
    <n v="1429294"/>
    <n v="19"/>
    <n v="78474.105263157893"/>
    <n v="1491008"/>
    <n v="12"/>
    <n v="58240"/>
    <n v="698880"/>
    <n v="12"/>
    <n v="59344.25"/>
    <n v="712131"/>
    <n v="17"/>
    <n v="57120"/>
    <n v="971040"/>
    <n v="20"/>
    <n v="61953.2"/>
    <n v="1239064"/>
    <n v="2"/>
    <n v="46718"/>
    <n v="93436"/>
    <n v="5"/>
    <n v="50040"/>
    <n v="250200"/>
    <n v="4"/>
    <n v="46762"/>
    <n v="187048"/>
    <m/>
    <m/>
    <n v="0"/>
    <m/>
    <m/>
    <n v="0"/>
    <m/>
    <m/>
    <n v="0"/>
    <n v="6"/>
    <n v="126071"/>
    <n v="618907.75320000004"/>
    <n v="7"/>
    <n v="140490.85714285713"/>
    <n v="804647.33519999997"/>
    <m/>
    <m/>
    <n v="0"/>
    <n v="1"/>
    <n v="86436"/>
    <n v="70721.935200000007"/>
    <m/>
    <m/>
    <n v="0"/>
    <n v="1"/>
    <n v="85180"/>
    <n v="69694.275999999998"/>
    <m/>
    <m/>
    <n v="0"/>
    <m/>
    <m/>
    <n v="0"/>
    <n v="2"/>
    <n v="124169"/>
    <n v="203190.15160000001"/>
    <m/>
    <m/>
    <n v="0"/>
    <m/>
    <m/>
    <n v="0"/>
    <m/>
    <m/>
    <n v="0"/>
  </r>
  <r>
    <x v="13"/>
    <s v="Texas A&amp;M International University"/>
    <n v="226152"/>
    <x v="3"/>
    <n v="13"/>
    <n v="77954"/>
    <n v="1013402"/>
    <n v="15"/>
    <n v="81600.733333333337"/>
    <n v="1224011"/>
    <n v="46"/>
    <n v="63682"/>
    <n v="2929372"/>
    <n v="43"/>
    <n v="65470.651162790695"/>
    <n v="2815238"/>
    <n v="73"/>
    <n v="56023"/>
    <n v="4089679"/>
    <n v="74"/>
    <n v="59268.25675675676"/>
    <n v="4385851"/>
    <n v="17"/>
    <n v="41411"/>
    <n v="703987"/>
    <n v="25"/>
    <n v="38812.68"/>
    <n v="970317"/>
    <n v="3"/>
    <n v="30866"/>
    <n v="92598"/>
    <m/>
    <m/>
    <n v="0"/>
    <m/>
    <m/>
    <n v="0"/>
    <m/>
    <m/>
    <n v="0"/>
    <n v="5"/>
    <n v="121340"/>
    <n v="496401.94"/>
    <n v="7"/>
    <n v="124360"/>
    <n v="712259.46400000004"/>
    <n v="8"/>
    <n v="87781"/>
    <n v="574579.31359999999"/>
    <n v="7"/>
    <n v="87527.142857142855"/>
    <n v="501302.95800000004"/>
    <n v="8"/>
    <n v="83238"/>
    <n v="544842.65280000004"/>
    <n v="8"/>
    <n v="86478.125"/>
    <n v="566051.21500000008"/>
    <n v="1"/>
    <n v="48592"/>
    <n v="39757.974399999999"/>
    <n v="1"/>
    <n v="49647"/>
    <n v="40621.1754"/>
    <m/>
    <m/>
    <n v="0"/>
    <n v="1"/>
    <n v="37833.567999999999"/>
    <n v="30955.425337600002"/>
    <m/>
    <m/>
    <n v="0"/>
    <m/>
    <m/>
    <n v="0"/>
  </r>
  <r>
    <x v="13"/>
    <s v="University of Texas at Brownsville"/>
    <n v="227377"/>
    <x v="3"/>
    <n v="35"/>
    <n v="72095"/>
    <n v="2523325"/>
    <n v="40"/>
    <n v="76061.25"/>
    <n v="3042450"/>
    <n v="92"/>
    <n v="61986"/>
    <n v="5702712"/>
    <n v="90"/>
    <n v="64896.588888888888"/>
    <n v="5840693"/>
    <n v="101"/>
    <n v="55010"/>
    <n v="5556010"/>
    <n v="98"/>
    <n v="55962.581632653062"/>
    <n v="5484333"/>
    <n v="51"/>
    <n v="53447"/>
    <n v="2725797"/>
    <n v="56"/>
    <n v="54486.696428571428"/>
    <n v="3051255"/>
    <n v="55"/>
    <n v="41872"/>
    <n v="2302960"/>
    <n v="63"/>
    <n v="44348.603174603173"/>
    <n v="2793962"/>
    <m/>
    <m/>
    <n v="0"/>
    <m/>
    <m/>
    <n v="0"/>
    <n v="1"/>
    <n v="126723"/>
    <n v="103684.7586"/>
    <n v="2"/>
    <n v="133262.5"/>
    <n v="218070.755"/>
    <n v="4"/>
    <n v="76858"/>
    <n v="251540.86240000001"/>
    <n v="4"/>
    <n v="81212.75"/>
    <n v="265793.0882"/>
    <n v="3"/>
    <n v="55517"/>
    <n v="136272.0282"/>
    <n v="2"/>
    <n v="65238.5"/>
    <n v="106756.28140000001"/>
    <n v="23"/>
    <n v="59836"/>
    <n v="1126029.7496"/>
    <n v="24"/>
    <n v="62714.875"/>
    <n v="1231519.4574"/>
    <n v="11"/>
    <n v="49417"/>
    <n v="444762.88340000005"/>
    <n v="12"/>
    <n v="37666.996116666669"/>
    <n v="369829.63467187999"/>
    <m/>
    <m/>
    <n v="0"/>
    <m/>
    <m/>
    <n v="0"/>
  </r>
  <r>
    <x v="13"/>
    <s v="University of Texas of the Permian Basin"/>
    <n v="229018"/>
    <x v="3"/>
    <n v="18"/>
    <n v="76924"/>
    <n v="1384632"/>
    <n v="18"/>
    <n v="79658.5"/>
    <n v="1433853"/>
    <n v="32"/>
    <n v="64418"/>
    <n v="2061376"/>
    <n v="31"/>
    <n v="66414.483870967742"/>
    <n v="2058849"/>
    <n v="40"/>
    <n v="55621"/>
    <n v="2224840"/>
    <n v="38"/>
    <n v="57156.526315789473"/>
    <n v="2171948"/>
    <m/>
    <m/>
    <n v="0"/>
    <m/>
    <m/>
    <n v="0"/>
    <n v="27"/>
    <n v="42424"/>
    <n v="1145448"/>
    <n v="29"/>
    <n v="44245.172413793101"/>
    <n v="1283110"/>
    <m/>
    <m/>
    <n v="0"/>
    <m/>
    <m/>
    <n v="0"/>
    <m/>
    <m/>
    <n v="0"/>
    <m/>
    <m/>
    <n v="0"/>
    <m/>
    <m/>
    <n v="0"/>
    <m/>
    <m/>
    <n v="0"/>
    <m/>
    <m/>
    <n v="0"/>
    <m/>
    <m/>
    <n v="0"/>
    <m/>
    <m/>
    <n v="0"/>
    <m/>
    <m/>
    <n v="0"/>
    <m/>
    <m/>
    <n v="0"/>
    <m/>
    <m/>
    <n v="0"/>
    <m/>
    <m/>
    <n v="0"/>
    <m/>
    <m/>
    <n v="0"/>
  </r>
  <r>
    <x v="13"/>
    <s v="Sul Ross State University-Rio Grande College"/>
    <n v="227924"/>
    <x v="4"/>
    <m/>
    <m/>
    <n v="0"/>
    <m/>
    <m/>
    <n v="0"/>
    <m/>
    <m/>
    <n v="0"/>
    <m/>
    <m/>
    <n v="0"/>
    <m/>
    <m/>
    <n v="0"/>
    <m/>
    <m/>
    <n v="0"/>
    <m/>
    <m/>
    <n v="0"/>
    <m/>
    <m/>
    <n v="0"/>
    <m/>
    <m/>
    <n v="0"/>
    <m/>
    <m/>
    <n v="0"/>
    <m/>
    <m/>
    <n v="0"/>
    <m/>
    <m/>
    <n v="0"/>
    <m/>
    <m/>
    <n v="0"/>
    <m/>
    <m/>
    <n v="0"/>
    <m/>
    <m/>
    <n v="0"/>
    <m/>
    <m/>
    <n v="0"/>
    <m/>
    <m/>
    <n v="0"/>
    <m/>
    <m/>
    <n v="0"/>
    <m/>
    <m/>
    <n v="0"/>
    <m/>
    <m/>
    <n v="0"/>
    <m/>
    <m/>
    <n v="0"/>
    <m/>
    <m/>
    <n v="0"/>
    <m/>
    <m/>
    <n v="0"/>
    <m/>
    <m/>
    <n v="0"/>
  </r>
  <r>
    <x v="13"/>
    <s v="University of Houston-Downtown"/>
    <n v="225432"/>
    <x v="4"/>
    <n v="34"/>
    <n v="81464"/>
    <n v="2769776"/>
    <n v="41"/>
    <n v="84728.682926829264"/>
    <n v="3473876"/>
    <n v="74"/>
    <n v="65213"/>
    <n v="4825762"/>
    <n v="83"/>
    <n v="67934.313253012049"/>
    <n v="5638548"/>
    <n v="92"/>
    <n v="54302"/>
    <n v="4995784"/>
    <n v="88"/>
    <n v="56622.625"/>
    <n v="4982791"/>
    <n v="9"/>
    <n v="47360"/>
    <n v="426240"/>
    <n v="3"/>
    <n v="58056.333333333336"/>
    <n v="174169"/>
    <n v="58"/>
    <n v="43999"/>
    <n v="2551942"/>
    <n v="52"/>
    <n v="44969.211538461539"/>
    <n v="2338399"/>
    <m/>
    <m/>
    <n v="0"/>
    <m/>
    <m/>
    <n v="0"/>
    <n v="4"/>
    <n v="105720"/>
    <n v="346000.41600000003"/>
    <n v="4"/>
    <n v="105959.25"/>
    <n v="346783.43340000004"/>
    <n v="7"/>
    <n v="89014"/>
    <n v="509818.78360000002"/>
    <n v="7"/>
    <n v="93037.571428571435"/>
    <n v="532863.38659999997"/>
    <m/>
    <m/>
    <n v="0"/>
    <m/>
    <m/>
    <n v="0"/>
    <m/>
    <m/>
    <n v="0"/>
    <m/>
    <m/>
    <n v="0"/>
    <n v="3"/>
    <n v="52227"/>
    <n v="128196.39420000001"/>
    <n v="3"/>
    <n v="54496.333333333336"/>
    <n v="133766.6998"/>
    <m/>
    <m/>
    <n v="0"/>
    <m/>
    <m/>
    <n v="0"/>
  </r>
  <r>
    <x v="13"/>
    <s v="University of Houston-Victoria"/>
    <n v="225502"/>
    <x v="4"/>
    <n v="16"/>
    <n v="84500"/>
    <n v="1352000"/>
    <n v="17"/>
    <n v="86953.176470588238"/>
    <n v="1478204"/>
    <n v="26"/>
    <n v="71856"/>
    <n v="1868256"/>
    <n v="26"/>
    <n v="73849.423076923078"/>
    <n v="1920085"/>
    <n v="30"/>
    <n v="63489"/>
    <n v="1904670"/>
    <n v="35"/>
    <n v="64533.885714285716"/>
    <n v="2258686"/>
    <n v="1"/>
    <n v="33000"/>
    <n v="33000"/>
    <n v="3"/>
    <n v="38900"/>
    <n v="116700"/>
    <n v="4"/>
    <n v="66500"/>
    <n v="266000"/>
    <n v="3"/>
    <n v="53047"/>
    <n v="159141"/>
    <m/>
    <m/>
    <n v="0"/>
    <m/>
    <m/>
    <n v="0"/>
    <n v="2"/>
    <n v="129916"/>
    <n v="212594.54240000001"/>
    <n v="2"/>
    <n v="121952.5"/>
    <n v="199563.071"/>
    <n v="2"/>
    <n v="125867"/>
    <n v="205968.75880000001"/>
    <n v="2"/>
    <n v="123472"/>
    <n v="202049.5808"/>
    <m/>
    <m/>
    <n v="0"/>
    <m/>
    <m/>
    <n v="0"/>
    <m/>
    <m/>
    <n v="0"/>
    <m/>
    <m/>
    <n v="0"/>
    <m/>
    <m/>
    <n v="0"/>
    <m/>
    <m/>
    <n v="0"/>
    <m/>
    <m/>
    <n v="0"/>
    <m/>
    <m/>
    <n v="0"/>
  </r>
  <r>
    <x v="13"/>
    <s v="Texas A &amp; M University at Galveston"/>
    <n v="228714"/>
    <x v="5"/>
    <n v="16"/>
    <n v="87073"/>
    <n v="1393168"/>
    <n v="16"/>
    <n v="87199.25"/>
    <n v="1395188"/>
    <n v="15"/>
    <n v="62395"/>
    <n v="935925"/>
    <n v="15"/>
    <n v="62401.466666666667"/>
    <n v="936022"/>
    <n v="12"/>
    <n v="56533"/>
    <n v="678396"/>
    <n v="13"/>
    <n v="57889.769230769234"/>
    <n v="752567"/>
    <m/>
    <m/>
    <n v="0"/>
    <m/>
    <m/>
    <n v="0"/>
    <n v="26"/>
    <n v="45104"/>
    <n v="1172704"/>
    <n v="26"/>
    <n v="45010.961538461539"/>
    <n v="1170285"/>
    <m/>
    <m/>
    <n v="0"/>
    <m/>
    <m/>
    <n v="0"/>
    <n v="7"/>
    <n v="131434"/>
    <n v="752775.09160000004"/>
    <n v="7"/>
    <n v="131433.85714285713"/>
    <n v="752774.27339999995"/>
    <m/>
    <m/>
    <n v="0"/>
    <m/>
    <m/>
    <n v="0"/>
    <m/>
    <m/>
    <n v="0"/>
    <m/>
    <m/>
    <n v="0"/>
    <m/>
    <m/>
    <n v="0"/>
    <m/>
    <m/>
    <n v="0"/>
    <n v="13"/>
    <n v="59517"/>
    <n v="633058.52220000001"/>
    <n v="16"/>
    <n v="56708.4375"/>
    <n v="742381.49700000009"/>
    <m/>
    <m/>
    <n v="0"/>
    <m/>
    <m/>
    <n v="0"/>
  </r>
  <r>
    <x v="13"/>
    <s v="Amarillo College "/>
    <n v="222576"/>
    <x v="6"/>
    <n v="30"/>
    <n v="59058"/>
    <n v="1771740"/>
    <n v="32"/>
    <n v="59551.9375"/>
    <n v="1905662"/>
    <n v="24"/>
    <n v="52985"/>
    <n v="1271640"/>
    <n v="22"/>
    <n v="52809.181818181816"/>
    <n v="1161802"/>
    <n v="26"/>
    <n v="49180"/>
    <n v="1278680"/>
    <n v="20"/>
    <n v="50108.5"/>
    <n v="1002170"/>
    <n v="101"/>
    <n v="42774"/>
    <n v="4320174"/>
    <n v="106"/>
    <n v="43670.990566037734"/>
    <n v="4629125"/>
    <m/>
    <m/>
    <n v="0"/>
    <m/>
    <m/>
    <n v="0"/>
    <m/>
    <m/>
    <n v="0"/>
    <m/>
    <m/>
    <n v="0"/>
    <n v="10"/>
    <n v="72371"/>
    <n v="592139.522"/>
    <n v="7"/>
    <n v="75222.571428571435"/>
    <n v="430829.75560000003"/>
    <n v="4"/>
    <n v="62427"/>
    <n v="204311.08560000002"/>
    <n v="6"/>
    <n v="62338"/>
    <n v="306029.7096"/>
    <n v="7"/>
    <n v="66293"/>
    <n v="379686.5282"/>
    <n v="11"/>
    <n v="63925.36363636364"/>
    <n v="575341.05780000007"/>
    <n v="23"/>
    <n v="56000"/>
    <n v="1053841.6000000001"/>
    <n v="24"/>
    <n v="55585.375"/>
    <n v="1091518.8918000001"/>
    <m/>
    <m/>
    <n v="0"/>
    <m/>
    <m/>
    <n v="0"/>
    <m/>
    <m/>
    <n v="0"/>
    <m/>
    <m/>
    <n v="0"/>
  </r>
  <r>
    <x v="13"/>
    <s v="Austin Community College "/>
    <n v="222992"/>
    <x v="6"/>
    <n v="32"/>
    <n v="65509"/>
    <n v="2096288"/>
    <n v="35"/>
    <n v="67985.114285714284"/>
    <n v="2379479"/>
    <n v="21"/>
    <n v="52385"/>
    <n v="1100085"/>
    <n v="18"/>
    <n v="58573"/>
    <n v="1054314"/>
    <n v="8"/>
    <n v="44084"/>
    <n v="352672"/>
    <n v="7"/>
    <n v="44220.142857142855"/>
    <n v="309541"/>
    <m/>
    <m/>
    <n v="0"/>
    <m/>
    <m/>
    <n v="0"/>
    <m/>
    <m/>
    <n v="0"/>
    <m/>
    <m/>
    <n v="0"/>
    <m/>
    <m/>
    <n v="0"/>
    <m/>
    <m/>
    <n v="0"/>
    <n v="273"/>
    <n v="80977"/>
    <n v="18087719.122200001"/>
    <n v="286"/>
    <n v="83626.6013986014"/>
    <n v="19569059.5856"/>
    <n v="116"/>
    <n v="62219"/>
    <n v="5905279.9528000001"/>
    <n v="129"/>
    <n v="63541.038759689924"/>
    <n v="6706616.8508000001"/>
    <n v="49"/>
    <n v="53725"/>
    <n v="2153931.9550000001"/>
    <n v="55"/>
    <n v="54096.290909090909"/>
    <n v="2434387.1872"/>
    <m/>
    <m/>
    <n v="0"/>
    <m/>
    <m/>
    <n v="0"/>
    <m/>
    <m/>
    <n v="0"/>
    <m/>
    <m/>
    <n v="0"/>
    <m/>
    <m/>
    <n v="0"/>
    <m/>
    <m/>
    <n v="0"/>
  </r>
  <r>
    <x v="13"/>
    <s v="Blinn College "/>
    <n v="223427"/>
    <x v="6"/>
    <m/>
    <m/>
    <n v="0"/>
    <m/>
    <m/>
    <n v="0"/>
    <m/>
    <m/>
    <n v="0"/>
    <m/>
    <m/>
    <n v="0"/>
    <m/>
    <m/>
    <n v="0"/>
    <m/>
    <m/>
    <n v="0"/>
    <m/>
    <m/>
    <n v="0"/>
    <m/>
    <m/>
    <n v="0"/>
    <m/>
    <m/>
    <n v="0"/>
    <m/>
    <m/>
    <n v="0"/>
    <n v="267"/>
    <n v="44628"/>
    <n v="11915676"/>
    <n v="256"/>
    <n v="49130.71484375"/>
    <n v="12577463"/>
    <m/>
    <m/>
    <n v="0"/>
    <m/>
    <m/>
    <n v="0"/>
    <m/>
    <m/>
    <n v="0"/>
    <m/>
    <m/>
    <n v="0"/>
    <m/>
    <m/>
    <n v="0"/>
    <m/>
    <m/>
    <n v="0"/>
    <m/>
    <m/>
    <n v="0"/>
    <m/>
    <m/>
    <n v="0"/>
    <m/>
    <m/>
    <n v="0"/>
    <m/>
    <m/>
    <n v="0"/>
    <n v="27"/>
    <n v="47504"/>
    <n v="1049429.8656000001"/>
    <n v="47"/>
    <n v="46201.063829787236"/>
    <n v="1776680.3900000001"/>
  </r>
  <r>
    <x v="13"/>
    <s v="Brookhaven College  (DCCCD)"/>
    <n v="223524"/>
    <x v="6"/>
    <m/>
    <m/>
    <n v="0"/>
    <m/>
    <m/>
    <n v="0"/>
    <m/>
    <m/>
    <n v="0"/>
    <m/>
    <m/>
    <n v="0"/>
    <m/>
    <m/>
    <n v="0"/>
    <m/>
    <m/>
    <n v="0"/>
    <m/>
    <m/>
    <n v="0"/>
    <m/>
    <m/>
    <n v="0"/>
    <m/>
    <m/>
    <n v="0"/>
    <m/>
    <m/>
    <n v="0"/>
    <n v="121"/>
    <n v="59408"/>
    <n v="7188368"/>
    <n v="125"/>
    <n v="58907.392"/>
    <n v="7363424"/>
    <m/>
    <m/>
    <n v="0"/>
    <m/>
    <m/>
    <n v="0"/>
    <m/>
    <m/>
    <n v="0"/>
    <m/>
    <m/>
    <n v="0"/>
    <m/>
    <m/>
    <n v="0"/>
    <m/>
    <m/>
    <n v="0"/>
    <m/>
    <m/>
    <n v="0"/>
    <m/>
    <m/>
    <n v="0"/>
    <m/>
    <m/>
    <n v="0"/>
    <m/>
    <m/>
    <n v="0"/>
    <m/>
    <m/>
    <n v="0"/>
    <m/>
    <m/>
    <n v="0"/>
  </r>
  <r>
    <x v="13"/>
    <s v="Central Texas College "/>
    <n v="223816"/>
    <x v="6"/>
    <n v="85"/>
    <n v="56563"/>
    <n v="4807855"/>
    <n v="82"/>
    <n v="60734.939024390245"/>
    <n v="4980265"/>
    <m/>
    <m/>
    <n v="0"/>
    <m/>
    <m/>
    <n v="0"/>
    <m/>
    <m/>
    <n v="0"/>
    <m/>
    <m/>
    <n v="0"/>
    <m/>
    <m/>
    <n v="0"/>
    <m/>
    <m/>
    <n v="0"/>
    <m/>
    <m/>
    <n v="0"/>
    <m/>
    <m/>
    <n v="0"/>
    <m/>
    <m/>
    <n v="0"/>
    <m/>
    <m/>
    <n v="0"/>
    <n v="70"/>
    <n v="66797"/>
    <n v="3825731.378"/>
    <n v="77"/>
    <n v="69312.857142857145"/>
    <n v="4366807.0380000006"/>
    <m/>
    <m/>
    <n v="0"/>
    <m/>
    <m/>
    <n v="0"/>
    <m/>
    <m/>
    <n v="0"/>
    <m/>
    <m/>
    <n v="0"/>
    <n v="117"/>
    <n v="37341"/>
    <n v="3574631.5254000002"/>
    <n v="93"/>
    <n v="35454.440860215051"/>
    <n v="2697820.5865999996"/>
    <m/>
    <m/>
    <n v="0"/>
    <m/>
    <m/>
    <n v="0"/>
    <m/>
    <m/>
    <n v="0"/>
    <m/>
    <m/>
    <n v="0"/>
  </r>
  <r>
    <x v="13"/>
    <s v="Collin County Community College District"/>
    <n v="247834"/>
    <x v="6"/>
    <m/>
    <m/>
    <n v="0"/>
    <m/>
    <m/>
    <n v="0"/>
    <m/>
    <m/>
    <n v="0"/>
    <m/>
    <m/>
    <n v="0"/>
    <m/>
    <m/>
    <n v="0"/>
    <m/>
    <m/>
    <n v="0"/>
    <m/>
    <m/>
    <n v="0"/>
    <m/>
    <m/>
    <n v="0"/>
    <m/>
    <m/>
    <n v="0"/>
    <m/>
    <m/>
    <n v="0"/>
    <n v="274"/>
    <n v="58881"/>
    <n v="16133394"/>
    <n v="291"/>
    <n v="53613.182130584195"/>
    <n v="15601436"/>
    <m/>
    <m/>
    <n v="0"/>
    <m/>
    <m/>
    <n v="0"/>
    <m/>
    <m/>
    <n v="0"/>
    <m/>
    <m/>
    <n v="0"/>
    <m/>
    <m/>
    <n v="0"/>
    <m/>
    <m/>
    <n v="0"/>
    <m/>
    <m/>
    <n v="0"/>
    <m/>
    <m/>
    <n v="0"/>
    <m/>
    <m/>
    <n v="0"/>
    <m/>
    <m/>
    <n v="0"/>
    <m/>
    <m/>
    <n v="0"/>
    <n v="2"/>
    <n v="51553"/>
    <n v="84361.329200000007"/>
  </r>
  <r>
    <x v="13"/>
    <s v="Del Mar College "/>
    <n v="224350"/>
    <x v="6"/>
    <n v="93"/>
    <n v="65734"/>
    <n v="6113262"/>
    <n v="80"/>
    <n v="67576.625"/>
    <n v="5406130"/>
    <n v="31"/>
    <n v="56365"/>
    <n v="1747315"/>
    <n v="33"/>
    <n v="58219.727272727272"/>
    <n v="1921251"/>
    <n v="72"/>
    <n v="49279"/>
    <n v="3548088"/>
    <n v="77"/>
    <n v="52470.727272727272"/>
    <n v="4040246"/>
    <n v="70"/>
    <n v="43174"/>
    <n v="3022180"/>
    <n v="59"/>
    <n v="45027.949152542373"/>
    <n v="2656649"/>
    <m/>
    <m/>
    <n v="0"/>
    <m/>
    <m/>
    <n v="0"/>
    <m/>
    <m/>
    <n v="0"/>
    <n v="47"/>
    <n v="45832.255319148935"/>
    <n v="2154116"/>
    <n v="2"/>
    <n v="85304"/>
    <n v="139591.4656"/>
    <n v="4"/>
    <n v="90399"/>
    <n v="295857.84720000002"/>
    <n v="1"/>
    <n v="75996"/>
    <n v="62179.927200000006"/>
    <m/>
    <m/>
    <n v="0"/>
    <m/>
    <m/>
    <n v="0"/>
    <m/>
    <m/>
    <n v="0"/>
    <n v="1"/>
    <n v="41191"/>
    <n v="33702.476200000005"/>
    <m/>
    <m/>
    <n v="0"/>
    <m/>
    <m/>
    <n v="0"/>
    <m/>
    <m/>
    <n v="0"/>
    <m/>
    <m/>
    <n v="0"/>
    <m/>
    <m/>
    <n v="0"/>
  </r>
  <r>
    <x v="13"/>
    <s v="Eastfield College  (DCCCD)"/>
    <n v="224572"/>
    <x v="6"/>
    <m/>
    <m/>
    <n v="0"/>
    <m/>
    <m/>
    <n v="0"/>
    <m/>
    <m/>
    <n v="0"/>
    <m/>
    <m/>
    <n v="0"/>
    <m/>
    <m/>
    <n v="0"/>
    <m/>
    <m/>
    <n v="0"/>
    <m/>
    <m/>
    <n v="0"/>
    <m/>
    <m/>
    <n v="0"/>
    <m/>
    <m/>
    <n v="0"/>
    <m/>
    <m/>
    <n v="0"/>
    <n v="107"/>
    <n v="58197"/>
    <n v="6227079"/>
    <n v="104"/>
    <n v="60837.528846153844"/>
    <n v="6327103"/>
    <m/>
    <m/>
    <n v="0"/>
    <m/>
    <m/>
    <n v="0"/>
    <m/>
    <m/>
    <n v="0"/>
    <m/>
    <m/>
    <n v="0"/>
    <m/>
    <m/>
    <n v="0"/>
    <m/>
    <m/>
    <n v="0"/>
    <m/>
    <m/>
    <n v="0"/>
    <m/>
    <m/>
    <n v="0"/>
    <m/>
    <m/>
    <n v="0"/>
    <m/>
    <m/>
    <n v="0"/>
    <m/>
    <m/>
    <n v="0"/>
    <m/>
    <m/>
    <n v="0"/>
  </r>
  <r>
    <x v="13"/>
    <s v="El Paso County Community College District"/>
    <n v="224642"/>
    <x v="6"/>
    <n v="168"/>
    <n v="59495"/>
    <n v="9995160"/>
    <n v="162"/>
    <n v="61503.395061728392"/>
    <n v="9963550"/>
    <n v="73"/>
    <n v="45229"/>
    <n v="3301717"/>
    <n v="74"/>
    <n v="45938.445945945947"/>
    <n v="3399445"/>
    <n v="96"/>
    <n v="40781"/>
    <n v="3914976"/>
    <n v="95"/>
    <n v="42673.905263157896"/>
    <n v="4054021"/>
    <n v="1"/>
    <n v="42332"/>
    <n v="42332"/>
    <n v="23"/>
    <n v="47837.739130434784"/>
    <n v="1100268"/>
    <n v="35"/>
    <n v="31844"/>
    <n v="1114540"/>
    <n v="31"/>
    <n v="37489.741935483871"/>
    <n v="1162182"/>
    <m/>
    <m/>
    <n v="0"/>
    <n v="9"/>
    <n v="26232.555555555555"/>
    <n v="236093"/>
    <m/>
    <m/>
    <n v="0"/>
    <m/>
    <m/>
    <n v="0"/>
    <m/>
    <m/>
    <n v="0"/>
    <m/>
    <m/>
    <n v="0"/>
    <m/>
    <m/>
    <n v="0"/>
    <m/>
    <m/>
    <n v="0"/>
    <n v="24"/>
    <n v="47499"/>
    <n v="932728.36320000002"/>
    <m/>
    <m/>
    <n v="0"/>
    <m/>
    <m/>
    <n v="0"/>
    <m/>
    <m/>
    <n v="0"/>
    <m/>
    <m/>
    <n v="0"/>
    <m/>
    <m/>
    <n v="0"/>
  </r>
  <r>
    <x v="13"/>
    <s v="Houston Community College"/>
    <n v="225423"/>
    <x v="6"/>
    <m/>
    <m/>
    <n v="0"/>
    <m/>
    <m/>
    <n v="0"/>
    <m/>
    <m/>
    <n v="0"/>
    <m/>
    <m/>
    <n v="0"/>
    <m/>
    <m/>
    <n v="0"/>
    <m/>
    <m/>
    <n v="0"/>
    <n v="530"/>
    <n v="49171"/>
    <n v="26060630"/>
    <n v="526"/>
    <n v="51903.44866920152"/>
    <n v="27301214"/>
    <m/>
    <m/>
    <n v="0"/>
    <m/>
    <m/>
    <n v="0"/>
    <m/>
    <m/>
    <n v="0"/>
    <m/>
    <m/>
    <n v="0"/>
    <m/>
    <m/>
    <n v="0"/>
    <m/>
    <m/>
    <n v="0"/>
    <m/>
    <m/>
    <n v="0"/>
    <m/>
    <m/>
    <n v="0"/>
    <m/>
    <m/>
    <n v="0"/>
    <m/>
    <m/>
    <n v="0"/>
    <n v="291"/>
    <n v="66781"/>
    <n v="15900302.3322"/>
    <n v="303"/>
    <n v="69043.240924092403"/>
    <n v="17116827.4564"/>
    <m/>
    <m/>
    <n v="0"/>
    <m/>
    <m/>
    <n v="0"/>
    <m/>
    <m/>
    <n v="0"/>
    <m/>
    <m/>
    <n v="0"/>
  </r>
  <r>
    <x v="13"/>
    <s v="Laredo Community College "/>
    <n v="226134"/>
    <x v="6"/>
    <m/>
    <m/>
    <n v="0"/>
    <m/>
    <m/>
    <n v="0"/>
    <m/>
    <m/>
    <n v="0"/>
    <m/>
    <m/>
    <n v="0"/>
    <m/>
    <m/>
    <n v="0"/>
    <m/>
    <m/>
    <n v="0"/>
    <n v="179"/>
    <n v="52796"/>
    <n v="9450484"/>
    <n v="177"/>
    <n v="54470.91525423729"/>
    <n v="9641352"/>
    <m/>
    <m/>
    <n v="0"/>
    <m/>
    <m/>
    <n v="0"/>
    <m/>
    <m/>
    <n v="0"/>
    <m/>
    <m/>
    <n v="0"/>
    <m/>
    <m/>
    <n v="0"/>
    <m/>
    <m/>
    <n v="0"/>
    <m/>
    <m/>
    <n v="0"/>
    <m/>
    <m/>
    <n v="0"/>
    <m/>
    <m/>
    <n v="0"/>
    <m/>
    <m/>
    <n v="0"/>
    <n v="14"/>
    <n v="66195"/>
    <n v="758250.48600000003"/>
    <n v="15"/>
    <n v="67580.2"/>
    <n v="829411.79460000002"/>
    <m/>
    <m/>
    <n v="0"/>
    <m/>
    <m/>
    <n v="0"/>
    <m/>
    <m/>
    <n v="0"/>
    <m/>
    <m/>
    <n v="0"/>
  </r>
  <r>
    <x v="13"/>
    <s v="McLennan Community College "/>
    <n v="226578"/>
    <x v="6"/>
    <m/>
    <m/>
    <n v="0"/>
    <m/>
    <m/>
    <n v="0"/>
    <m/>
    <m/>
    <n v="0"/>
    <m/>
    <m/>
    <n v="0"/>
    <m/>
    <m/>
    <n v="0"/>
    <m/>
    <m/>
    <n v="0"/>
    <m/>
    <m/>
    <n v="0"/>
    <m/>
    <m/>
    <n v="0"/>
    <m/>
    <m/>
    <n v="0"/>
    <m/>
    <m/>
    <n v="0"/>
    <n v="167"/>
    <n v="55750"/>
    <n v="9310250"/>
    <n v="172"/>
    <n v="58105.25"/>
    <n v="9994103"/>
    <m/>
    <m/>
    <n v="0"/>
    <m/>
    <m/>
    <n v="0"/>
    <m/>
    <m/>
    <n v="0"/>
    <m/>
    <m/>
    <n v="0"/>
    <m/>
    <m/>
    <n v="0"/>
    <m/>
    <m/>
    <n v="0"/>
    <m/>
    <m/>
    <n v="0"/>
    <m/>
    <m/>
    <n v="0"/>
    <m/>
    <m/>
    <n v="0"/>
    <m/>
    <m/>
    <n v="0"/>
    <n v="16"/>
    <n v="51968"/>
    <n v="680323.48160000006"/>
    <n v="18"/>
    <n v="55742.888888888891"/>
    <n v="820958.97039999999"/>
  </r>
  <r>
    <x v="13"/>
    <s v="Navarro College "/>
    <n v="227146"/>
    <x v="6"/>
    <m/>
    <m/>
    <n v="0"/>
    <n v="40"/>
    <n v="53963.3"/>
    <n v="2158532"/>
    <m/>
    <m/>
    <n v="0"/>
    <n v="34"/>
    <n v="48796.176470588238"/>
    <n v="1659070"/>
    <m/>
    <m/>
    <n v="0"/>
    <n v="3"/>
    <n v="46548"/>
    <n v="139644"/>
    <n v="83"/>
    <n v="50285"/>
    <n v="4173655"/>
    <m/>
    <m/>
    <n v="0"/>
    <m/>
    <m/>
    <n v="0"/>
    <m/>
    <m/>
    <n v="0"/>
    <m/>
    <m/>
    <n v="0"/>
    <m/>
    <m/>
    <n v="0"/>
    <m/>
    <m/>
    <n v="0"/>
    <n v="3"/>
    <n v="48561.666666666664"/>
    <n v="119199.467"/>
    <m/>
    <m/>
    <n v="0"/>
    <n v="21"/>
    <n v="68385.142857142855"/>
    <n v="1175007.2016"/>
    <m/>
    <m/>
    <n v="0"/>
    <n v="12"/>
    <n v="59901.666666666664"/>
    <n v="588138.52399999998"/>
    <n v="29"/>
    <n v="55211"/>
    <n v="1310035.5658"/>
    <m/>
    <m/>
    <n v="0"/>
    <m/>
    <m/>
    <n v="0"/>
    <m/>
    <m/>
    <n v="0"/>
    <m/>
    <m/>
    <n v="0"/>
    <m/>
    <m/>
    <n v="0"/>
  </r>
  <r>
    <x v="13"/>
    <s v="North Harris Montgomery Community College District"/>
    <n v="227182"/>
    <x v="6"/>
    <n v="429"/>
    <n v="65966"/>
    <n v="28299414"/>
    <n v="450"/>
    <n v="67570.451111111106"/>
    <n v="30406702.999999996"/>
    <n v="114"/>
    <n v="50639"/>
    <n v="5772846"/>
    <n v="114"/>
    <n v="53397.324561403511"/>
    <n v="6087295"/>
    <n v="31"/>
    <n v="45676"/>
    <n v="1415956"/>
    <n v="27"/>
    <n v="50585.703703703701"/>
    <n v="1365814"/>
    <m/>
    <m/>
    <n v="0"/>
    <n v="4"/>
    <n v="30660"/>
    <n v="122640"/>
    <m/>
    <m/>
    <n v="0"/>
    <m/>
    <m/>
    <n v="0"/>
    <m/>
    <m/>
    <n v="0"/>
    <m/>
    <m/>
    <n v="0"/>
    <n v="29"/>
    <n v="73878"/>
    <n v="1752962.4084000001"/>
    <n v="33"/>
    <n v="72692.818181818177"/>
    <n v="1962749.7066000002"/>
    <n v="16"/>
    <n v="55238"/>
    <n v="723131.70559999999"/>
    <n v="18"/>
    <n v="58728.111111111109"/>
    <n v="864924.12920000008"/>
    <n v="6"/>
    <n v="50324"/>
    <n v="247050.58080000003"/>
    <n v="14"/>
    <n v="57442.928571428572"/>
    <n v="657997.25820000004"/>
    <m/>
    <m/>
    <n v="0"/>
    <m/>
    <m/>
    <n v="0"/>
    <m/>
    <m/>
    <n v="0"/>
    <m/>
    <m/>
    <n v="0"/>
    <m/>
    <m/>
    <n v="0"/>
    <m/>
    <m/>
    <n v="0"/>
  </r>
  <r>
    <x v="13"/>
    <s v="North Lake College  (DCCCD)"/>
    <n v="227191"/>
    <x v="6"/>
    <m/>
    <m/>
    <n v="0"/>
    <m/>
    <m/>
    <n v="0"/>
    <m/>
    <m/>
    <n v="0"/>
    <m/>
    <m/>
    <n v="0"/>
    <m/>
    <m/>
    <n v="0"/>
    <m/>
    <m/>
    <n v="0"/>
    <m/>
    <m/>
    <n v="0"/>
    <m/>
    <m/>
    <n v="0"/>
    <m/>
    <m/>
    <n v="0"/>
    <m/>
    <m/>
    <n v="0"/>
    <n v="93"/>
    <n v="57248"/>
    <n v="5324064"/>
    <n v="103"/>
    <n v="58378.2427184466"/>
    <n v="6012959"/>
    <m/>
    <m/>
    <n v="0"/>
    <m/>
    <m/>
    <n v="0"/>
    <m/>
    <m/>
    <n v="0"/>
    <m/>
    <m/>
    <n v="0"/>
    <m/>
    <m/>
    <n v="0"/>
    <m/>
    <m/>
    <n v="0"/>
    <m/>
    <m/>
    <n v="0"/>
    <m/>
    <m/>
    <n v="0"/>
    <m/>
    <m/>
    <n v="0"/>
    <m/>
    <m/>
    <n v="0"/>
    <m/>
    <m/>
    <n v="0"/>
    <m/>
    <m/>
    <n v="0"/>
  </r>
  <r>
    <x v="13"/>
    <s v="Northwest Vista College (ACCD)"/>
    <n v="420398"/>
    <x v="6"/>
    <n v="1"/>
    <n v="76707"/>
    <n v="76707"/>
    <n v="1"/>
    <n v="79776"/>
    <n v="79776"/>
    <n v="7"/>
    <n v="54383"/>
    <n v="380681"/>
    <n v="11"/>
    <n v="72011.363636363632"/>
    <n v="792125"/>
    <n v="27"/>
    <n v="49680"/>
    <n v="1341360"/>
    <n v="32"/>
    <n v="67174.96875"/>
    <n v="2149599"/>
    <n v="74"/>
    <n v="42857"/>
    <n v="3171418"/>
    <n v="75"/>
    <n v="58052.653333333335"/>
    <n v="4353949"/>
    <m/>
    <m/>
    <n v="0"/>
    <n v="1"/>
    <n v="84968"/>
    <n v="84968"/>
    <m/>
    <m/>
    <n v="0"/>
    <m/>
    <m/>
    <n v="0"/>
    <m/>
    <m/>
    <n v="0"/>
    <m/>
    <m/>
    <n v="0"/>
    <m/>
    <m/>
    <n v="0"/>
    <m/>
    <m/>
    <n v="0"/>
    <n v="1"/>
    <n v="66888"/>
    <n v="54727.761600000005"/>
    <n v="1"/>
    <n v="80782"/>
    <n v="66095.832399999999"/>
    <n v="3"/>
    <n v="61552"/>
    <n v="151085.5392"/>
    <n v="3"/>
    <n v="76234"/>
    <n v="187123.97640000001"/>
    <n v="3"/>
    <n v="18735"/>
    <n v="45986.931000000004"/>
    <n v="101"/>
    <n v="22798.79207920792"/>
    <n v="1884051.1396000001"/>
    <m/>
    <m/>
    <n v="0"/>
    <m/>
    <m/>
    <n v="0"/>
  </r>
  <r>
    <x v="13"/>
    <s v="Palo Alto College (ACCD)"/>
    <n v="246354"/>
    <x v="6"/>
    <n v="21"/>
    <n v="65769"/>
    <n v="1381149"/>
    <n v="22"/>
    <n v="75663.272727272721"/>
    <n v="1664591.9999999998"/>
    <n v="14"/>
    <n v="60395"/>
    <n v="845530"/>
    <n v="15"/>
    <n v="75118.133333333331"/>
    <n v="1126772"/>
    <n v="37"/>
    <n v="54278"/>
    <n v="2008286"/>
    <n v="39"/>
    <n v="66852.564102564109"/>
    <n v="2607250.0000000005"/>
    <n v="51"/>
    <n v="43799"/>
    <n v="2233749"/>
    <n v="49"/>
    <n v="55385.510204081635"/>
    <n v="2713890"/>
    <m/>
    <m/>
    <n v="0"/>
    <n v="2"/>
    <n v="37518.5"/>
    <n v="75037"/>
    <m/>
    <m/>
    <n v="0"/>
    <n v="1"/>
    <n v="25908"/>
    <n v="25908"/>
    <m/>
    <m/>
    <n v="0"/>
    <m/>
    <m/>
    <n v="0"/>
    <m/>
    <m/>
    <n v="0"/>
    <m/>
    <m/>
    <n v="0"/>
    <m/>
    <m/>
    <n v="0"/>
    <m/>
    <m/>
    <n v="0"/>
    <n v="1"/>
    <n v="38970"/>
    <n v="31885.254000000001"/>
    <n v="1"/>
    <n v="54983"/>
    <n v="44987.090600000003"/>
    <n v="1"/>
    <n v="32410"/>
    <n v="26517.862000000001"/>
    <n v="21"/>
    <n v="21982.619047619046"/>
    <n v="377709.75699999998"/>
    <m/>
    <m/>
    <n v="0"/>
    <n v="1"/>
    <n v="32924"/>
    <n v="26938.416800000003"/>
  </r>
  <r>
    <x v="13"/>
    <s v="Richland College  (DCCCD)"/>
    <n v="227766"/>
    <x v="6"/>
    <m/>
    <m/>
    <n v="0"/>
    <m/>
    <m/>
    <n v="0"/>
    <m/>
    <m/>
    <n v="0"/>
    <m/>
    <m/>
    <n v="0"/>
    <m/>
    <m/>
    <n v="0"/>
    <m/>
    <m/>
    <n v="0"/>
    <m/>
    <m/>
    <n v="0"/>
    <m/>
    <m/>
    <n v="0"/>
    <m/>
    <m/>
    <n v="0"/>
    <m/>
    <m/>
    <n v="0"/>
    <n v="140"/>
    <n v="63011"/>
    <n v="8821540"/>
    <n v="146"/>
    <n v="64835.095890410958"/>
    <n v="9465924"/>
    <m/>
    <m/>
    <n v="0"/>
    <m/>
    <m/>
    <n v="0"/>
    <m/>
    <m/>
    <n v="0"/>
    <m/>
    <m/>
    <n v="0"/>
    <m/>
    <m/>
    <n v="0"/>
    <m/>
    <m/>
    <n v="0"/>
    <m/>
    <m/>
    <n v="0"/>
    <m/>
    <m/>
    <n v="0"/>
    <m/>
    <m/>
    <n v="0"/>
    <m/>
    <m/>
    <n v="0"/>
    <m/>
    <m/>
    <n v="0"/>
    <m/>
    <m/>
    <n v="0"/>
  </r>
  <r>
    <x v="13"/>
    <s v="San Antonio College (ACCD)"/>
    <n v="227924"/>
    <x v="6"/>
    <n v="134"/>
    <n v="71679"/>
    <n v="9604986"/>
    <n v="266"/>
    <n v="77969.12781954887"/>
    <n v="20739788"/>
    <n v="75"/>
    <n v="60724"/>
    <n v="4554300"/>
    <n v="148"/>
    <n v="72445.972972972973"/>
    <n v="10722004"/>
    <n v="72"/>
    <n v="54920"/>
    <n v="3954240"/>
    <n v="156"/>
    <n v="63969.256410256414"/>
    <n v="9979204"/>
    <n v="112"/>
    <n v="47384"/>
    <n v="5307008"/>
    <n v="214"/>
    <n v="55097.345794392524"/>
    <n v="11790832"/>
    <m/>
    <m/>
    <n v="0"/>
    <n v="2"/>
    <n v="27455"/>
    <n v="54910"/>
    <m/>
    <m/>
    <n v="0"/>
    <m/>
    <m/>
    <n v="0"/>
    <m/>
    <m/>
    <n v="0"/>
    <m/>
    <m/>
    <n v="0"/>
    <m/>
    <m/>
    <n v="0"/>
    <m/>
    <m/>
    <n v="0"/>
    <n v="1"/>
    <n v="57546"/>
    <n v="47084.137200000005"/>
    <n v="2"/>
    <n v="69418"/>
    <n v="113595.6152"/>
    <n v="1"/>
    <n v="52204"/>
    <n v="42713.3128"/>
    <n v="4"/>
    <n v="82138"/>
    <n v="268821.2464"/>
    <n v="3"/>
    <n v="21304"/>
    <n v="52292.7984"/>
    <n v="60"/>
    <n v="23606.933333333334"/>
    <n v="1158911.5712000001"/>
    <m/>
    <m/>
    <n v="0"/>
    <m/>
    <m/>
    <n v="0"/>
  </r>
  <r>
    <x v="13"/>
    <s v="San Jacinto College (SJCDS)"/>
    <n v="227979"/>
    <x v="6"/>
    <m/>
    <m/>
    <n v="0"/>
    <m/>
    <m/>
    <n v="0"/>
    <m/>
    <m/>
    <n v="0"/>
    <m/>
    <m/>
    <n v="0"/>
    <m/>
    <m/>
    <n v="0"/>
    <m/>
    <m/>
    <n v="0"/>
    <m/>
    <m/>
    <n v="0"/>
    <m/>
    <m/>
    <n v="0"/>
    <m/>
    <m/>
    <n v="0"/>
    <m/>
    <m/>
    <n v="0"/>
    <n v="344"/>
    <n v="49862"/>
    <n v="17152528"/>
    <n v="336"/>
    <n v="57083.127976190473"/>
    <n v="19179931"/>
    <m/>
    <m/>
    <n v="0"/>
    <m/>
    <m/>
    <n v="0"/>
    <m/>
    <m/>
    <n v="0"/>
    <m/>
    <m/>
    <n v="0"/>
    <m/>
    <m/>
    <n v="0"/>
    <m/>
    <m/>
    <n v="0"/>
    <m/>
    <m/>
    <n v="0"/>
    <m/>
    <m/>
    <n v="0"/>
    <m/>
    <m/>
    <n v="0"/>
    <m/>
    <m/>
    <n v="0"/>
    <n v="69"/>
    <n v="62845"/>
    <n v="3547964.7510000002"/>
    <n v="78"/>
    <n v="72805.346153846156"/>
    <n v="4646408.0694000004"/>
  </r>
  <r>
    <x v="13"/>
    <s v="South Plains College "/>
    <n v="228158"/>
    <x v="6"/>
    <n v="39"/>
    <n v="55292"/>
    <n v="2156388"/>
    <n v="39"/>
    <n v="56822.179487179485"/>
    <n v="2216065"/>
    <n v="36"/>
    <n v="47764"/>
    <n v="1719504"/>
    <n v="41"/>
    <n v="48673.268292682929"/>
    <n v="1995604"/>
    <n v="98"/>
    <n v="42760"/>
    <n v="4190480"/>
    <n v="93"/>
    <n v="43562.795698924732"/>
    <n v="4051340"/>
    <n v="82"/>
    <n v="32249"/>
    <n v="2644418"/>
    <n v="67"/>
    <n v="37281.13432835821"/>
    <n v="2497836"/>
    <m/>
    <m/>
    <n v="0"/>
    <m/>
    <m/>
    <n v="0"/>
    <m/>
    <m/>
    <n v="0"/>
    <m/>
    <m/>
    <n v="0"/>
    <m/>
    <m/>
    <n v="0"/>
    <m/>
    <m/>
    <n v="0"/>
    <n v="1"/>
    <n v="58326"/>
    <n v="47722.333200000001"/>
    <m/>
    <m/>
    <n v="0"/>
    <n v="11"/>
    <n v="22081"/>
    <n v="198733.41620000001"/>
    <n v="3"/>
    <n v="67655.333333333328"/>
    <n v="166066.7812"/>
    <n v="12"/>
    <n v="81524"/>
    <n v="800435.24160000007"/>
    <n v="27"/>
    <n v="39336.962962962964"/>
    <n v="869008.58360000001"/>
    <m/>
    <m/>
    <n v="0"/>
    <m/>
    <m/>
    <n v="0"/>
    <m/>
    <m/>
    <n v="0"/>
    <m/>
    <m/>
    <n v="0"/>
  </r>
  <r>
    <x v="13"/>
    <s v="South Texas College"/>
    <n v="409315"/>
    <x v="6"/>
    <m/>
    <m/>
    <n v="0"/>
    <n v="2"/>
    <n v="58815.5"/>
    <n v="117631"/>
    <m/>
    <m/>
    <n v="0"/>
    <n v="11"/>
    <n v="55947.818181818184"/>
    <n v="615426"/>
    <m/>
    <m/>
    <n v="0"/>
    <n v="15"/>
    <n v="49302.26666666667"/>
    <n v="739534"/>
    <n v="392"/>
    <n v="46443"/>
    <n v="18205656"/>
    <n v="385"/>
    <n v="49599.054545454543"/>
    <n v="19095636"/>
    <m/>
    <m/>
    <n v="0"/>
    <m/>
    <m/>
    <n v="0"/>
    <m/>
    <m/>
    <n v="0"/>
    <m/>
    <m/>
    <n v="0"/>
    <m/>
    <m/>
    <n v="0"/>
    <m/>
    <m/>
    <n v="0"/>
    <m/>
    <m/>
    <n v="0"/>
    <m/>
    <m/>
    <n v="0"/>
    <m/>
    <m/>
    <n v="0"/>
    <m/>
    <m/>
    <n v="0"/>
    <n v="38"/>
    <n v="61002"/>
    <n v="1896649.7832000002"/>
    <n v="46"/>
    <n v="64676.84782608696"/>
    <n v="2434255.4569999999"/>
    <m/>
    <m/>
    <n v="0"/>
    <m/>
    <m/>
    <n v="0"/>
    <m/>
    <m/>
    <n v="0"/>
    <m/>
    <m/>
    <n v="0"/>
  </r>
  <r>
    <x v="13"/>
    <s v="St. Philip's College  (ACCD)"/>
    <n v="227854"/>
    <x v="6"/>
    <n v="24"/>
    <n v="70661"/>
    <n v="1695864"/>
    <n v="30"/>
    <n v="72056.5"/>
    <n v="2161695"/>
    <n v="21"/>
    <n v="59310"/>
    <n v="1245510"/>
    <n v="17"/>
    <n v="69785.647058823524"/>
    <n v="1186356"/>
    <n v="33"/>
    <n v="54988"/>
    <n v="1814604"/>
    <n v="43"/>
    <n v="60911.837209302328"/>
    <n v="2619209"/>
    <n v="103"/>
    <n v="45781"/>
    <n v="4715443"/>
    <n v="109"/>
    <n v="54874.853211009176"/>
    <n v="5981359"/>
    <n v="1"/>
    <n v="18999"/>
    <n v="18999"/>
    <n v="3"/>
    <n v="15497.333333333334"/>
    <n v="46492"/>
    <m/>
    <m/>
    <n v="0"/>
    <m/>
    <m/>
    <n v="0"/>
    <m/>
    <m/>
    <n v="0"/>
    <m/>
    <m/>
    <n v="0"/>
    <m/>
    <m/>
    <n v="0"/>
    <n v="1"/>
    <n v="77040"/>
    <n v="63034.128000000004"/>
    <n v="4"/>
    <n v="63996"/>
    <n v="209446.10880000002"/>
    <n v="4"/>
    <n v="70645"/>
    <n v="231206.95600000001"/>
    <n v="2"/>
    <n v="60133"/>
    <n v="98401.641199999998"/>
    <n v="1"/>
    <n v="67363"/>
    <n v="55116.406600000002"/>
    <n v="4"/>
    <n v="38041"/>
    <n v="124500.58480000001"/>
    <n v="35"/>
    <n v="28895.82857142857"/>
    <n v="827489.84279999998"/>
    <m/>
    <m/>
    <n v="0"/>
    <n v="1"/>
    <n v="61802"/>
    <n v="50566.396400000005"/>
  </r>
  <r>
    <x v="13"/>
    <s v="Tarrant County College (TCJCD)"/>
    <n v="228547"/>
    <x v="6"/>
    <n v="72"/>
    <n v="64264"/>
    <n v="4627008"/>
    <n v="66"/>
    <n v="68991.15151515152"/>
    <n v="4553416"/>
    <n v="125"/>
    <n v="59683"/>
    <n v="7460375"/>
    <n v="125"/>
    <n v="63303.519999999997"/>
    <n v="7912940"/>
    <n v="135"/>
    <n v="57816"/>
    <n v="7805160"/>
    <n v="140"/>
    <n v="58631.935714285712"/>
    <n v="8208471"/>
    <n v="223"/>
    <n v="49926"/>
    <n v="11133498"/>
    <n v="240"/>
    <n v="51717.037499999999"/>
    <n v="12412089"/>
    <m/>
    <m/>
    <n v="0"/>
    <m/>
    <m/>
    <n v="0"/>
    <m/>
    <m/>
    <n v="0"/>
    <m/>
    <m/>
    <n v="0"/>
    <m/>
    <m/>
    <n v="0"/>
    <m/>
    <m/>
    <n v="0"/>
    <n v="8"/>
    <n v="80617"/>
    <n v="527686.63520000002"/>
    <n v="9"/>
    <n v="75242.555555555562"/>
    <n v="554071.13060000003"/>
    <n v="6"/>
    <n v="65130"/>
    <n v="319736.196"/>
    <n v="5"/>
    <n v="82064.2"/>
    <n v="335724.6422"/>
    <n v="3"/>
    <n v="64489"/>
    <n v="158294.69940000001"/>
    <n v="3"/>
    <n v="48206"/>
    <n v="118326.4476"/>
    <m/>
    <m/>
    <n v="0"/>
    <m/>
    <m/>
    <n v="0"/>
    <m/>
    <m/>
    <n v="0"/>
    <m/>
    <m/>
    <n v="0"/>
  </r>
  <r>
    <x v="13"/>
    <s v="Texas Southmost College "/>
    <n v="229072"/>
    <x v="6"/>
    <m/>
    <m/>
    <n v="0"/>
    <m/>
    <m/>
    <n v="0"/>
    <m/>
    <m/>
    <n v="0"/>
    <m/>
    <m/>
    <n v="0"/>
    <m/>
    <m/>
    <n v="0"/>
    <m/>
    <m/>
    <n v="0"/>
    <m/>
    <m/>
    <n v="0"/>
    <m/>
    <m/>
    <n v="0"/>
    <m/>
    <m/>
    <n v="0"/>
    <m/>
    <m/>
    <n v="0"/>
    <m/>
    <m/>
    <n v="0"/>
    <m/>
    <m/>
    <n v="0"/>
    <m/>
    <m/>
    <n v="0"/>
    <m/>
    <m/>
    <n v="0"/>
    <m/>
    <m/>
    <n v="0"/>
    <m/>
    <m/>
    <n v="0"/>
    <m/>
    <m/>
    <n v="0"/>
    <m/>
    <m/>
    <n v="0"/>
    <m/>
    <m/>
    <n v="0"/>
    <m/>
    <m/>
    <n v="0"/>
    <m/>
    <m/>
    <n v="0"/>
    <m/>
    <m/>
    <n v="0"/>
    <m/>
    <m/>
    <n v="0"/>
    <m/>
    <m/>
    <n v="0"/>
  </r>
  <r>
    <x v="13"/>
    <s v="Tyler Junior College "/>
    <n v="229355"/>
    <x v="6"/>
    <m/>
    <m/>
    <n v="0"/>
    <m/>
    <m/>
    <n v="0"/>
    <m/>
    <m/>
    <n v="0"/>
    <m/>
    <m/>
    <n v="0"/>
    <m/>
    <m/>
    <n v="0"/>
    <m/>
    <m/>
    <n v="0"/>
    <n v="204"/>
    <n v="46520"/>
    <n v="9490080"/>
    <n v="209"/>
    <n v="47048.454545454544"/>
    <n v="9833127"/>
    <m/>
    <m/>
    <n v="0"/>
    <m/>
    <m/>
    <n v="0"/>
    <m/>
    <m/>
    <n v="0"/>
    <m/>
    <m/>
    <n v="0"/>
    <m/>
    <m/>
    <n v="0"/>
    <m/>
    <m/>
    <n v="0"/>
    <m/>
    <m/>
    <n v="0"/>
    <m/>
    <m/>
    <n v="0"/>
    <m/>
    <m/>
    <n v="0"/>
    <m/>
    <m/>
    <n v="0"/>
    <n v="51"/>
    <n v="54208"/>
    <n v="2262002.2656"/>
    <n v="52"/>
    <n v="54477.365384615383"/>
    <n v="2317815.7786000003"/>
    <m/>
    <m/>
    <n v="0"/>
    <m/>
    <m/>
    <n v="0"/>
    <m/>
    <m/>
    <n v="0"/>
    <m/>
    <m/>
    <n v="0"/>
  </r>
  <r>
    <x v="13"/>
    <s v="Alvin Community College "/>
    <n v="222567"/>
    <x v="7"/>
    <m/>
    <m/>
    <n v="0"/>
    <m/>
    <m/>
    <n v="0"/>
    <m/>
    <m/>
    <n v="0"/>
    <m/>
    <m/>
    <n v="0"/>
    <m/>
    <m/>
    <n v="0"/>
    <m/>
    <m/>
    <n v="0"/>
    <m/>
    <m/>
    <n v="0"/>
    <m/>
    <m/>
    <n v="0"/>
    <m/>
    <m/>
    <n v="0"/>
    <m/>
    <m/>
    <n v="0"/>
    <n v="48"/>
    <n v="52858"/>
    <n v="2537184"/>
    <n v="50"/>
    <n v="54202.74"/>
    <n v="2710137"/>
    <m/>
    <m/>
    <n v="0"/>
    <m/>
    <m/>
    <n v="0"/>
    <m/>
    <m/>
    <n v="0"/>
    <m/>
    <m/>
    <n v="0"/>
    <m/>
    <m/>
    <n v="0"/>
    <m/>
    <m/>
    <n v="0"/>
    <m/>
    <m/>
    <n v="0"/>
    <m/>
    <m/>
    <n v="0"/>
    <m/>
    <m/>
    <n v="0"/>
    <m/>
    <m/>
    <n v="0"/>
    <n v="53"/>
    <n v="69728"/>
    <n v="3023726.8288000003"/>
    <n v="56"/>
    <n v="67624.375"/>
    <n v="3098494.7630000003"/>
  </r>
  <r>
    <x v="13"/>
    <s v="Angelina College "/>
    <n v="222822"/>
    <x v="7"/>
    <m/>
    <m/>
    <n v="0"/>
    <m/>
    <m/>
    <n v="0"/>
    <m/>
    <m/>
    <n v="0"/>
    <m/>
    <m/>
    <n v="0"/>
    <m/>
    <m/>
    <n v="0"/>
    <m/>
    <m/>
    <n v="0"/>
    <n v="93"/>
    <n v="45931"/>
    <n v="4271583"/>
    <n v="91"/>
    <n v="46652.527472527472"/>
    <n v="4245380"/>
    <m/>
    <m/>
    <n v="0"/>
    <m/>
    <m/>
    <n v="0"/>
    <m/>
    <m/>
    <n v="0"/>
    <m/>
    <m/>
    <n v="0"/>
    <m/>
    <m/>
    <n v="0"/>
    <m/>
    <m/>
    <n v="0"/>
    <m/>
    <m/>
    <n v="0"/>
    <m/>
    <m/>
    <n v="0"/>
    <m/>
    <m/>
    <n v="0"/>
    <m/>
    <m/>
    <n v="0"/>
    <n v="20"/>
    <n v="51682"/>
    <n v="845724.24800000002"/>
    <n v="26"/>
    <n v="50886.923076923078"/>
    <n v="1082527.692"/>
    <m/>
    <m/>
    <n v="0"/>
    <m/>
    <m/>
    <n v="0"/>
    <m/>
    <m/>
    <n v="0"/>
    <m/>
    <m/>
    <n v="0"/>
  </r>
  <r>
    <x v="13"/>
    <s v="Brazosport College "/>
    <n v="223506"/>
    <x v="7"/>
    <n v="1"/>
    <n v="64233"/>
    <n v="64233"/>
    <n v="1"/>
    <n v="66158"/>
    <n v="66158"/>
    <n v="11"/>
    <n v="50551"/>
    <n v="556061"/>
    <n v="16"/>
    <n v="49471"/>
    <n v="791536"/>
    <n v="26"/>
    <n v="46317"/>
    <n v="1204242"/>
    <n v="29"/>
    <n v="46404.310344827587"/>
    <n v="1345725"/>
    <n v="16"/>
    <n v="40929"/>
    <n v="654864"/>
    <n v="15"/>
    <n v="33770.333333333336"/>
    <n v="506555.00000000006"/>
    <m/>
    <m/>
    <n v="0"/>
    <m/>
    <m/>
    <n v="0"/>
    <m/>
    <m/>
    <n v="0"/>
    <m/>
    <m/>
    <n v="0"/>
    <n v="17"/>
    <n v="88283"/>
    <n v="1227963.5601999999"/>
    <n v="18"/>
    <n v="89165.388888888891"/>
    <n v="1313192.1814000001"/>
    <n v="3"/>
    <n v="76943"/>
    <n v="188864.28780000002"/>
    <n v="3"/>
    <n v="75300.666666666672"/>
    <n v="184833.01640000002"/>
    <n v="3"/>
    <n v="70248"/>
    <n v="172430.7408"/>
    <n v="4"/>
    <n v="65364.5"/>
    <n v="213924.9356"/>
    <m/>
    <m/>
    <n v="0"/>
    <m/>
    <m/>
    <n v="0"/>
    <n v="1"/>
    <n v="50736"/>
    <n v="41512.195200000002"/>
    <m/>
    <m/>
    <n v="0"/>
    <m/>
    <m/>
    <n v="0"/>
    <n v="1"/>
    <n v="52260"/>
    <n v="42759.132000000005"/>
  </r>
  <r>
    <x v="13"/>
    <s v="Cedar Valley College  (DCCCD)"/>
    <n v="223773"/>
    <x v="7"/>
    <m/>
    <m/>
    <n v="0"/>
    <m/>
    <m/>
    <n v="0"/>
    <m/>
    <m/>
    <n v="0"/>
    <m/>
    <m/>
    <n v="0"/>
    <m/>
    <m/>
    <n v="0"/>
    <m/>
    <m/>
    <n v="0"/>
    <m/>
    <m/>
    <n v="0"/>
    <m/>
    <m/>
    <n v="0"/>
    <m/>
    <m/>
    <n v="0"/>
    <m/>
    <m/>
    <n v="0"/>
    <n v="65"/>
    <n v="55464"/>
    <n v="3605160"/>
    <n v="60"/>
    <n v="57138.666666666664"/>
    <n v="3428320"/>
    <m/>
    <m/>
    <n v="0"/>
    <m/>
    <m/>
    <n v="0"/>
    <m/>
    <m/>
    <n v="0"/>
    <m/>
    <m/>
    <n v="0"/>
    <m/>
    <m/>
    <n v="0"/>
    <m/>
    <m/>
    <n v="0"/>
    <m/>
    <m/>
    <n v="0"/>
    <m/>
    <m/>
    <n v="0"/>
    <m/>
    <m/>
    <n v="0"/>
    <m/>
    <m/>
    <n v="0"/>
    <m/>
    <m/>
    <n v="0"/>
    <m/>
    <m/>
    <n v="0"/>
  </r>
  <r>
    <x v="13"/>
    <s v="Cisco Junior College "/>
    <n v="223898"/>
    <x v="7"/>
    <m/>
    <m/>
    <n v="0"/>
    <m/>
    <m/>
    <n v="0"/>
    <m/>
    <m/>
    <n v="0"/>
    <m/>
    <m/>
    <n v="0"/>
    <m/>
    <m/>
    <n v="0"/>
    <m/>
    <m/>
    <n v="0"/>
    <n v="54"/>
    <n v="40700"/>
    <n v="2197800"/>
    <n v="50"/>
    <n v="41811.620000000003"/>
    <n v="2090581.0000000002"/>
    <m/>
    <m/>
    <n v="0"/>
    <m/>
    <m/>
    <n v="0"/>
    <m/>
    <m/>
    <n v="0"/>
    <m/>
    <m/>
    <n v="0"/>
    <m/>
    <m/>
    <n v="0"/>
    <m/>
    <m/>
    <n v="0"/>
    <m/>
    <m/>
    <n v="0"/>
    <m/>
    <m/>
    <n v="0"/>
    <m/>
    <m/>
    <n v="0"/>
    <m/>
    <m/>
    <n v="0"/>
    <n v="19"/>
    <n v="48150"/>
    <n v="748530.27"/>
    <n v="21"/>
    <n v="48849.190476190473"/>
    <n v="839336.56060000008"/>
    <m/>
    <m/>
    <n v="0"/>
    <m/>
    <m/>
    <n v="0"/>
    <m/>
    <m/>
    <n v="0"/>
    <m/>
    <m/>
    <n v="0"/>
  </r>
  <r>
    <x v="13"/>
    <s v="Coastal Bend College"/>
    <n v="223320"/>
    <x v="7"/>
    <n v="57"/>
    <n v="44163"/>
    <n v="2517291"/>
    <n v="58"/>
    <n v="42931.603448275862"/>
    <n v="2490033"/>
    <m/>
    <m/>
    <n v="0"/>
    <m/>
    <m/>
    <n v="0"/>
    <m/>
    <m/>
    <n v="0"/>
    <m/>
    <m/>
    <n v="0"/>
    <m/>
    <m/>
    <n v="0"/>
    <m/>
    <m/>
    <n v="0"/>
    <m/>
    <m/>
    <n v="0"/>
    <m/>
    <m/>
    <n v="0"/>
    <m/>
    <m/>
    <n v="0"/>
    <m/>
    <m/>
    <n v="0"/>
    <n v="28"/>
    <n v="50037"/>
    <n v="1146327.6552000002"/>
    <n v="36"/>
    <n v="49917.333333333336"/>
    <n v="1470325.0368000001"/>
    <m/>
    <m/>
    <n v="0"/>
    <m/>
    <m/>
    <n v="0"/>
    <m/>
    <m/>
    <n v="0"/>
    <m/>
    <m/>
    <n v="0"/>
    <m/>
    <m/>
    <n v="0"/>
    <m/>
    <m/>
    <n v="0"/>
    <m/>
    <m/>
    <n v="0"/>
    <m/>
    <m/>
    <n v="0"/>
    <m/>
    <m/>
    <n v="0"/>
    <m/>
    <m/>
    <n v="0"/>
  </r>
  <r>
    <x v="13"/>
    <s v="College of the Mainland"/>
    <n v="226408"/>
    <x v="7"/>
    <n v="10"/>
    <n v="57049"/>
    <n v="570490"/>
    <n v="5"/>
    <n v="61878.400000000001"/>
    <n v="309392"/>
    <n v="9"/>
    <n v="46634"/>
    <n v="419706"/>
    <n v="11"/>
    <n v="49874.818181818184"/>
    <n v="548623"/>
    <n v="12"/>
    <n v="44092"/>
    <n v="529104"/>
    <n v="13"/>
    <n v="48767"/>
    <n v="633971"/>
    <m/>
    <m/>
    <n v="0"/>
    <m/>
    <m/>
    <n v="0"/>
    <m/>
    <m/>
    <n v="0"/>
    <m/>
    <m/>
    <n v="0"/>
    <m/>
    <m/>
    <n v="0"/>
    <m/>
    <m/>
    <n v="0"/>
    <n v="23"/>
    <n v="68874"/>
    <n v="1296112.2564000001"/>
    <n v="22"/>
    <n v="73489.681818181823"/>
    <n v="1322843.6686"/>
    <n v="14"/>
    <n v="58500"/>
    <n v="670105.80000000005"/>
    <n v="22"/>
    <n v="62686.181818181816"/>
    <n v="1128376.3472"/>
    <n v="38"/>
    <n v="54297"/>
    <n v="1688180.6052000001"/>
    <n v="27"/>
    <n v="59036.444444444445"/>
    <n v="1304197.7088000001"/>
    <m/>
    <m/>
    <n v="0"/>
    <m/>
    <m/>
    <n v="0"/>
    <m/>
    <m/>
    <n v="0"/>
    <m/>
    <m/>
    <n v="0"/>
    <m/>
    <m/>
    <n v="0"/>
    <m/>
    <m/>
    <n v="0"/>
  </r>
  <r>
    <x v="13"/>
    <s v="El Centro College  (DCCCD)"/>
    <n v="224615"/>
    <x v="7"/>
    <m/>
    <m/>
    <n v="0"/>
    <m/>
    <m/>
    <n v="0"/>
    <m/>
    <m/>
    <n v="0"/>
    <m/>
    <m/>
    <n v="0"/>
    <m/>
    <m/>
    <n v="0"/>
    <m/>
    <m/>
    <n v="0"/>
    <m/>
    <m/>
    <n v="0"/>
    <m/>
    <m/>
    <n v="0"/>
    <m/>
    <m/>
    <n v="0"/>
    <m/>
    <m/>
    <n v="0"/>
    <n v="125"/>
    <n v="54923"/>
    <n v="6865375"/>
    <n v="126"/>
    <n v="55158.5873015873"/>
    <n v="6949982"/>
    <m/>
    <m/>
    <n v="0"/>
    <m/>
    <m/>
    <n v="0"/>
    <m/>
    <m/>
    <n v="0"/>
    <m/>
    <m/>
    <n v="0"/>
    <m/>
    <m/>
    <n v="0"/>
    <m/>
    <m/>
    <n v="0"/>
    <m/>
    <m/>
    <n v="0"/>
    <m/>
    <m/>
    <n v="0"/>
    <m/>
    <m/>
    <n v="0"/>
    <m/>
    <m/>
    <n v="0"/>
    <m/>
    <m/>
    <n v="0"/>
    <m/>
    <m/>
    <n v="0"/>
  </r>
  <r>
    <x v="13"/>
    <s v="Grayson County College "/>
    <n v="225070"/>
    <x v="7"/>
    <n v="74"/>
    <n v="47656"/>
    <n v="3526544"/>
    <n v="76"/>
    <n v="51234.75"/>
    <n v="3893841"/>
    <m/>
    <m/>
    <n v="0"/>
    <m/>
    <m/>
    <n v="0"/>
    <m/>
    <m/>
    <n v="0"/>
    <m/>
    <m/>
    <n v="0"/>
    <m/>
    <m/>
    <n v="0"/>
    <m/>
    <m/>
    <n v="0"/>
    <m/>
    <m/>
    <n v="0"/>
    <m/>
    <m/>
    <n v="0"/>
    <m/>
    <m/>
    <n v="0"/>
    <m/>
    <m/>
    <n v="0"/>
    <n v="8"/>
    <n v="54461"/>
    <n v="356479.9216"/>
    <n v="14"/>
    <n v="55775.357142857145"/>
    <n v="638895.56099999999"/>
    <m/>
    <m/>
    <n v="0"/>
    <m/>
    <m/>
    <n v="0"/>
    <m/>
    <m/>
    <n v="0"/>
    <m/>
    <m/>
    <n v="0"/>
    <m/>
    <m/>
    <n v="0"/>
    <m/>
    <m/>
    <n v="0"/>
    <m/>
    <m/>
    <n v="0"/>
    <m/>
    <m/>
    <n v="0"/>
    <m/>
    <m/>
    <n v="0"/>
    <m/>
    <m/>
    <n v="0"/>
  </r>
  <r>
    <x v="13"/>
    <s v="Hill College"/>
    <n v="225371"/>
    <x v="7"/>
    <m/>
    <m/>
    <n v="0"/>
    <m/>
    <m/>
    <n v="0"/>
    <m/>
    <m/>
    <n v="0"/>
    <m/>
    <m/>
    <n v="0"/>
    <m/>
    <m/>
    <n v="0"/>
    <m/>
    <m/>
    <n v="0"/>
    <m/>
    <m/>
    <n v="0"/>
    <m/>
    <m/>
    <n v="0"/>
    <m/>
    <m/>
    <n v="0"/>
    <m/>
    <m/>
    <n v="0"/>
    <n v="63"/>
    <n v="42164"/>
    <n v="2656332"/>
    <n v="63"/>
    <n v="41870.380952380954"/>
    <n v="2637834"/>
    <m/>
    <m/>
    <n v="0"/>
    <m/>
    <m/>
    <n v="0"/>
    <m/>
    <m/>
    <n v="0"/>
    <m/>
    <m/>
    <n v="0"/>
    <m/>
    <m/>
    <n v="0"/>
    <m/>
    <m/>
    <n v="0"/>
    <m/>
    <m/>
    <n v="0"/>
    <m/>
    <m/>
    <n v="0"/>
    <m/>
    <m/>
    <n v="0"/>
    <m/>
    <m/>
    <n v="0"/>
    <n v="15"/>
    <n v="47865"/>
    <n v="587447.14500000002"/>
    <n v="15"/>
    <n v="48394.400000000001"/>
    <n v="593944.47120000003"/>
  </r>
  <r>
    <x v="13"/>
    <s v="Howard College"/>
    <n v="225520"/>
    <x v="7"/>
    <n v="8"/>
    <n v="50975"/>
    <n v="407800"/>
    <n v="6"/>
    <n v="54000.333333333336"/>
    <n v="324002"/>
    <n v="14"/>
    <n v="45550"/>
    <n v="637700"/>
    <n v="13"/>
    <n v="45927.769230769234"/>
    <n v="597061"/>
    <n v="28"/>
    <n v="40476"/>
    <n v="1133328"/>
    <n v="22"/>
    <n v="39369.5"/>
    <n v="866129"/>
    <n v="34"/>
    <n v="37026"/>
    <n v="1258884"/>
    <n v="35"/>
    <n v="38147.028571428571"/>
    <n v="1335146"/>
    <m/>
    <m/>
    <n v="0"/>
    <m/>
    <m/>
    <n v="0"/>
    <m/>
    <m/>
    <n v="0"/>
    <m/>
    <m/>
    <n v="0"/>
    <m/>
    <m/>
    <n v="0"/>
    <n v="2"/>
    <n v="63482.5"/>
    <n v="103882.76300000001"/>
    <n v="2"/>
    <n v="55703"/>
    <n v="91152.389200000005"/>
    <n v="2"/>
    <n v="57365"/>
    <n v="93872.08600000001"/>
    <n v="7"/>
    <n v="50378"/>
    <n v="288534.9572"/>
    <n v="16"/>
    <n v="51073.0625"/>
    <n v="668607.67580000008"/>
    <n v="38"/>
    <n v="42197"/>
    <n v="1311972.2452"/>
    <n v="41"/>
    <n v="43607.585365853658"/>
    <n v="1462868.7802000002"/>
    <m/>
    <m/>
    <n v="0"/>
    <m/>
    <m/>
    <n v="0"/>
    <m/>
    <m/>
    <n v="0"/>
    <m/>
    <m/>
    <n v="0"/>
  </r>
  <r>
    <x v="13"/>
    <s v="Kilgore College "/>
    <n v="226019"/>
    <x v="7"/>
    <m/>
    <m/>
    <n v="0"/>
    <m/>
    <m/>
    <n v="0"/>
    <m/>
    <m/>
    <n v="0"/>
    <m/>
    <m/>
    <n v="0"/>
    <m/>
    <m/>
    <n v="0"/>
    <m/>
    <m/>
    <n v="0"/>
    <m/>
    <m/>
    <n v="0"/>
    <m/>
    <m/>
    <n v="0"/>
    <m/>
    <m/>
    <n v="0"/>
    <m/>
    <m/>
    <n v="0"/>
    <n v="109"/>
    <n v="48031"/>
    <n v="5235379"/>
    <n v="87"/>
    <n v="48384.839080459773"/>
    <n v="4209481"/>
    <m/>
    <m/>
    <n v="0"/>
    <m/>
    <m/>
    <n v="0"/>
    <m/>
    <m/>
    <n v="0"/>
    <m/>
    <m/>
    <n v="0"/>
    <m/>
    <m/>
    <n v="0"/>
    <m/>
    <m/>
    <n v="0"/>
    <m/>
    <m/>
    <n v="0"/>
    <m/>
    <m/>
    <n v="0"/>
    <m/>
    <m/>
    <n v="0"/>
    <m/>
    <m/>
    <n v="0"/>
    <n v="33"/>
    <n v="55254"/>
    <n v="1491891.1524"/>
    <n v="61"/>
    <n v="54461.2131147541"/>
    <n v="2718170.0388000002"/>
  </r>
  <r>
    <x v="13"/>
    <s v="Lamar Institute of Technology"/>
    <n v="441760"/>
    <x v="7"/>
    <m/>
    <m/>
    <n v="0"/>
    <m/>
    <m/>
    <n v="0"/>
    <m/>
    <m/>
    <n v="0"/>
    <m/>
    <m/>
    <n v="0"/>
    <m/>
    <m/>
    <n v="0"/>
    <m/>
    <m/>
    <n v="0"/>
    <n v="74"/>
    <n v="44368"/>
    <n v="3283232"/>
    <n v="68"/>
    <n v="47733.573529411762"/>
    <n v="3245883"/>
    <m/>
    <m/>
    <n v="0"/>
    <m/>
    <m/>
    <n v="0"/>
    <m/>
    <m/>
    <n v="0"/>
    <m/>
    <m/>
    <n v="0"/>
    <m/>
    <m/>
    <n v="0"/>
    <m/>
    <m/>
    <n v="0"/>
    <m/>
    <m/>
    <n v="0"/>
    <m/>
    <m/>
    <n v="0"/>
    <m/>
    <m/>
    <n v="0"/>
    <m/>
    <m/>
    <n v="0"/>
    <m/>
    <m/>
    <n v="0"/>
    <m/>
    <m/>
    <n v="0"/>
    <m/>
    <m/>
    <n v="0"/>
    <m/>
    <m/>
    <n v="0"/>
    <m/>
    <m/>
    <n v="0"/>
    <m/>
    <m/>
    <n v="0"/>
  </r>
  <r>
    <x v="13"/>
    <s v="Lee College "/>
    <n v="226204"/>
    <x v="7"/>
    <m/>
    <m/>
    <n v="0"/>
    <m/>
    <m/>
    <n v="0"/>
    <m/>
    <m/>
    <n v="0"/>
    <m/>
    <m/>
    <n v="0"/>
    <m/>
    <m/>
    <n v="0"/>
    <m/>
    <m/>
    <n v="0"/>
    <m/>
    <m/>
    <n v="0"/>
    <m/>
    <m/>
    <n v="0"/>
    <m/>
    <m/>
    <n v="0"/>
    <m/>
    <m/>
    <n v="0"/>
    <n v="142"/>
    <n v="50704"/>
    <n v="7199968"/>
    <n v="143"/>
    <n v="50235.63636363636"/>
    <n v="7183695.9999999991"/>
    <m/>
    <m/>
    <n v="0"/>
    <m/>
    <m/>
    <n v="0"/>
    <m/>
    <m/>
    <n v="0"/>
    <m/>
    <m/>
    <n v="0"/>
    <m/>
    <m/>
    <n v="0"/>
    <m/>
    <m/>
    <n v="0"/>
    <m/>
    <m/>
    <n v="0"/>
    <m/>
    <m/>
    <n v="0"/>
    <m/>
    <m/>
    <n v="0"/>
    <m/>
    <m/>
    <n v="0"/>
    <n v="26"/>
    <n v="62797"/>
    <n v="1335893.1404000001"/>
    <n v="28"/>
    <n v="59849.642857142855"/>
    <n v="1371131.378"/>
  </r>
  <r>
    <x v="13"/>
    <s v="Midland College "/>
    <n v="226806"/>
    <x v="7"/>
    <n v="38"/>
    <n v="62276"/>
    <n v="2366488"/>
    <n v="37"/>
    <n v="63749.135135135133"/>
    <n v="2358718"/>
    <n v="10"/>
    <n v="48569"/>
    <n v="485690"/>
    <n v="11"/>
    <n v="51046.545454545456"/>
    <n v="561512"/>
    <n v="15"/>
    <n v="48374"/>
    <n v="725610"/>
    <n v="23"/>
    <n v="48806.478260869568"/>
    <n v="1122549"/>
    <n v="29"/>
    <n v="43694"/>
    <n v="1267126"/>
    <n v="25"/>
    <n v="47870.48"/>
    <n v="1196762"/>
    <n v="3"/>
    <n v="45301"/>
    <n v="135903"/>
    <m/>
    <m/>
    <n v="0"/>
    <m/>
    <m/>
    <n v="0"/>
    <n v="1"/>
    <n v="51106"/>
    <n v="51106"/>
    <n v="6"/>
    <n v="68482"/>
    <n v="336191.83439999999"/>
    <n v="6"/>
    <n v="68497.666666666672"/>
    <n v="336268.7452"/>
    <n v="7"/>
    <n v="54994"/>
    <n v="314972.63560000004"/>
    <n v="7"/>
    <n v="56576.142857142855"/>
    <n v="324034.20060000004"/>
    <n v="5"/>
    <n v="57034"/>
    <n v="233326.09400000001"/>
    <n v="6"/>
    <n v="59547.166666666664"/>
    <n v="292328.95060000004"/>
    <n v="4"/>
    <n v="49077"/>
    <n v="160619.20560000002"/>
    <n v="9"/>
    <n v="56930.888888888891"/>
    <n v="419227.67960000003"/>
    <n v="12"/>
    <n v="53360"/>
    <n v="523909.82400000002"/>
    <m/>
    <m/>
    <n v="0"/>
    <m/>
    <m/>
    <n v="0"/>
    <n v="6"/>
    <n v="50852"/>
    <n v="249642.63840000003"/>
  </r>
  <r>
    <x v="13"/>
    <s v="Mountain View College  (DCCCD)"/>
    <n v="226930"/>
    <x v="7"/>
    <m/>
    <m/>
    <n v="0"/>
    <m/>
    <m/>
    <n v="0"/>
    <m/>
    <m/>
    <n v="0"/>
    <m/>
    <m/>
    <n v="0"/>
    <m/>
    <m/>
    <n v="0"/>
    <m/>
    <m/>
    <n v="0"/>
    <m/>
    <m/>
    <n v="0"/>
    <m/>
    <m/>
    <n v="0"/>
    <m/>
    <m/>
    <n v="0"/>
    <m/>
    <m/>
    <n v="0"/>
    <n v="80"/>
    <n v="59141"/>
    <n v="4731280"/>
    <n v="75"/>
    <n v="60678.746666666666"/>
    <n v="4550906"/>
    <m/>
    <m/>
    <n v="0"/>
    <m/>
    <m/>
    <n v="0"/>
    <m/>
    <m/>
    <n v="0"/>
    <m/>
    <m/>
    <n v="0"/>
    <m/>
    <m/>
    <n v="0"/>
    <m/>
    <m/>
    <n v="0"/>
    <m/>
    <m/>
    <n v="0"/>
    <m/>
    <m/>
    <n v="0"/>
    <m/>
    <m/>
    <n v="0"/>
    <m/>
    <m/>
    <n v="0"/>
    <m/>
    <m/>
    <n v="0"/>
    <m/>
    <m/>
    <n v="0"/>
  </r>
  <r>
    <x v="13"/>
    <s v="North Central Texas Community College"/>
    <n v="224110"/>
    <x v="7"/>
    <m/>
    <m/>
    <n v="0"/>
    <m/>
    <m/>
    <n v="0"/>
    <m/>
    <m/>
    <n v="0"/>
    <m/>
    <m/>
    <n v="0"/>
    <m/>
    <m/>
    <n v="0"/>
    <m/>
    <m/>
    <n v="0"/>
    <m/>
    <m/>
    <n v="0"/>
    <m/>
    <m/>
    <n v="0"/>
    <m/>
    <m/>
    <n v="0"/>
    <m/>
    <m/>
    <n v="0"/>
    <n v="86"/>
    <n v="43588"/>
    <n v="3748568"/>
    <n v="96"/>
    <n v="44743.604166666664"/>
    <n v="4295386"/>
    <m/>
    <m/>
    <n v="0"/>
    <m/>
    <m/>
    <n v="0"/>
    <m/>
    <m/>
    <n v="0"/>
    <m/>
    <m/>
    <n v="0"/>
    <m/>
    <m/>
    <n v="0"/>
    <m/>
    <m/>
    <n v="0"/>
    <m/>
    <m/>
    <n v="0"/>
    <m/>
    <m/>
    <n v="0"/>
    <m/>
    <m/>
    <n v="0"/>
    <m/>
    <m/>
    <n v="0"/>
    <n v="25"/>
    <n v="51572"/>
    <n v="1054905.26"/>
    <n v="26"/>
    <n v="54377.730769230766"/>
    <n v="1156788.3422000001"/>
  </r>
  <r>
    <x v="13"/>
    <s v="Odessa College "/>
    <n v="227304"/>
    <x v="7"/>
    <n v="16"/>
    <n v="56768"/>
    <n v="908288"/>
    <n v="15"/>
    <n v="59191.333333333336"/>
    <n v="887870"/>
    <n v="21"/>
    <n v="47737"/>
    <n v="1002477"/>
    <n v="23"/>
    <n v="49894.086956521736"/>
    <n v="1147564"/>
    <n v="24"/>
    <n v="45417"/>
    <n v="1090008"/>
    <n v="25"/>
    <n v="48710"/>
    <n v="1217750"/>
    <n v="38"/>
    <n v="42706"/>
    <n v="1622828"/>
    <n v="31"/>
    <n v="44786.774193548386"/>
    <n v="1388390"/>
    <m/>
    <m/>
    <n v="0"/>
    <m/>
    <m/>
    <n v="0"/>
    <m/>
    <m/>
    <n v="0"/>
    <m/>
    <m/>
    <n v="0"/>
    <n v="1"/>
    <n v="61292"/>
    <n v="50149.114400000006"/>
    <n v="1"/>
    <n v="65195"/>
    <n v="53342.548999999999"/>
    <n v="10"/>
    <n v="60830"/>
    <n v="497711.06"/>
    <n v="9"/>
    <n v="66306.777777777781"/>
    <n v="488269.85020000004"/>
    <n v="4"/>
    <n v="57405"/>
    <n v="187875.084"/>
    <n v="5"/>
    <n v="59377"/>
    <n v="242911.307"/>
    <n v="4"/>
    <n v="50637"/>
    <n v="165724.77360000001"/>
    <n v="5"/>
    <n v="52401.4"/>
    <n v="214374.1274"/>
    <m/>
    <m/>
    <n v="0"/>
    <m/>
    <m/>
    <n v="0"/>
    <m/>
    <m/>
    <n v="0"/>
    <m/>
    <m/>
    <n v="0"/>
  </r>
  <r>
    <x v="13"/>
    <s v="Paris Junior College"/>
    <n v="227401"/>
    <x v="7"/>
    <m/>
    <m/>
    <n v="0"/>
    <m/>
    <m/>
    <n v="0"/>
    <m/>
    <m/>
    <n v="0"/>
    <m/>
    <m/>
    <n v="0"/>
    <m/>
    <m/>
    <n v="0"/>
    <m/>
    <m/>
    <n v="0"/>
    <n v="73"/>
    <n v="48208"/>
    <n v="3519184"/>
    <n v="70"/>
    <n v="49699.742857142854"/>
    <n v="3478981.9999999995"/>
    <m/>
    <m/>
    <n v="0"/>
    <m/>
    <m/>
    <n v="0"/>
    <m/>
    <m/>
    <n v="0"/>
    <m/>
    <m/>
    <n v="0"/>
    <m/>
    <m/>
    <n v="0"/>
    <m/>
    <m/>
    <n v="0"/>
    <m/>
    <m/>
    <n v="0"/>
    <m/>
    <m/>
    <n v="0"/>
    <m/>
    <m/>
    <n v="0"/>
    <m/>
    <m/>
    <n v="0"/>
    <n v="11"/>
    <n v="57171"/>
    <n v="514550.43420000002"/>
    <n v="23"/>
    <n v="60860.695652173912"/>
    <n v="1145313.0872"/>
    <m/>
    <m/>
    <n v="0"/>
    <m/>
    <m/>
    <n v="0"/>
    <m/>
    <m/>
    <n v="0"/>
    <m/>
    <m/>
    <n v="0"/>
  </r>
  <r>
    <x v="13"/>
    <s v="Southwest Texas Junior College "/>
    <n v="228316"/>
    <x v="7"/>
    <m/>
    <m/>
    <n v="0"/>
    <m/>
    <m/>
    <n v="0"/>
    <m/>
    <m/>
    <n v="0"/>
    <m/>
    <m/>
    <n v="0"/>
    <m/>
    <m/>
    <n v="0"/>
    <m/>
    <m/>
    <n v="0"/>
    <n v="108"/>
    <n v="45692"/>
    <n v="4934736"/>
    <n v="108"/>
    <n v="45714.222222222219"/>
    <n v="4937136"/>
    <m/>
    <m/>
    <n v="0"/>
    <m/>
    <m/>
    <n v="0"/>
    <m/>
    <m/>
    <n v="0"/>
    <m/>
    <m/>
    <n v="0"/>
    <m/>
    <m/>
    <n v="0"/>
    <m/>
    <m/>
    <n v="0"/>
    <m/>
    <m/>
    <n v="0"/>
    <m/>
    <m/>
    <n v="0"/>
    <m/>
    <m/>
    <n v="0"/>
    <m/>
    <m/>
    <n v="0"/>
    <n v="6"/>
    <n v="59728"/>
    <n v="293216.69760000001"/>
    <n v="6"/>
    <n v="66625.333333333328"/>
    <n v="327077.08640000003"/>
    <m/>
    <m/>
    <n v="0"/>
    <m/>
    <m/>
    <n v="0"/>
    <m/>
    <m/>
    <n v="0"/>
    <m/>
    <m/>
    <n v="0"/>
  </r>
  <r>
    <x v="13"/>
    <s v="Temple College "/>
    <n v="228608"/>
    <x v="7"/>
    <m/>
    <m/>
    <n v="0"/>
    <m/>
    <m/>
    <n v="0"/>
    <m/>
    <m/>
    <n v="0"/>
    <m/>
    <m/>
    <n v="0"/>
    <m/>
    <m/>
    <n v="0"/>
    <m/>
    <m/>
    <n v="0"/>
    <n v="69"/>
    <n v="48606"/>
    <n v="3353814"/>
    <n v="76"/>
    <n v="55753.723684210527"/>
    <n v="4237283"/>
    <m/>
    <m/>
    <n v="0"/>
    <m/>
    <m/>
    <n v="0"/>
    <m/>
    <m/>
    <n v="0"/>
    <m/>
    <m/>
    <n v="0"/>
    <m/>
    <m/>
    <n v="0"/>
    <m/>
    <m/>
    <n v="0"/>
    <m/>
    <m/>
    <n v="0"/>
    <m/>
    <m/>
    <n v="0"/>
    <m/>
    <m/>
    <n v="0"/>
    <m/>
    <m/>
    <n v="0"/>
    <n v="28"/>
    <n v="56432"/>
    <n v="1292834.5472000001"/>
    <n v="31"/>
    <n v="60807.483870967742"/>
    <n v="1542333.1824"/>
    <m/>
    <m/>
    <n v="0"/>
    <m/>
    <m/>
    <n v="0"/>
    <m/>
    <m/>
    <n v="0"/>
    <m/>
    <m/>
    <n v="0"/>
  </r>
  <r>
    <x v="13"/>
    <s v="Texarkana College "/>
    <n v="228699"/>
    <x v="7"/>
    <n v="32"/>
    <n v="59300"/>
    <n v="1897600"/>
    <n v="32"/>
    <n v="62550.28125"/>
    <n v="2001609"/>
    <n v="28"/>
    <n v="50596"/>
    <n v="1416688"/>
    <n v="23"/>
    <n v="51733"/>
    <n v="1189859"/>
    <n v="8"/>
    <n v="48455"/>
    <n v="387640"/>
    <n v="10"/>
    <n v="47940.9"/>
    <n v="479409"/>
    <n v="3"/>
    <n v="44041"/>
    <n v="132123"/>
    <n v="5"/>
    <n v="45485.4"/>
    <n v="227427"/>
    <m/>
    <m/>
    <n v="0"/>
    <m/>
    <m/>
    <n v="0"/>
    <m/>
    <m/>
    <n v="0"/>
    <m/>
    <m/>
    <n v="0"/>
    <n v="5"/>
    <n v="79108"/>
    <n v="323630.82800000004"/>
    <n v="5"/>
    <n v="81266"/>
    <n v="332459.20600000001"/>
    <n v="5"/>
    <n v="67811"/>
    <n v="277414.80100000004"/>
    <n v="4"/>
    <n v="68954.25"/>
    <n v="225673.4694"/>
    <n v="2"/>
    <n v="65160"/>
    <n v="106627.82400000001"/>
    <n v="5"/>
    <n v="61097"/>
    <n v="249947.82700000002"/>
    <n v="24"/>
    <n v="62004"/>
    <n v="1217560.1472"/>
    <n v="24"/>
    <n v="61820.416666666664"/>
    <n v="1213955.1580000001"/>
    <m/>
    <m/>
    <n v="0"/>
    <m/>
    <m/>
    <n v="0"/>
    <m/>
    <m/>
    <n v="0"/>
    <m/>
    <m/>
    <n v="0"/>
  </r>
  <r>
    <x v="13"/>
    <s v="Texas State Technical College-Harlingen "/>
    <n v="229319"/>
    <x v="7"/>
    <m/>
    <m/>
    <n v="0"/>
    <m/>
    <m/>
    <n v="0"/>
    <n v="1"/>
    <n v="64764"/>
    <n v="64764"/>
    <n v="1"/>
    <n v="62760"/>
    <n v="62760"/>
    <m/>
    <m/>
    <n v="0"/>
    <m/>
    <m/>
    <n v="0"/>
    <n v="25"/>
    <n v="40213"/>
    <n v="1005325"/>
    <n v="25"/>
    <n v="39968.160000000003"/>
    <n v="999204.00000000012"/>
    <m/>
    <m/>
    <n v="0"/>
    <m/>
    <m/>
    <n v="0"/>
    <m/>
    <m/>
    <n v="0"/>
    <m/>
    <m/>
    <n v="0"/>
    <n v="5"/>
    <n v="59995"/>
    <n v="245439.54500000001"/>
    <n v="6"/>
    <n v="58080"/>
    <n v="285126.33600000001"/>
    <n v="17"/>
    <n v="53173"/>
    <n v="739604.52620000008"/>
    <n v="14"/>
    <n v="53632.285714285717"/>
    <n v="614347.10640000005"/>
    <m/>
    <m/>
    <n v="0"/>
    <m/>
    <m/>
    <n v="0"/>
    <n v="104"/>
    <n v="46115"/>
    <n v="3924054.4720000001"/>
    <n v="106"/>
    <n v="46545.811320754714"/>
    <n v="4036880.9792000004"/>
    <m/>
    <m/>
    <n v="0"/>
    <m/>
    <m/>
    <n v="0"/>
    <m/>
    <m/>
    <n v="0"/>
    <m/>
    <m/>
    <n v="0"/>
  </r>
  <r>
    <x v="13"/>
    <s v="Texas State Technical College-Waco"/>
    <n v="228680"/>
    <x v="7"/>
    <m/>
    <m/>
    <n v="0"/>
    <m/>
    <m/>
    <n v="0"/>
    <n v="5"/>
    <n v="48928"/>
    <n v="244640"/>
    <n v="4"/>
    <n v="49137"/>
    <n v="196548"/>
    <m/>
    <m/>
    <n v="0"/>
    <m/>
    <m/>
    <n v="0"/>
    <n v="31"/>
    <n v="41968"/>
    <n v="1301008"/>
    <n v="30"/>
    <n v="41544.6"/>
    <n v="1246338"/>
    <m/>
    <m/>
    <n v="0"/>
    <m/>
    <m/>
    <n v="0"/>
    <m/>
    <m/>
    <n v="0"/>
    <m/>
    <m/>
    <n v="0"/>
    <n v="6"/>
    <n v="66392"/>
    <n v="325931.60639999999"/>
    <n v="5"/>
    <n v="65577.600000000006"/>
    <n v="268277.96160000004"/>
    <n v="19"/>
    <n v="55950"/>
    <n v="869787.51"/>
    <n v="16"/>
    <n v="53734.5"/>
    <n v="703449.08640000003"/>
    <m/>
    <m/>
    <n v="0"/>
    <m/>
    <m/>
    <n v="0"/>
    <n v="177"/>
    <n v="46517"/>
    <n v="6736657.0638000006"/>
    <n v="179"/>
    <n v="46050.692737430167"/>
    <n v="6744483.1468000002"/>
    <m/>
    <m/>
    <n v="0"/>
    <m/>
    <m/>
    <n v="0"/>
    <m/>
    <m/>
    <n v="0"/>
    <m/>
    <m/>
    <n v="0"/>
  </r>
  <r>
    <x v="13"/>
    <s v="Trinity Valley Community College"/>
    <n v="225308"/>
    <x v="7"/>
    <n v="104"/>
    <n v="47721"/>
    <n v="4962984"/>
    <n v="107"/>
    <n v="67601.383177570096"/>
    <n v="7233348"/>
    <m/>
    <m/>
    <n v="0"/>
    <m/>
    <m/>
    <n v="0"/>
    <m/>
    <m/>
    <n v="0"/>
    <m/>
    <m/>
    <n v="0"/>
    <m/>
    <m/>
    <n v="0"/>
    <m/>
    <m/>
    <n v="0"/>
    <m/>
    <m/>
    <n v="0"/>
    <m/>
    <m/>
    <n v="0"/>
    <m/>
    <m/>
    <n v="0"/>
    <m/>
    <m/>
    <n v="0"/>
    <n v="30"/>
    <n v="60618"/>
    <n v="1487929.4280000001"/>
    <n v="33"/>
    <n v="67337.636363636368"/>
    <n v="1818156.5844000001"/>
    <m/>
    <m/>
    <n v="0"/>
    <m/>
    <m/>
    <n v="0"/>
    <m/>
    <m/>
    <n v="0"/>
    <m/>
    <m/>
    <n v="0"/>
    <m/>
    <m/>
    <n v="0"/>
    <m/>
    <m/>
    <n v="0"/>
    <m/>
    <m/>
    <n v="0"/>
    <m/>
    <m/>
    <n v="0"/>
    <m/>
    <m/>
    <n v="0"/>
    <m/>
    <m/>
    <n v="0"/>
  </r>
  <r>
    <x v="13"/>
    <s v="Vernon College "/>
    <n v="229504"/>
    <x v="7"/>
    <m/>
    <m/>
    <n v="0"/>
    <m/>
    <m/>
    <n v="0"/>
    <m/>
    <m/>
    <n v="0"/>
    <m/>
    <m/>
    <n v="0"/>
    <m/>
    <m/>
    <n v="0"/>
    <m/>
    <m/>
    <n v="0"/>
    <n v="48"/>
    <n v="40600"/>
    <n v="1948800"/>
    <n v="46"/>
    <n v="41569.260869565216"/>
    <n v="1912186"/>
    <m/>
    <m/>
    <n v="0"/>
    <m/>
    <m/>
    <n v="0"/>
    <m/>
    <m/>
    <n v="0"/>
    <m/>
    <m/>
    <n v="0"/>
    <m/>
    <m/>
    <n v="0"/>
    <m/>
    <m/>
    <n v="0"/>
    <m/>
    <m/>
    <n v="0"/>
    <m/>
    <m/>
    <n v="0"/>
    <m/>
    <m/>
    <n v="0"/>
    <m/>
    <m/>
    <n v="0"/>
    <n v="26"/>
    <n v="49502"/>
    <n v="1053065.9464"/>
    <n v="28"/>
    <n v="52174.892857142855"/>
    <n v="1195305.9254000001"/>
    <m/>
    <m/>
    <n v="0"/>
    <m/>
    <m/>
    <n v="0"/>
    <m/>
    <m/>
    <n v="0"/>
    <m/>
    <m/>
    <n v="0"/>
  </r>
  <r>
    <x v="13"/>
    <s v="Victoria College "/>
    <n v="229540"/>
    <x v="7"/>
    <n v="71"/>
    <n v="51298"/>
    <n v="3642158"/>
    <n v="74"/>
    <n v="52759.54054054054"/>
    <n v="3904206"/>
    <m/>
    <m/>
    <n v="0"/>
    <m/>
    <m/>
    <n v="0"/>
    <m/>
    <m/>
    <n v="0"/>
    <m/>
    <m/>
    <n v="0"/>
    <m/>
    <m/>
    <n v="0"/>
    <m/>
    <m/>
    <n v="0"/>
    <m/>
    <m/>
    <n v="0"/>
    <m/>
    <m/>
    <n v="0"/>
    <m/>
    <m/>
    <n v="0"/>
    <m/>
    <m/>
    <n v="0"/>
    <n v="25"/>
    <n v="57771"/>
    <n v="1181705.8050000002"/>
    <n v="26"/>
    <n v="61598.269230769234"/>
    <n v="1310392.301"/>
    <m/>
    <m/>
    <n v="0"/>
    <m/>
    <m/>
    <n v="0"/>
    <m/>
    <m/>
    <n v="0"/>
    <m/>
    <m/>
    <n v="0"/>
    <m/>
    <m/>
    <n v="0"/>
    <m/>
    <m/>
    <n v="0"/>
    <m/>
    <m/>
    <n v="0"/>
    <m/>
    <m/>
    <n v="0"/>
    <m/>
    <m/>
    <n v="0"/>
    <m/>
    <m/>
    <n v="0"/>
  </r>
  <r>
    <x v="13"/>
    <s v="Weatherford College "/>
    <n v="229799"/>
    <x v="7"/>
    <m/>
    <m/>
    <n v="0"/>
    <m/>
    <m/>
    <n v="0"/>
    <m/>
    <m/>
    <n v="0"/>
    <m/>
    <m/>
    <n v="0"/>
    <m/>
    <m/>
    <n v="0"/>
    <m/>
    <m/>
    <n v="0"/>
    <n v="81"/>
    <n v="48168"/>
    <n v="3901608"/>
    <n v="82"/>
    <n v="49681.402439024387"/>
    <n v="4073874.9999999995"/>
    <m/>
    <m/>
    <n v="0"/>
    <m/>
    <m/>
    <n v="0"/>
    <m/>
    <m/>
    <n v="0"/>
    <m/>
    <m/>
    <n v="0"/>
    <m/>
    <m/>
    <n v="0"/>
    <m/>
    <m/>
    <n v="0"/>
    <m/>
    <m/>
    <n v="0"/>
    <m/>
    <m/>
    <n v="0"/>
    <m/>
    <m/>
    <n v="0"/>
    <m/>
    <m/>
    <n v="0"/>
    <n v="29"/>
    <n v="52974"/>
    <n v="1256956.4772000001"/>
    <n v="29"/>
    <n v="52961.551724137928"/>
    <n v="1256661.1070000001"/>
    <m/>
    <m/>
    <n v="0"/>
    <m/>
    <m/>
    <n v="0"/>
    <m/>
    <m/>
    <n v="0"/>
    <m/>
    <m/>
    <n v="0"/>
  </r>
  <r>
    <x v="13"/>
    <s v="Wharton County Junior College "/>
    <n v="229841"/>
    <x v="7"/>
    <m/>
    <m/>
    <n v="0"/>
    <m/>
    <m/>
    <n v="0"/>
    <m/>
    <m/>
    <n v="0"/>
    <m/>
    <m/>
    <n v="0"/>
    <m/>
    <m/>
    <n v="0"/>
    <m/>
    <m/>
    <n v="0"/>
    <m/>
    <m/>
    <n v="0"/>
    <m/>
    <m/>
    <n v="0"/>
    <m/>
    <m/>
    <n v="0"/>
    <m/>
    <m/>
    <n v="0"/>
    <n v="103"/>
    <n v="47323"/>
    <n v="4874269"/>
    <n v="102"/>
    <n v="49335.401960784315"/>
    <n v="5032211"/>
    <m/>
    <m/>
    <n v="0"/>
    <m/>
    <m/>
    <n v="0"/>
    <m/>
    <m/>
    <n v="0"/>
    <m/>
    <m/>
    <n v="0"/>
    <m/>
    <m/>
    <n v="0"/>
    <m/>
    <m/>
    <n v="0"/>
    <m/>
    <m/>
    <n v="0"/>
    <m/>
    <m/>
    <n v="0"/>
    <m/>
    <m/>
    <n v="0"/>
    <m/>
    <m/>
    <n v="0"/>
    <n v="41"/>
    <n v="58362"/>
    <n v="1957823.3244"/>
    <n v="48"/>
    <n v="59416.6875"/>
    <n v="2333507.2182"/>
  </r>
  <r>
    <x v="13"/>
    <s v="Clarendon College "/>
    <n v="223922"/>
    <x v="8"/>
    <n v="4"/>
    <n v="43506"/>
    <n v="174024"/>
    <n v="4"/>
    <n v="44203.75"/>
    <n v="176815"/>
    <n v="8"/>
    <n v="38145"/>
    <n v="305160"/>
    <n v="6"/>
    <n v="43419.833333333336"/>
    <n v="260519"/>
    <n v="8"/>
    <n v="44390"/>
    <n v="355120"/>
    <n v="8"/>
    <n v="39932.125"/>
    <n v="319457"/>
    <n v="8"/>
    <n v="34086"/>
    <n v="272688"/>
    <n v="8"/>
    <n v="34060"/>
    <n v="272480"/>
    <m/>
    <m/>
    <n v="0"/>
    <m/>
    <m/>
    <n v="0"/>
    <m/>
    <m/>
    <n v="0"/>
    <m/>
    <m/>
    <n v="0"/>
    <m/>
    <m/>
    <n v="0"/>
    <m/>
    <m/>
    <n v="0"/>
    <n v="2"/>
    <n v="47603"/>
    <n v="77897.549200000009"/>
    <n v="3"/>
    <n v="47707.666666666664"/>
    <n v="117103.23860000001"/>
    <n v="2"/>
    <n v="48800"/>
    <n v="79856.320000000007"/>
    <n v="2"/>
    <n v="46638"/>
    <n v="76318.423200000005"/>
    <m/>
    <m/>
    <n v="0"/>
    <m/>
    <m/>
    <n v="0"/>
    <m/>
    <m/>
    <n v="0"/>
    <m/>
    <m/>
    <n v="0"/>
    <m/>
    <m/>
    <n v="0"/>
    <m/>
    <m/>
    <n v="0"/>
  </r>
  <r>
    <x v="13"/>
    <s v="Frank Phillips College "/>
    <n v="224891"/>
    <x v="8"/>
    <m/>
    <m/>
    <n v="0"/>
    <m/>
    <m/>
    <n v="0"/>
    <m/>
    <m/>
    <n v="0"/>
    <m/>
    <m/>
    <n v="0"/>
    <m/>
    <m/>
    <n v="0"/>
    <m/>
    <m/>
    <n v="0"/>
    <n v="24"/>
    <n v="35940"/>
    <n v="862560"/>
    <n v="25"/>
    <n v="34502.839999999997"/>
    <n v="862570.99999999988"/>
    <m/>
    <m/>
    <n v="0"/>
    <m/>
    <m/>
    <n v="0"/>
    <m/>
    <m/>
    <n v="0"/>
    <m/>
    <m/>
    <n v="0"/>
    <m/>
    <m/>
    <n v="0"/>
    <m/>
    <m/>
    <n v="0"/>
    <m/>
    <m/>
    <n v="0"/>
    <m/>
    <m/>
    <n v="0"/>
    <m/>
    <m/>
    <n v="0"/>
    <m/>
    <m/>
    <n v="0"/>
    <n v="6"/>
    <n v="41685"/>
    <n v="204640.00200000001"/>
    <n v="4"/>
    <n v="40221.25"/>
    <n v="131636.10700000002"/>
    <m/>
    <m/>
    <n v="0"/>
    <m/>
    <m/>
    <n v="0"/>
    <m/>
    <m/>
    <n v="0"/>
    <m/>
    <m/>
    <n v="0"/>
  </r>
  <r>
    <x v="13"/>
    <s v="Galveston College "/>
    <n v="224961"/>
    <x v="8"/>
    <n v="6"/>
    <n v="68185"/>
    <n v="409110"/>
    <n v="5"/>
    <n v="72073.2"/>
    <n v="360366"/>
    <n v="6"/>
    <n v="62955"/>
    <n v="377730"/>
    <n v="5"/>
    <n v="68874.600000000006"/>
    <n v="344373"/>
    <n v="8"/>
    <n v="57008"/>
    <n v="456064"/>
    <n v="9"/>
    <n v="60111.222222222219"/>
    <n v="541001"/>
    <n v="31"/>
    <n v="58101"/>
    <n v="1801131"/>
    <n v="31"/>
    <n v="58208.580645161288"/>
    <n v="1804466"/>
    <m/>
    <m/>
    <n v="0"/>
    <m/>
    <m/>
    <n v="0"/>
    <m/>
    <m/>
    <n v="0"/>
    <m/>
    <m/>
    <n v="0"/>
    <m/>
    <m/>
    <n v="0"/>
    <m/>
    <m/>
    <n v="0"/>
    <m/>
    <m/>
    <n v="0"/>
    <m/>
    <m/>
    <n v="0"/>
    <m/>
    <m/>
    <n v="0"/>
    <m/>
    <m/>
    <n v="0"/>
    <n v="4"/>
    <n v="79580"/>
    <n v="260449.424"/>
    <n v="6"/>
    <n v="70406.5"/>
    <n v="345639.58980000002"/>
    <n v="1"/>
    <n v="67734"/>
    <n v="55419.9588"/>
    <m/>
    <m/>
    <n v="0"/>
    <m/>
    <m/>
    <n v="0"/>
    <n v="1"/>
    <n v="62220"/>
    <n v="50908.404000000002"/>
  </r>
  <r>
    <x v="13"/>
    <s v="Lamar State College-Orange"/>
    <n v="226107"/>
    <x v="8"/>
    <n v="1"/>
    <n v="47679"/>
    <n v="47679"/>
    <n v="2"/>
    <n v="49509"/>
    <n v="99018"/>
    <n v="3"/>
    <n v="46085"/>
    <n v="138255"/>
    <n v="2"/>
    <n v="46247"/>
    <n v="92494"/>
    <n v="9"/>
    <n v="46621"/>
    <n v="419589"/>
    <n v="9"/>
    <n v="48020.111111111109"/>
    <n v="432181"/>
    <n v="30"/>
    <n v="38077"/>
    <n v="1142310"/>
    <n v="33"/>
    <n v="38580.878787878784"/>
    <n v="1273169"/>
    <m/>
    <m/>
    <n v="0"/>
    <m/>
    <m/>
    <n v="0"/>
    <m/>
    <m/>
    <n v="0"/>
    <m/>
    <m/>
    <n v="0"/>
    <m/>
    <m/>
    <n v="0"/>
    <m/>
    <m/>
    <n v="0"/>
    <m/>
    <m/>
    <n v="0"/>
    <m/>
    <m/>
    <n v="0"/>
    <n v="1"/>
    <n v="51839"/>
    <n v="42414.669800000003"/>
    <n v="1"/>
    <n v="53394"/>
    <n v="43686.970800000003"/>
    <n v="4"/>
    <n v="41669"/>
    <n v="136374.30319999999"/>
    <n v="5"/>
    <n v="41973.8"/>
    <n v="171714.81580000001"/>
    <m/>
    <m/>
    <n v="0"/>
    <m/>
    <m/>
    <n v="0"/>
    <m/>
    <m/>
    <n v="0"/>
    <m/>
    <m/>
    <n v="0"/>
  </r>
  <r>
    <x v="13"/>
    <s v="Lamar State College-Port Arthur"/>
    <n v="226116"/>
    <x v="8"/>
    <n v="1"/>
    <n v="52445"/>
    <n v="52445"/>
    <n v="1"/>
    <n v="52445"/>
    <n v="52445"/>
    <n v="3"/>
    <n v="47143"/>
    <n v="141429"/>
    <n v="3"/>
    <n v="47143"/>
    <n v="141429"/>
    <n v="4"/>
    <n v="44021"/>
    <n v="176084"/>
    <n v="4"/>
    <n v="44020.5"/>
    <n v="176082"/>
    <n v="44"/>
    <n v="41777"/>
    <n v="1838188"/>
    <n v="36"/>
    <n v="41167.111111111109"/>
    <n v="1482016"/>
    <m/>
    <m/>
    <n v="0"/>
    <m/>
    <m/>
    <n v="0"/>
    <m/>
    <m/>
    <n v="0"/>
    <m/>
    <m/>
    <n v="0"/>
    <m/>
    <m/>
    <n v="0"/>
    <m/>
    <m/>
    <n v="0"/>
    <m/>
    <m/>
    <n v="0"/>
    <m/>
    <m/>
    <n v="0"/>
    <m/>
    <m/>
    <n v="0"/>
    <m/>
    <m/>
    <n v="0"/>
    <n v="18"/>
    <n v="49174"/>
    <n v="724215.0024"/>
    <n v="18"/>
    <n v="47144.444444444445"/>
    <n v="694324.52"/>
    <n v="5"/>
    <n v="48153"/>
    <n v="196993.92300000001"/>
    <m/>
    <m/>
    <n v="0"/>
    <m/>
    <m/>
    <n v="0"/>
    <n v="6"/>
    <n v="47233"/>
    <n v="231876.24360000002"/>
  </r>
  <r>
    <x v="13"/>
    <s v="Northeast Lakeview College (ACCD)"/>
    <s v="???????"/>
    <x v="8"/>
    <m/>
    <m/>
    <n v="0"/>
    <m/>
    <m/>
    <n v="0"/>
    <m/>
    <m/>
    <n v="0"/>
    <m/>
    <m/>
    <n v="0"/>
    <m/>
    <m/>
    <n v="0"/>
    <m/>
    <m/>
    <n v="0"/>
    <m/>
    <m/>
    <n v="0"/>
    <m/>
    <m/>
    <n v="0"/>
    <m/>
    <m/>
    <n v="0"/>
    <m/>
    <m/>
    <n v="0"/>
    <m/>
    <m/>
    <n v="0"/>
    <m/>
    <m/>
    <n v="0"/>
    <m/>
    <m/>
    <n v="0"/>
    <m/>
    <m/>
    <n v="0"/>
    <m/>
    <m/>
    <n v="0"/>
    <m/>
    <m/>
    <n v="0"/>
    <m/>
    <m/>
    <n v="0"/>
    <m/>
    <m/>
    <n v="0"/>
    <m/>
    <m/>
    <n v="0"/>
    <m/>
    <m/>
    <n v="0"/>
    <m/>
    <m/>
    <n v="0"/>
    <m/>
    <m/>
    <n v="0"/>
    <m/>
    <m/>
    <n v="0"/>
    <m/>
    <m/>
    <n v="0"/>
  </r>
  <r>
    <x v="13"/>
    <s v="Northeast Texas Community College "/>
    <n v="227225"/>
    <x v="8"/>
    <n v="28"/>
    <n v="52590"/>
    <n v="1472520"/>
    <n v="25"/>
    <n v="55880"/>
    <n v="1397000"/>
    <n v="4"/>
    <n v="53726"/>
    <n v="214904"/>
    <n v="8"/>
    <n v="58890.25"/>
    <n v="471122"/>
    <n v="4"/>
    <n v="41138"/>
    <n v="164552"/>
    <n v="8"/>
    <n v="35735.25"/>
    <n v="285882"/>
    <n v="6"/>
    <n v="46807"/>
    <n v="280842"/>
    <n v="8"/>
    <n v="42851.25"/>
    <n v="342810"/>
    <m/>
    <m/>
    <n v="0"/>
    <m/>
    <m/>
    <n v="0"/>
    <m/>
    <m/>
    <n v="0"/>
    <m/>
    <m/>
    <n v="0"/>
    <n v="2"/>
    <n v="52958"/>
    <n v="86660.4712"/>
    <n v="4"/>
    <n v="58678.5"/>
    <n v="192042.99480000001"/>
    <n v="5"/>
    <n v="52153"/>
    <n v="213357.92300000001"/>
    <n v="1"/>
    <n v="58790"/>
    <n v="48101.978000000003"/>
    <n v="2"/>
    <n v="48871"/>
    <n v="79972.504400000005"/>
    <n v="1"/>
    <n v="55829"/>
    <n v="45679.287800000006"/>
    <n v="5"/>
    <n v="43550"/>
    <n v="178163.05000000002"/>
    <n v="2"/>
    <n v="52069.5"/>
    <n v="85206.529800000004"/>
    <m/>
    <m/>
    <n v="0"/>
    <m/>
    <m/>
    <n v="0"/>
    <m/>
    <m/>
    <n v="0"/>
    <m/>
    <m/>
    <n v="0"/>
  </r>
  <r>
    <x v="13"/>
    <s v="Panola College"/>
    <n v="227386"/>
    <x v="8"/>
    <m/>
    <m/>
    <n v="0"/>
    <m/>
    <m/>
    <n v="0"/>
    <m/>
    <m/>
    <n v="0"/>
    <m/>
    <m/>
    <n v="0"/>
    <m/>
    <m/>
    <n v="0"/>
    <m/>
    <m/>
    <n v="0"/>
    <n v="47"/>
    <n v="47110"/>
    <n v="2214170"/>
    <n v="49"/>
    <n v="47902.367346938772"/>
    <n v="2347216"/>
    <m/>
    <m/>
    <n v="0"/>
    <m/>
    <m/>
    <n v="0"/>
    <m/>
    <m/>
    <n v="0"/>
    <m/>
    <m/>
    <n v="0"/>
    <m/>
    <m/>
    <n v="0"/>
    <m/>
    <m/>
    <n v="0"/>
    <m/>
    <m/>
    <n v="0"/>
    <m/>
    <m/>
    <n v="0"/>
    <m/>
    <m/>
    <n v="0"/>
    <m/>
    <m/>
    <n v="0"/>
    <n v="13"/>
    <n v="52088"/>
    <n v="554039.22080000001"/>
    <n v="16"/>
    <n v="51358.875"/>
    <n v="672349.30440000002"/>
    <m/>
    <m/>
    <n v="0"/>
    <m/>
    <m/>
    <n v="0"/>
    <m/>
    <m/>
    <n v="0"/>
    <m/>
    <m/>
    <n v="0"/>
  </r>
  <r>
    <x v="13"/>
    <s v="Ranger College "/>
    <n v="227687"/>
    <x v="8"/>
    <n v="1"/>
    <n v="44181"/>
    <n v="44181"/>
    <n v="1"/>
    <n v="44181"/>
    <n v="44181"/>
    <n v="6"/>
    <n v="34641"/>
    <n v="207846"/>
    <n v="5"/>
    <n v="34887.4"/>
    <n v="174437"/>
    <n v="6"/>
    <n v="29650"/>
    <n v="177900"/>
    <n v="8"/>
    <n v="30022.25"/>
    <n v="240178"/>
    <n v="1"/>
    <n v="23786"/>
    <n v="23786"/>
    <n v="1"/>
    <n v="25893"/>
    <n v="25893"/>
    <m/>
    <m/>
    <n v="0"/>
    <m/>
    <m/>
    <n v="0"/>
    <m/>
    <m/>
    <n v="0"/>
    <m/>
    <m/>
    <n v="0"/>
    <m/>
    <m/>
    <n v="0"/>
    <m/>
    <m/>
    <n v="0"/>
    <m/>
    <m/>
    <n v="0"/>
    <m/>
    <m/>
    <n v="0"/>
    <n v="1"/>
    <n v="35000"/>
    <n v="28637"/>
    <n v="2"/>
    <n v="15550"/>
    <n v="25446.02"/>
    <n v="3"/>
    <n v="32600"/>
    <n v="80019.960000000006"/>
    <n v="9"/>
    <n v="31527.777777777777"/>
    <n v="232164.25"/>
    <n v="2"/>
    <n v="28000"/>
    <n v="45819.200000000004"/>
    <m/>
    <m/>
    <n v="0"/>
    <m/>
    <m/>
    <n v="0"/>
    <m/>
    <m/>
    <n v="0"/>
  </r>
  <r>
    <x v="13"/>
    <s v="Southwest Collegiate Institute for the Deaf"/>
    <n v="382911"/>
    <x v="8"/>
    <m/>
    <m/>
    <n v="0"/>
    <m/>
    <m/>
    <n v="0"/>
    <m/>
    <m/>
    <n v="0"/>
    <m/>
    <m/>
    <n v="0"/>
    <m/>
    <m/>
    <n v="0"/>
    <m/>
    <m/>
    <n v="0"/>
    <m/>
    <m/>
    <n v="0"/>
    <m/>
    <m/>
    <n v="0"/>
    <m/>
    <m/>
    <n v="0"/>
    <m/>
    <m/>
    <n v="0"/>
    <m/>
    <m/>
    <n v="0"/>
    <m/>
    <m/>
    <n v="0"/>
    <m/>
    <m/>
    <n v="0"/>
    <m/>
    <m/>
    <n v="0"/>
    <m/>
    <m/>
    <n v="0"/>
    <m/>
    <m/>
    <n v="0"/>
    <m/>
    <m/>
    <n v="0"/>
    <m/>
    <m/>
    <n v="0"/>
    <m/>
    <m/>
    <n v="0"/>
    <m/>
    <m/>
    <n v="0"/>
    <m/>
    <m/>
    <n v="0"/>
    <m/>
    <m/>
    <n v="0"/>
    <m/>
    <m/>
    <n v="0"/>
    <m/>
    <m/>
    <n v="0"/>
  </r>
  <r>
    <x v="13"/>
    <s v="Texas State Technical College-Marshall"/>
    <n v="408394"/>
    <x v="8"/>
    <m/>
    <m/>
    <n v="0"/>
    <m/>
    <m/>
    <n v="0"/>
    <m/>
    <m/>
    <n v="0"/>
    <m/>
    <m/>
    <n v="0"/>
    <m/>
    <m/>
    <n v="0"/>
    <m/>
    <m/>
    <n v="0"/>
    <m/>
    <m/>
    <n v="0"/>
    <n v="1"/>
    <n v="34008"/>
    <n v="34008"/>
    <m/>
    <m/>
    <n v="0"/>
    <m/>
    <m/>
    <n v="0"/>
    <m/>
    <m/>
    <n v="0"/>
    <m/>
    <m/>
    <n v="0"/>
    <m/>
    <m/>
    <n v="0"/>
    <m/>
    <m/>
    <n v="0"/>
    <n v="2"/>
    <n v="50718"/>
    <n v="82994.935200000007"/>
    <n v="2"/>
    <n v="50718"/>
    <n v="82994.935200000007"/>
    <m/>
    <m/>
    <n v="0"/>
    <m/>
    <m/>
    <n v="0"/>
    <n v="30"/>
    <n v="46404"/>
    <n v="1139032.584"/>
    <n v="31"/>
    <n v="45343.774193548386"/>
    <n v="1150108.5574"/>
    <m/>
    <m/>
    <n v="0"/>
    <m/>
    <m/>
    <n v="0"/>
    <m/>
    <m/>
    <n v="0"/>
    <m/>
    <m/>
    <n v="0"/>
  </r>
  <r>
    <x v="13"/>
    <s v="Texas State Technical College-West Texas"/>
    <n v="229328"/>
    <x v="8"/>
    <m/>
    <m/>
    <n v="0"/>
    <m/>
    <m/>
    <n v="0"/>
    <m/>
    <m/>
    <n v="0"/>
    <m/>
    <m/>
    <n v="0"/>
    <m/>
    <m/>
    <n v="0"/>
    <m/>
    <m/>
    <n v="0"/>
    <n v="1"/>
    <n v="31692"/>
    <n v="31692"/>
    <n v="1"/>
    <n v="31692"/>
    <n v="31692"/>
    <m/>
    <m/>
    <n v="0"/>
    <m/>
    <m/>
    <n v="0"/>
    <m/>
    <m/>
    <n v="0"/>
    <m/>
    <m/>
    <n v="0"/>
    <m/>
    <m/>
    <n v="0"/>
    <m/>
    <m/>
    <n v="0"/>
    <n v="7"/>
    <n v="57279"/>
    <n v="328059.74460000003"/>
    <n v="5"/>
    <n v="51036"/>
    <n v="208788.27600000001"/>
    <m/>
    <m/>
    <n v="0"/>
    <m/>
    <m/>
    <n v="0"/>
    <n v="88"/>
    <n v="42900"/>
    <n v="3088868.64"/>
    <n v="88"/>
    <n v="42912.63636363636"/>
    <n v="3089778.4783999999"/>
    <m/>
    <m/>
    <n v="0"/>
    <m/>
    <m/>
    <n v="0"/>
    <m/>
    <m/>
    <n v="0"/>
    <m/>
    <m/>
    <n v="0"/>
  </r>
  <r>
    <x v="13"/>
    <s v="Western Texas College "/>
    <n v="229832"/>
    <x v="8"/>
    <n v="1"/>
    <n v="57436"/>
    <n v="57436"/>
    <m/>
    <m/>
    <n v="0"/>
    <n v="10"/>
    <n v="43707"/>
    <n v="437070"/>
    <n v="11"/>
    <n v="48583.36363636364"/>
    <n v="534417"/>
    <m/>
    <m/>
    <n v="0"/>
    <m/>
    <m/>
    <n v="0"/>
    <n v="24"/>
    <n v="36960"/>
    <n v="887040"/>
    <n v="25"/>
    <n v="39795.96"/>
    <n v="994899"/>
    <m/>
    <m/>
    <n v="0"/>
    <m/>
    <m/>
    <n v="0"/>
    <m/>
    <m/>
    <n v="0"/>
    <m/>
    <m/>
    <n v="0"/>
    <m/>
    <m/>
    <n v="0"/>
    <m/>
    <m/>
    <n v="0"/>
    <n v="2"/>
    <n v="52615"/>
    <n v="86099.186000000002"/>
    <n v="3"/>
    <n v="62826.666666666664"/>
    <n v="154214.33600000001"/>
    <m/>
    <m/>
    <n v="0"/>
    <m/>
    <m/>
    <n v="0"/>
    <n v="8"/>
    <n v="48251"/>
    <n v="315831.74560000002"/>
    <n v="9"/>
    <n v="59705.444444444445"/>
    <n v="439658.95180000004"/>
    <m/>
    <m/>
    <n v="0"/>
    <m/>
    <m/>
    <n v="0"/>
    <m/>
    <m/>
    <n v="0"/>
    <m/>
    <m/>
    <n v="0"/>
  </r>
  <r>
    <x v="14"/>
    <s v="George Mason University "/>
    <n v="232186"/>
    <x v="0"/>
    <n v="293"/>
    <n v="125484"/>
    <n v="36766812"/>
    <n v="295"/>
    <n v="123650"/>
    <n v="36476750"/>
    <n v="319"/>
    <n v="83276"/>
    <n v="26565044"/>
    <n v="330"/>
    <n v="84101"/>
    <n v="27753330"/>
    <n v="342"/>
    <n v="69119"/>
    <n v="23638698"/>
    <n v="372"/>
    <n v="69406"/>
    <n v="25819032"/>
    <n v="76"/>
    <n v="56241"/>
    <n v="4274316"/>
    <n v="72"/>
    <n v="56700"/>
    <n v="4082400"/>
    <m/>
    <m/>
    <n v="0"/>
    <m/>
    <m/>
    <n v="0"/>
    <m/>
    <m/>
    <n v="0"/>
    <m/>
    <m/>
    <n v="0"/>
    <n v="23"/>
    <n v="174249"/>
    <n v="3279122.2313999999"/>
    <n v="23"/>
    <n v="172147"/>
    <n v="3239565.5342000001"/>
    <n v="21"/>
    <n v="95313"/>
    <n v="1637687.0286000001"/>
    <n v="17"/>
    <n v="92809"/>
    <n v="1290917.5046000001"/>
    <n v="20"/>
    <n v="79295"/>
    <n v="1297583.3800000001"/>
    <n v="15"/>
    <n v="85360"/>
    <n v="1047623.28"/>
    <n v="10"/>
    <n v="63110"/>
    <n v="516366.02"/>
    <n v="10"/>
    <n v="69700"/>
    <n v="570285.4"/>
    <m/>
    <m/>
    <n v="0"/>
    <m/>
    <m/>
    <n v="0"/>
    <m/>
    <m/>
    <n v="0"/>
    <m/>
    <m/>
    <n v="0"/>
  </r>
  <r>
    <x v="14"/>
    <s v="University of Virginia"/>
    <n v="234076"/>
    <x v="0"/>
    <n v="363"/>
    <n v="129215"/>
    <n v="46905045"/>
    <n v="372"/>
    <n v="131495"/>
    <n v="48916140"/>
    <n v="257"/>
    <n v="91552"/>
    <n v="23528864"/>
    <n v="253"/>
    <n v="93046"/>
    <n v="23540638"/>
    <n v="191"/>
    <n v="75213"/>
    <n v="14365683"/>
    <n v="211"/>
    <n v="75613"/>
    <n v="15954343"/>
    <n v="14"/>
    <n v="52929"/>
    <n v="741006"/>
    <n v="11"/>
    <n v="54909"/>
    <n v="603999"/>
    <n v="57"/>
    <n v="51430"/>
    <n v="2931510"/>
    <n v="57"/>
    <n v="50563"/>
    <n v="2882091"/>
    <m/>
    <m/>
    <n v="0"/>
    <m/>
    <m/>
    <n v="0"/>
    <n v="147"/>
    <n v="175419"/>
    <n v="21098590.3926"/>
    <n v="134"/>
    <n v="173011"/>
    <n v="18968718.426800001"/>
    <n v="61"/>
    <n v="110256"/>
    <n v="5502899.0112000005"/>
    <n v="71"/>
    <n v="108623"/>
    <n v="6310149.0405999999"/>
    <n v="59"/>
    <n v="88475"/>
    <n v="4271024.4550000001"/>
    <n v="52"/>
    <n v="90219"/>
    <n v="3838493.6616000002"/>
    <m/>
    <m/>
    <n v="0"/>
    <n v="1"/>
    <n v="60000"/>
    <n v="49092"/>
    <n v="23"/>
    <n v="73317"/>
    <n v="1379723.2962"/>
    <n v="24"/>
    <n v="71751"/>
    <n v="1408960.0368000001"/>
    <m/>
    <m/>
    <n v="0"/>
    <m/>
    <m/>
    <n v="0"/>
  </r>
  <r>
    <x v="14"/>
    <s v="Virginia Tech "/>
    <n v="233921"/>
    <x v="0"/>
    <n v="333"/>
    <n v="112673"/>
    <n v="37520109"/>
    <n v="326"/>
    <n v="113100"/>
    <n v="36870600"/>
    <n v="327"/>
    <n v="82961"/>
    <n v="27128247"/>
    <n v="327"/>
    <n v="84935"/>
    <n v="27773745"/>
    <n v="265"/>
    <n v="68562"/>
    <n v="18168930"/>
    <n v="289"/>
    <n v="70767"/>
    <n v="20451663"/>
    <n v="135"/>
    <n v="43160"/>
    <n v="5826600"/>
    <n v="136"/>
    <n v="45062"/>
    <n v="6128432"/>
    <m/>
    <m/>
    <n v="0"/>
    <n v="10"/>
    <m/>
    <n v="0"/>
    <m/>
    <m/>
    <n v="0"/>
    <m/>
    <m/>
    <n v="0"/>
    <n v="162"/>
    <n v="150857"/>
    <n v="19995853.978800002"/>
    <n v="153"/>
    <n v="152237"/>
    <n v="19057727.950200003"/>
    <n v="95"/>
    <n v="101838"/>
    <n v="7915765.9020000007"/>
    <n v="86"/>
    <n v="101607"/>
    <n v="7149596.8764000004"/>
    <n v="31"/>
    <n v="78601"/>
    <n v="1993651.4842000001"/>
    <n v="26"/>
    <n v="81095"/>
    <n v="1725150.1540000001"/>
    <n v="18"/>
    <n v="58321"/>
    <n v="858928.35960000008"/>
    <n v="21"/>
    <n v="59297"/>
    <n v="1018852.9134000001"/>
    <n v="5"/>
    <n v="62491"/>
    <n v="255650.68100000001"/>
    <n v="5"/>
    <n v="62491"/>
    <n v="255650.68100000001"/>
    <m/>
    <m/>
    <n v="0"/>
    <m/>
    <m/>
    <n v="0"/>
  </r>
  <r>
    <x v="14"/>
    <s v="College of William &amp; Mary"/>
    <n v="231624"/>
    <x v="1"/>
    <n v="174"/>
    <n v="121716"/>
    <n v="21178584"/>
    <n v="184"/>
    <n v="118982"/>
    <n v="21892688"/>
    <n v="174"/>
    <n v="84991"/>
    <n v="14788434"/>
    <n v="173"/>
    <n v="84677"/>
    <n v="14649121"/>
    <n v="148"/>
    <n v="65671"/>
    <n v="9719308"/>
    <n v="147"/>
    <n v="67718"/>
    <n v="9954546"/>
    <n v="40"/>
    <n v="46328"/>
    <n v="1853120"/>
    <n v="35"/>
    <n v="45323"/>
    <n v="1586305"/>
    <n v="10"/>
    <n v="52910"/>
    <n v="529100"/>
    <m/>
    <n v="54970"/>
    <n v="0"/>
    <m/>
    <m/>
    <n v="0"/>
    <m/>
    <m/>
    <n v="0"/>
    <n v="33"/>
    <n v="128261"/>
    <n v="3463123.9566000002"/>
    <n v="35"/>
    <n v="125411"/>
    <n v="3591394.807"/>
    <n v="13"/>
    <n v="95238"/>
    <n v="1013008.5108"/>
    <n v="11"/>
    <n v="91455"/>
    <n v="823113.29100000008"/>
    <n v="8"/>
    <n v="64988"/>
    <n v="425385.45280000003"/>
    <n v="6"/>
    <n v="65583"/>
    <n v="321960.06359999999"/>
    <n v="1"/>
    <n v="40000"/>
    <n v="32728"/>
    <m/>
    <m/>
    <n v="0"/>
    <n v="1"/>
    <n v="40000"/>
    <n v="32728"/>
    <m/>
    <m/>
    <n v="0"/>
    <m/>
    <m/>
    <n v="0"/>
    <m/>
    <m/>
    <n v="0"/>
  </r>
  <r>
    <x v="14"/>
    <s v="Old Dominion University "/>
    <n v="232982"/>
    <x v="1"/>
    <n v="137"/>
    <n v="97813"/>
    <n v="13400381"/>
    <n v="130"/>
    <n v="101691"/>
    <n v="13219830"/>
    <n v="177"/>
    <n v="70453"/>
    <n v="12470181"/>
    <n v="170"/>
    <n v="73771"/>
    <n v="12541070"/>
    <n v="134"/>
    <n v="61346"/>
    <n v="8220364"/>
    <n v="151"/>
    <n v="63472"/>
    <n v="9584272"/>
    <n v="46"/>
    <n v="42799"/>
    <n v="1968754"/>
    <n v="28"/>
    <n v="43845"/>
    <n v="1227660"/>
    <n v="86"/>
    <n v="48571"/>
    <n v="4177106"/>
    <n v="111"/>
    <n v="49814"/>
    <n v="5529354"/>
    <m/>
    <m/>
    <n v="0"/>
    <m/>
    <m/>
    <n v="0"/>
    <n v="56"/>
    <n v="124380"/>
    <n v="5698992.0959999999"/>
    <n v="53"/>
    <n v="128239"/>
    <n v="5561032.9394000005"/>
    <n v="26"/>
    <n v="91674"/>
    <n v="1950199.3368000002"/>
    <n v="26"/>
    <n v="95323"/>
    <n v="2027825.2436000002"/>
    <n v="4"/>
    <n v="68869"/>
    <n v="225394.4632"/>
    <n v="7"/>
    <n v="82708"/>
    <n v="473701.79920000001"/>
    <n v="2"/>
    <n v="55773"/>
    <n v="91266.9372"/>
    <n v="1"/>
    <n v="63654"/>
    <n v="52081.702799999999"/>
    <n v="18"/>
    <n v="51891"/>
    <n v="764229.89160000009"/>
    <n v="20"/>
    <n v="55693"/>
    <n v="911360.25200000009"/>
    <m/>
    <m/>
    <n v="0"/>
    <m/>
    <m/>
    <n v="0"/>
  </r>
  <r>
    <x v="14"/>
    <s v="Virginia Commonwealth University  "/>
    <n v="234030"/>
    <x v="1"/>
    <n v="126"/>
    <n v="103331"/>
    <n v="13019706"/>
    <n v="131"/>
    <n v="104475"/>
    <n v="13686225"/>
    <n v="218"/>
    <n v="79467"/>
    <n v="17323806"/>
    <n v="215"/>
    <n v="80009"/>
    <n v="17201935"/>
    <n v="217"/>
    <n v="60522"/>
    <n v="13133274"/>
    <n v="223"/>
    <n v="60845"/>
    <n v="13568435"/>
    <n v="90"/>
    <n v="45243"/>
    <n v="4071870"/>
    <n v="95"/>
    <n v="45022"/>
    <n v="4277090"/>
    <m/>
    <m/>
    <n v="0"/>
    <m/>
    <m/>
    <n v="0"/>
    <m/>
    <m/>
    <n v="0"/>
    <m/>
    <m/>
    <n v="0"/>
    <n v="84"/>
    <n v="137476"/>
    <n v="9448560.5088"/>
    <n v="92"/>
    <n v="140220"/>
    <n v="10554976.368000001"/>
    <n v="93"/>
    <n v="96348"/>
    <n v="7331369.8248000005"/>
    <n v="104"/>
    <n v="99280"/>
    <n v="8448013.1840000004"/>
    <n v="131"/>
    <n v="79854"/>
    <n v="8559087.1068000011"/>
    <n v="145"/>
    <n v="82915"/>
    <n v="9836952.6850000005"/>
    <n v="126"/>
    <n v="59344"/>
    <n v="6117962.8607999999"/>
    <n v="114"/>
    <n v="63018"/>
    <n v="5877991.3464000002"/>
    <m/>
    <m/>
    <n v="0"/>
    <m/>
    <m/>
    <n v="0"/>
    <m/>
    <m/>
    <n v="0"/>
    <m/>
    <m/>
    <n v="0"/>
  </r>
  <r>
    <x v="14"/>
    <s v="James Madison University  "/>
    <n v="232423"/>
    <x v="2"/>
    <n v="215"/>
    <n v="86211"/>
    <n v="18535365"/>
    <n v="213"/>
    <n v="85956"/>
    <n v="18308628"/>
    <n v="190"/>
    <n v="68163"/>
    <n v="12950970"/>
    <n v="202"/>
    <n v="68642"/>
    <n v="13865684"/>
    <n v="253"/>
    <n v="56707"/>
    <n v="14346871"/>
    <n v="266"/>
    <n v="56107"/>
    <n v="14924462"/>
    <n v="107"/>
    <n v="48740"/>
    <n v="5215180"/>
    <n v="116"/>
    <n v="49064"/>
    <n v="5691424"/>
    <m/>
    <m/>
    <n v="0"/>
    <m/>
    <m/>
    <n v="0"/>
    <m/>
    <m/>
    <n v="0"/>
    <m/>
    <m/>
    <n v="0"/>
    <n v="48"/>
    <n v="114584"/>
    <n v="4500126.1824000003"/>
    <n v="52"/>
    <n v="114159"/>
    <n v="4857054.4775999999"/>
    <n v="16"/>
    <n v="95673"/>
    <n v="1252474.3776"/>
    <n v="19"/>
    <n v="92053"/>
    <n v="1431037.5274"/>
    <n v="14"/>
    <n v="75999"/>
    <n v="870553.3452000001"/>
    <n v="11"/>
    <n v="73828"/>
    <n v="664466.76560000004"/>
    <n v="11"/>
    <n v="62755"/>
    <n v="564807.55099999998"/>
    <n v="18"/>
    <n v="61095"/>
    <n v="899782.72200000007"/>
    <m/>
    <m/>
    <n v="0"/>
    <m/>
    <m/>
    <n v="0"/>
    <m/>
    <m/>
    <n v="0"/>
    <m/>
    <m/>
    <n v="0"/>
  </r>
  <r>
    <x v="14"/>
    <s v="Radford University"/>
    <n v="233277"/>
    <x v="2"/>
    <n v="125"/>
    <n v="75738"/>
    <n v="9467250"/>
    <n v="129"/>
    <n v="77968"/>
    <n v="10057872"/>
    <n v="72"/>
    <n v="61943"/>
    <n v="4459896"/>
    <n v="79"/>
    <n v="65129"/>
    <n v="5145191"/>
    <n v="145"/>
    <n v="55309"/>
    <n v="8019805"/>
    <n v="136"/>
    <n v="56979"/>
    <n v="7749144"/>
    <n v="52"/>
    <n v="43895"/>
    <n v="2282540"/>
    <n v="52"/>
    <n v="47114"/>
    <n v="2449928"/>
    <m/>
    <m/>
    <n v="0"/>
    <m/>
    <m/>
    <n v="0"/>
    <m/>
    <m/>
    <n v="0"/>
    <m/>
    <m/>
    <n v="0"/>
    <n v="1"/>
    <n v="115000"/>
    <n v="94093"/>
    <n v="2"/>
    <n v="115000"/>
    <n v="188186"/>
    <m/>
    <m/>
    <n v="0"/>
    <m/>
    <m/>
    <n v="0"/>
    <m/>
    <m/>
    <n v="0"/>
    <m/>
    <m/>
    <n v="0"/>
    <n v="2"/>
    <n v="49741"/>
    <n v="81396.17240000001"/>
    <n v="2"/>
    <n v="51698"/>
    <n v="84598.607199999999"/>
    <m/>
    <m/>
    <n v="0"/>
    <m/>
    <m/>
    <n v="0"/>
    <m/>
    <m/>
    <n v="0"/>
    <m/>
    <m/>
    <n v="0"/>
  </r>
  <r>
    <x v="14"/>
    <s v="Christopher Newport University"/>
    <n v="231712"/>
    <x v="3"/>
    <n v="38"/>
    <n v="99801"/>
    <n v="3792438"/>
    <n v="41"/>
    <n v="98641"/>
    <n v="4044281"/>
    <n v="66"/>
    <n v="75346"/>
    <n v="4972836"/>
    <n v="70"/>
    <n v="74875"/>
    <n v="5241250"/>
    <n v="94"/>
    <n v="59113"/>
    <n v="5556622"/>
    <n v="97"/>
    <n v="57323"/>
    <n v="5560331"/>
    <n v="28"/>
    <n v="47339"/>
    <n v="1325492"/>
    <n v="31"/>
    <n v="46359"/>
    <n v="1437129"/>
    <m/>
    <m/>
    <n v="0"/>
    <m/>
    <m/>
    <n v="0"/>
    <m/>
    <m/>
    <n v="0"/>
    <m/>
    <m/>
    <n v="0"/>
    <m/>
    <m/>
    <n v="0"/>
    <m/>
    <m/>
    <n v="0"/>
    <m/>
    <m/>
    <n v="0"/>
    <m/>
    <m/>
    <n v="0"/>
    <m/>
    <m/>
    <n v="0"/>
    <m/>
    <m/>
    <n v="0"/>
    <m/>
    <m/>
    <n v="0"/>
    <m/>
    <m/>
    <n v="0"/>
    <m/>
    <m/>
    <n v="0"/>
    <m/>
    <m/>
    <n v="0"/>
    <m/>
    <m/>
    <n v="0"/>
    <m/>
    <m/>
    <n v="0"/>
  </r>
  <r>
    <x v="14"/>
    <s v="Norfolk State University "/>
    <n v="232937"/>
    <x v="3"/>
    <n v="63"/>
    <n v="74335"/>
    <n v="4683105"/>
    <n v="65"/>
    <n v="79863"/>
    <n v="5191095"/>
    <n v="43"/>
    <n v="65978"/>
    <n v="2837054"/>
    <n v="41"/>
    <n v="69084"/>
    <n v="2832444"/>
    <n v="78"/>
    <n v="54493"/>
    <n v="4250454"/>
    <n v="81"/>
    <n v="56410"/>
    <n v="4569210"/>
    <n v="47"/>
    <n v="47632"/>
    <n v="2238704"/>
    <n v="48"/>
    <n v="49924"/>
    <n v="2396352"/>
    <m/>
    <m/>
    <n v="0"/>
    <m/>
    <m/>
    <n v="0"/>
    <m/>
    <m/>
    <n v="0"/>
    <m/>
    <m/>
    <n v="0"/>
    <n v="18"/>
    <n v="92561"/>
    <n v="1363201.3836000001"/>
    <n v="18"/>
    <n v="96474"/>
    <n v="1420830.4824000001"/>
    <n v="13"/>
    <n v="85634"/>
    <n v="910854.60440000007"/>
    <n v="11"/>
    <n v="87958"/>
    <n v="791639.59160000004"/>
    <n v="6"/>
    <n v="72344"/>
    <n v="355151.16480000003"/>
    <n v="4"/>
    <n v="72495"/>
    <n v="237261.636"/>
    <n v="4"/>
    <n v="52843"/>
    <n v="172944.5704"/>
    <n v="4"/>
    <n v="56076"/>
    <n v="183525.53280000002"/>
    <m/>
    <m/>
    <n v="0"/>
    <m/>
    <m/>
    <n v="0"/>
    <m/>
    <m/>
    <n v="0"/>
    <m/>
    <m/>
    <n v="0"/>
  </r>
  <r>
    <x v="14"/>
    <s v="Virginia State University "/>
    <n v="234155"/>
    <x v="3"/>
    <n v="25"/>
    <n v="75232"/>
    <n v="1880800"/>
    <n v="25"/>
    <n v="76334"/>
    <n v="1908350"/>
    <n v="75"/>
    <n v="63761"/>
    <n v="4782075"/>
    <n v="80"/>
    <n v="61987"/>
    <n v="4958960"/>
    <n v="104"/>
    <n v="60276"/>
    <n v="6268704"/>
    <n v="82"/>
    <n v="62257"/>
    <n v="5105074"/>
    <n v="17"/>
    <n v="50918"/>
    <n v="865606"/>
    <n v="19"/>
    <n v="52300"/>
    <n v="993700"/>
    <m/>
    <m/>
    <n v="0"/>
    <m/>
    <m/>
    <n v="0"/>
    <m/>
    <m/>
    <n v="0"/>
    <m/>
    <m/>
    <n v="0"/>
    <n v="12"/>
    <n v="99328"/>
    <n v="975242.03520000004"/>
    <n v="19"/>
    <n v="102325"/>
    <n v="1590723.9850000001"/>
    <n v="15"/>
    <n v="82289"/>
    <n v="1009932.897"/>
    <n v="16"/>
    <n v="96268"/>
    <n v="1260263.6416"/>
    <n v="12"/>
    <n v="61724"/>
    <n v="606030.9216"/>
    <n v="7"/>
    <n v="78398"/>
    <n v="449016.70520000003"/>
    <n v="3"/>
    <n v="47735"/>
    <n v="117170.33100000001"/>
    <n v="6"/>
    <n v="51254"/>
    <n v="251616.13680000001"/>
    <m/>
    <m/>
    <n v="0"/>
    <m/>
    <m/>
    <n v="0"/>
    <m/>
    <m/>
    <n v="0"/>
    <m/>
    <m/>
    <n v="0"/>
  </r>
  <r>
    <x v="14"/>
    <s v="Longwood University "/>
    <n v="232566"/>
    <x v="4"/>
    <n v="42"/>
    <n v="74237"/>
    <n v="3117954"/>
    <n v="43"/>
    <n v="75833"/>
    <n v="3260819"/>
    <n v="53"/>
    <n v="63061"/>
    <n v="3342233"/>
    <n v="63"/>
    <n v="63098"/>
    <n v="3975174"/>
    <n v="74"/>
    <n v="52196"/>
    <n v="3862504"/>
    <n v="72"/>
    <n v="54147"/>
    <n v="3898584"/>
    <n v="5"/>
    <n v="47363"/>
    <n v="236815"/>
    <n v="3"/>
    <n v="54866"/>
    <n v="164598"/>
    <n v="34"/>
    <n v="40781"/>
    <n v="1386554"/>
    <n v="30"/>
    <n v="41291"/>
    <n v="1238730"/>
    <m/>
    <m/>
    <n v="0"/>
    <m/>
    <m/>
    <n v="0"/>
    <m/>
    <m/>
    <n v="0"/>
    <m/>
    <m/>
    <n v="0"/>
    <m/>
    <m/>
    <n v="0"/>
    <m/>
    <m/>
    <n v="0"/>
    <m/>
    <m/>
    <n v="0"/>
    <m/>
    <m/>
    <n v="0"/>
    <m/>
    <m/>
    <n v="0"/>
    <m/>
    <m/>
    <n v="0"/>
    <m/>
    <m/>
    <n v="0"/>
    <m/>
    <m/>
    <n v="0"/>
    <m/>
    <m/>
    <n v="0"/>
    <m/>
    <m/>
    <n v="0"/>
  </r>
  <r>
    <x v="14"/>
    <s v="University of Mary Washington "/>
    <n v="232681"/>
    <x v="4"/>
    <n v="66"/>
    <n v="84826"/>
    <n v="5598516"/>
    <n v="64"/>
    <n v="82795"/>
    <n v="5298880"/>
    <n v="67"/>
    <n v="65379"/>
    <n v="4380393"/>
    <n v="64"/>
    <n v="66940"/>
    <n v="4284160"/>
    <n v="69"/>
    <n v="49261"/>
    <n v="3399009"/>
    <n v="71"/>
    <n v="52964"/>
    <n v="3760444"/>
    <n v="2"/>
    <n v="43500"/>
    <n v="87000"/>
    <n v="5"/>
    <n v="46008"/>
    <n v="230040"/>
    <n v="14"/>
    <n v="53383"/>
    <n v="747362"/>
    <n v="14"/>
    <n v="56900"/>
    <n v="796600"/>
    <m/>
    <m/>
    <n v="0"/>
    <m/>
    <m/>
    <n v="0"/>
    <n v="2"/>
    <n v="102556"/>
    <n v="167822.6384"/>
    <n v="3"/>
    <n v="104456"/>
    <n v="256397.69760000001"/>
    <n v="13"/>
    <n v="70070"/>
    <n v="745306.56200000003"/>
    <n v="14"/>
    <n v="73350"/>
    <n v="840209.58000000007"/>
    <n v="11"/>
    <n v="67730"/>
    <n v="609583.54599999997"/>
    <n v="8"/>
    <n v="70586"/>
    <n v="462027.72160000005"/>
    <n v="2"/>
    <n v="54000"/>
    <n v="88365.6"/>
    <n v="3"/>
    <n v="62061"/>
    <n v="152334.93060000002"/>
    <m/>
    <m/>
    <n v="0"/>
    <m/>
    <m/>
    <n v="0"/>
    <m/>
    <m/>
    <n v="0"/>
    <m/>
    <m/>
    <n v="0"/>
  </r>
  <r>
    <x v="14"/>
    <s v="University of Virginia's College at Wise "/>
    <n v="233897"/>
    <x v="5"/>
    <n v="14"/>
    <n v="76434"/>
    <n v="1070076"/>
    <n v="18"/>
    <n v="76972"/>
    <n v="1385496"/>
    <n v="26"/>
    <n v="62865"/>
    <n v="1634490"/>
    <n v="25"/>
    <n v="61236"/>
    <n v="1530900"/>
    <n v="27"/>
    <n v="55989"/>
    <n v="1511703"/>
    <n v="27"/>
    <n v="54744"/>
    <n v="1478088"/>
    <n v="24"/>
    <n v="41821"/>
    <n v="1003704"/>
    <n v="23"/>
    <n v="42830"/>
    <n v="985090"/>
    <n v="4"/>
    <n v="40175"/>
    <n v="160700"/>
    <n v="1"/>
    <n v="38600"/>
    <n v="38600"/>
    <m/>
    <m/>
    <n v="0"/>
    <m/>
    <m/>
    <n v="0"/>
    <m/>
    <m/>
    <n v="0"/>
    <m/>
    <m/>
    <n v="0"/>
    <m/>
    <m/>
    <n v="0"/>
    <m/>
    <m/>
    <n v="0"/>
    <m/>
    <m/>
    <n v="0"/>
    <m/>
    <m/>
    <n v="0"/>
    <m/>
    <m/>
    <n v="0"/>
    <m/>
    <m/>
    <n v="0"/>
    <m/>
    <m/>
    <n v="0"/>
    <m/>
    <m/>
    <n v="0"/>
    <m/>
    <m/>
    <n v="0"/>
    <m/>
    <m/>
    <n v="0"/>
  </r>
  <r>
    <x v="14"/>
    <s v="J.S. Reynolds Community College"/>
    <n v="232414"/>
    <x v="6"/>
    <m/>
    <m/>
    <n v="0"/>
    <m/>
    <m/>
    <n v="0"/>
    <m/>
    <m/>
    <n v="0"/>
    <m/>
    <m/>
    <n v="0"/>
    <m/>
    <m/>
    <n v="0"/>
    <m/>
    <m/>
    <n v="0"/>
    <m/>
    <m/>
    <n v="0"/>
    <m/>
    <m/>
    <n v="0"/>
    <m/>
    <m/>
    <n v="0"/>
    <m/>
    <m/>
    <n v="0"/>
    <m/>
    <m/>
    <n v="0"/>
    <m/>
    <m/>
    <n v="0"/>
    <m/>
    <m/>
    <n v="0"/>
    <m/>
    <m/>
    <n v="0"/>
    <m/>
    <m/>
    <n v="0"/>
    <m/>
    <m/>
    <n v="0"/>
    <m/>
    <m/>
    <n v="0"/>
    <m/>
    <m/>
    <n v="0"/>
    <m/>
    <m/>
    <n v="0"/>
    <m/>
    <m/>
    <n v="0"/>
    <m/>
    <m/>
    <n v="0"/>
    <m/>
    <m/>
    <n v="0"/>
    <m/>
    <m/>
    <n v="0"/>
    <m/>
    <m/>
    <n v="0"/>
  </r>
  <r>
    <x v="14"/>
    <s v="Northern Virginia Community College "/>
    <n v="232946"/>
    <x v="6"/>
    <m/>
    <m/>
    <n v="0"/>
    <m/>
    <m/>
    <n v="0"/>
    <m/>
    <m/>
    <n v="0"/>
    <m/>
    <m/>
    <n v="0"/>
    <m/>
    <m/>
    <n v="0"/>
    <m/>
    <m/>
    <n v="0"/>
    <m/>
    <m/>
    <n v="0"/>
    <m/>
    <m/>
    <n v="0"/>
    <m/>
    <m/>
    <n v="0"/>
    <m/>
    <m/>
    <n v="0"/>
    <m/>
    <m/>
    <n v="0"/>
    <m/>
    <m/>
    <n v="0"/>
    <m/>
    <m/>
    <n v="0"/>
    <m/>
    <m/>
    <n v="0"/>
    <m/>
    <m/>
    <n v="0"/>
    <m/>
    <m/>
    <n v="0"/>
    <m/>
    <m/>
    <n v="0"/>
    <m/>
    <m/>
    <n v="0"/>
    <m/>
    <m/>
    <n v="0"/>
    <m/>
    <m/>
    <n v="0"/>
    <m/>
    <m/>
    <n v="0"/>
    <m/>
    <m/>
    <n v="0"/>
    <m/>
    <m/>
    <n v="0"/>
    <m/>
    <m/>
    <n v="0"/>
  </r>
  <r>
    <x v="14"/>
    <s v="Thomas Nelson Community College "/>
    <n v="233754"/>
    <x v="6"/>
    <m/>
    <m/>
    <n v="0"/>
    <m/>
    <m/>
    <n v="0"/>
    <m/>
    <m/>
    <n v="0"/>
    <m/>
    <m/>
    <n v="0"/>
    <m/>
    <m/>
    <n v="0"/>
    <m/>
    <m/>
    <n v="0"/>
    <m/>
    <m/>
    <n v="0"/>
    <m/>
    <m/>
    <n v="0"/>
    <m/>
    <m/>
    <n v="0"/>
    <m/>
    <m/>
    <n v="0"/>
    <m/>
    <m/>
    <n v="0"/>
    <m/>
    <m/>
    <n v="0"/>
    <m/>
    <m/>
    <n v="0"/>
    <m/>
    <m/>
    <n v="0"/>
    <m/>
    <m/>
    <n v="0"/>
    <m/>
    <m/>
    <n v="0"/>
    <m/>
    <m/>
    <n v="0"/>
    <m/>
    <m/>
    <n v="0"/>
    <m/>
    <m/>
    <n v="0"/>
    <m/>
    <m/>
    <n v="0"/>
    <m/>
    <m/>
    <n v="0"/>
    <m/>
    <m/>
    <n v="0"/>
    <m/>
    <m/>
    <n v="0"/>
    <m/>
    <m/>
    <n v="0"/>
  </r>
  <r>
    <x v="14"/>
    <s v="Tidewater Community College "/>
    <n v="233772"/>
    <x v="6"/>
    <m/>
    <m/>
    <n v="0"/>
    <m/>
    <m/>
    <n v="0"/>
    <m/>
    <m/>
    <n v="0"/>
    <m/>
    <m/>
    <n v="0"/>
    <m/>
    <m/>
    <n v="0"/>
    <m/>
    <m/>
    <n v="0"/>
    <m/>
    <m/>
    <n v="0"/>
    <m/>
    <m/>
    <n v="0"/>
    <m/>
    <m/>
    <n v="0"/>
    <m/>
    <m/>
    <n v="0"/>
    <m/>
    <m/>
    <n v="0"/>
    <m/>
    <m/>
    <n v="0"/>
    <m/>
    <m/>
    <n v="0"/>
    <m/>
    <m/>
    <n v="0"/>
    <m/>
    <m/>
    <n v="0"/>
    <m/>
    <m/>
    <n v="0"/>
    <m/>
    <m/>
    <n v="0"/>
    <m/>
    <m/>
    <n v="0"/>
    <m/>
    <m/>
    <n v="0"/>
    <m/>
    <m/>
    <n v="0"/>
    <m/>
    <m/>
    <n v="0"/>
    <m/>
    <m/>
    <n v="0"/>
    <m/>
    <m/>
    <n v="0"/>
    <m/>
    <m/>
    <n v="0"/>
  </r>
  <r>
    <x v="14"/>
    <s v="Blue Ridge Community College "/>
    <n v="231536"/>
    <x v="7"/>
    <m/>
    <m/>
    <n v="0"/>
    <m/>
    <m/>
    <n v="0"/>
    <m/>
    <m/>
    <n v="0"/>
    <m/>
    <m/>
    <n v="0"/>
    <m/>
    <m/>
    <n v="0"/>
    <m/>
    <m/>
    <n v="0"/>
    <m/>
    <m/>
    <n v="0"/>
    <m/>
    <m/>
    <n v="0"/>
    <m/>
    <m/>
    <n v="0"/>
    <m/>
    <m/>
    <n v="0"/>
    <m/>
    <m/>
    <n v="0"/>
    <m/>
    <m/>
    <n v="0"/>
    <m/>
    <m/>
    <n v="0"/>
    <m/>
    <m/>
    <n v="0"/>
    <m/>
    <m/>
    <n v="0"/>
    <m/>
    <m/>
    <n v="0"/>
    <m/>
    <m/>
    <n v="0"/>
    <m/>
    <m/>
    <n v="0"/>
    <m/>
    <m/>
    <n v="0"/>
    <m/>
    <m/>
    <n v="0"/>
    <m/>
    <m/>
    <n v="0"/>
    <m/>
    <m/>
    <n v="0"/>
    <m/>
    <m/>
    <n v="0"/>
    <m/>
    <m/>
    <n v="0"/>
  </r>
  <r>
    <x v="14"/>
    <s v="Central Virginia Community College "/>
    <n v="231697"/>
    <x v="7"/>
    <m/>
    <m/>
    <n v="0"/>
    <m/>
    <m/>
    <n v="0"/>
    <m/>
    <m/>
    <n v="0"/>
    <m/>
    <m/>
    <n v="0"/>
    <m/>
    <m/>
    <n v="0"/>
    <m/>
    <m/>
    <n v="0"/>
    <m/>
    <m/>
    <n v="0"/>
    <m/>
    <m/>
    <n v="0"/>
    <m/>
    <m/>
    <n v="0"/>
    <m/>
    <m/>
    <n v="0"/>
    <m/>
    <m/>
    <n v="0"/>
    <m/>
    <m/>
    <n v="0"/>
    <m/>
    <m/>
    <n v="0"/>
    <m/>
    <m/>
    <n v="0"/>
    <m/>
    <m/>
    <n v="0"/>
    <m/>
    <m/>
    <n v="0"/>
    <m/>
    <m/>
    <n v="0"/>
    <m/>
    <m/>
    <n v="0"/>
    <m/>
    <m/>
    <n v="0"/>
    <m/>
    <m/>
    <n v="0"/>
    <m/>
    <m/>
    <n v="0"/>
    <m/>
    <m/>
    <n v="0"/>
    <m/>
    <m/>
    <n v="0"/>
    <m/>
    <m/>
    <n v="0"/>
  </r>
  <r>
    <x v="14"/>
    <s v="Danville Community College "/>
    <n v="231882"/>
    <x v="7"/>
    <m/>
    <m/>
    <n v="0"/>
    <m/>
    <m/>
    <n v="0"/>
    <m/>
    <m/>
    <n v="0"/>
    <m/>
    <m/>
    <n v="0"/>
    <m/>
    <m/>
    <n v="0"/>
    <m/>
    <m/>
    <n v="0"/>
    <m/>
    <m/>
    <n v="0"/>
    <m/>
    <m/>
    <n v="0"/>
    <m/>
    <m/>
    <n v="0"/>
    <m/>
    <m/>
    <n v="0"/>
    <m/>
    <m/>
    <n v="0"/>
    <m/>
    <m/>
    <n v="0"/>
    <m/>
    <m/>
    <n v="0"/>
    <m/>
    <m/>
    <n v="0"/>
    <m/>
    <m/>
    <n v="0"/>
    <m/>
    <m/>
    <n v="0"/>
    <m/>
    <m/>
    <n v="0"/>
    <m/>
    <m/>
    <n v="0"/>
    <m/>
    <m/>
    <n v="0"/>
    <m/>
    <m/>
    <n v="0"/>
    <m/>
    <m/>
    <n v="0"/>
    <m/>
    <m/>
    <n v="0"/>
    <m/>
    <m/>
    <n v="0"/>
    <m/>
    <m/>
    <n v="0"/>
  </r>
  <r>
    <x v="14"/>
    <s v="Germanna Community College"/>
    <n v="232195"/>
    <x v="7"/>
    <m/>
    <m/>
    <n v="0"/>
    <m/>
    <m/>
    <n v="0"/>
    <m/>
    <m/>
    <n v="0"/>
    <m/>
    <m/>
    <n v="0"/>
    <m/>
    <m/>
    <n v="0"/>
    <m/>
    <m/>
    <n v="0"/>
    <m/>
    <m/>
    <n v="0"/>
    <m/>
    <m/>
    <n v="0"/>
    <m/>
    <m/>
    <n v="0"/>
    <m/>
    <m/>
    <n v="0"/>
    <m/>
    <m/>
    <n v="0"/>
    <m/>
    <m/>
    <n v="0"/>
    <m/>
    <m/>
    <n v="0"/>
    <m/>
    <m/>
    <n v="0"/>
    <m/>
    <m/>
    <n v="0"/>
    <m/>
    <m/>
    <n v="0"/>
    <m/>
    <m/>
    <n v="0"/>
    <m/>
    <m/>
    <n v="0"/>
    <m/>
    <m/>
    <n v="0"/>
    <m/>
    <m/>
    <n v="0"/>
    <m/>
    <m/>
    <n v="0"/>
    <m/>
    <m/>
    <n v="0"/>
    <m/>
    <m/>
    <n v="0"/>
    <m/>
    <m/>
    <n v="0"/>
  </r>
  <r>
    <x v="14"/>
    <s v="John Tyler Community College"/>
    <n v="232450"/>
    <x v="7"/>
    <m/>
    <m/>
    <n v="0"/>
    <m/>
    <m/>
    <n v="0"/>
    <m/>
    <m/>
    <n v="0"/>
    <m/>
    <m/>
    <n v="0"/>
    <m/>
    <m/>
    <n v="0"/>
    <m/>
    <m/>
    <n v="0"/>
    <m/>
    <m/>
    <n v="0"/>
    <m/>
    <m/>
    <n v="0"/>
    <m/>
    <m/>
    <n v="0"/>
    <m/>
    <m/>
    <n v="0"/>
    <m/>
    <m/>
    <n v="0"/>
    <m/>
    <m/>
    <n v="0"/>
    <m/>
    <m/>
    <n v="0"/>
    <m/>
    <m/>
    <n v="0"/>
    <m/>
    <m/>
    <n v="0"/>
    <m/>
    <m/>
    <n v="0"/>
    <m/>
    <m/>
    <n v="0"/>
    <m/>
    <m/>
    <n v="0"/>
    <m/>
    <m/>
    <n v="0"/>
    <m/>
    <m/>
    <n v="0"/>
    <m/>
    <m/>
    <n v="0"/>
    <m/>
    <m/>
    <n v="0"/>
    <m/>
    <m/>
    <n v="0"/>
    <m/>
    <m/>
    <n v="0"/>
  </r>
  <r>
    <x v="14"/>
    <s v="Lord Fairfax Community College  "/>
    <n v="232575"/>
    <x v="7"/>
    <m/>
    <m/>
    <n v="0"/>
    <m/>
    <m/>
    <n v="0"/>
    <m/>
    <m/>
    <n v="0"/>
    <m/>
    <m/>
    <n v="0"/>
    <m/>
    <m/>
    <n v="0"/>
    <m/>
    <m/>
    <n v="0"/>
    <m/>
    <m/>
    <n v="0"/>
    <m/>
    <m/>
    <n v="0"/>
    <m/>
    <m/>
    <n v="0"/>
    <m/>
    <m/>
    <n v="0"/>
    <m/>
    <m/>
    <n v="0"/>
    <m/>
    <m/>
    <n v="0"/>
    <m/>
    <m/>
    <n v="0"/>
    <m/>
    <m/>
    <n v="0"/>
    <m/>
    <m/>
    <n v="0"/>
    <m/>
    <m/>
    <n v="0"/>
    <m/>
    <m/>
    <n v="0"/>
    <m/>
    <m/>
    <n v="0"/>
    <m/>
    <m/>
    <n v="0"/>
    <m/>
    <m/>
    <n v="0"/>
    <m/>
    <m/>
    <n v="0"/>
    <m/>
    <m/>
    <n v="0"/>
    <m/>
    <m/>
    <n v="0"/>
    <m/>
    <m/>
    <n v="0"/>
  </r>
  <r>
    <x v="14"/>
    <s v="New River Community College "/>
    <n v="232867"/>
    <x v="7"/>
    <m/>
    <m/>
    <n v="0"/>
    <m/>
    <m/>
    <n v="0"/>
    <m/>
    <m/>
    <n v="0"/>
    <m/>
    <m/>
    <n v="0"/>
    <m/>
    <m/>
    <n v="0"/>
    <m/>
    <m/>
    <n v="0"/>
    <m/>
    <m/>
    <n v="0"/>
    <m/>
    <m/>
    <n v="0"/>
    <m/>
    <m/>
    <n v="0"/>
    <m/>
    <m/>
    <n v="0"/>
    <m/>
    <m/>
    <n v="0"/>
    <m/>
    <m/>
    <n v="0"/>
    <m/>
    <m/>
    <n v="0"/>
    <m/>
    <m/>
    <n v="0"/>
    <m/>
    <m/>
    <n v="0"/>
    <m/>
    <m/>
    <n v="0"/>
    <m/>
    <m/>
    <n v="0"/>
    <m/>
    <m/>
    <n v="0"/>
    <m/>
    <m/>
    <n v="0"/>
    <m/>
    <m/>
    <n v="0"/>
    <m/>
    <m/>
    <n v="0"/>
    <m/>
    <m/>
    <n v="0"/>
    <m/>
    <m/>
    <n v="0"/>
    <m/>
    <m/>
    <n v="0"/>
  </r>
  <r>
    <x v="14"/>
    <s v="Piedmont Virginia Community College "/>
    <n v="233116"/>
    <x v="7"/>
    <m/>
    <m/>
    <n v="0"/>
    <m/>
    <m/>
    <n v="0"/>
    <m/>
    <m/>
    <n v="0"/>
    <m/>
    <m/>
    <n v="0"/>
    <m/>
    <m/>
    <n v="0"/>
    <m/>
    <m/>
    <n v="0"/>
    <m/>
    <m/>
    <n v="0"/>
    <m/>
    <m/>
    <n v="0"/>
    <m/>
    <m/>
    <n v="0"/>
    <m/>
    <m/>
    <n v="0"/>
    <m/>
    <m/>
    <n v="0"/>
    <m/>
    <m/>
    <n v="0"/>
    <m/>
    <m/>
    <n v="0"/>
    <m/>
    <m/>
    <n v="0"/>
    <m/>
    <m/>
    <n v="0"/>
    <m/>
    <m/>
    <n v="0"/>
    <m/>
    <m/>
    <n v="0"/>
    <m/>
    <m/>
    <n v="0"/>
    <m/>
    <m/>
    <n v="0"/>
    <m/>
    <m/>
    <n v="0"/>
    <m/>
    <m/>
    <n v="0"/>
    <m/>
    <m/>
    <n v="0"/>
    <m/>
    <m/>
    <n v="0"/>
    <m/>
    <m/>
    <n v="0"/>
  </r>
  <r>
    <x v="14"/>
    <s v="Southside Virginia Community College  "/>
    <n v="233639"/>
    <x v="7"/>
    <m/>
    <m/>
    <n v="0"/>
    <m/>
    <m/>
    <n v="0"/>
    <m/>
    <m/>
    <n v="0"/>
    <m/>
    <m/>
    <n v="0"/>
    <m/>
    <m/>
    <n v="0"/>
    <m/>
    <m/>
    <n v="0"/>
    <m/>
    <m/>
    <n v="0"/>
    <m/>
    <m/>
    <n v="0"/>
    <m/>
    <m/>
    <n v="0"/>
    <m/>
    <m/>
    <n v="0"/>
    <m/>
    <m/>
    <n v="0"/>
    <m/>
    <m/>
    <n v="0"/>
    <m/>
    <m/>
    <n v="0"/>
    <m/>
    <m/>
    <n v="0"/>
    <m/>
    <m/>
    <n v="0"/>
    <m/>
    <m/>
    <n v="0"/>
    <m/>
    <m/>
    <n v="0"/>
    <m/>
    <m/>
    <n v="0"/>
    <m/>
    <m/>
    <n v="0"/>
    <m/>
    <m/>
    <n v="0"/>
    <m/>
    <m/>
    <n v="0"/>
    <m/>
    <m/>
    <n v="0"/>
    <m/>
    <m/>
    <n v="0"/>
    <m/>
    <m/>
    <n v="0"/>
  </r>
  <r>
    <x v="14"/>
    <s v="Southwest Virginia Community College "/>
    <n v="233648"/>
    <x v="7"/>
    <m/>
    <m/>
    <n v="0"/>
    <m/>
    <m/>
    <n v="0"/>
    <m/>
    <m/>
    <n v="0"/>
    <m/>
    <m/>
    <n v="0"/>
    <m/>
    <m/>
    <n v="0"/>
    <m/>
    <m/>
    <n v="0"/>
    <m/>
    <m/>
    <n v="0"/>
    <m/>
    <m/>
    <n v="0"/>
    <m/>
    <m/>
    <n v="0"/>
    <m/>
    <m/>
    <n v="0"/>
    <m/>
    <m/>
    <n v="0"/>
    <m/>
    <m/>
    <n v="0"/>
    <m/>
    <m/>
    <n v="0"/>
    <m/>
    <m/>
    <n v="0"/>
    <m/>
    <m/>
    <n v="0"/>
    <m/>
    <m/>
    <n v="0"/>
    <m/>
    <m/>
    <n v="0"/>
    <m/>
    <m/>
    <n v="0"/>
    <m/>
    <m/>
    <n v="0"/>
    <m/>
    <m/>
    <n v="0"/>
    <m/>
    <m/>
    <n v="0"/>
    <m/>
    <m/>
    <n v="0"/>
    <m/>
    <m/>
    <n v="0"/>
    <m/>
    <m/>
    <n v="0"/>
  </r>
  <r>
    <x v="14"/>
    <s v="Virginia Western Community College "/>
    <n v="233949"/>
    <x v="7"/>
    <m/>
    <m/>
    <n v="0"/>
    <m/>
    <m/>
    <n v="0"/>
    <m/>
    <m/>
    <n v="0"/>
    <m/>
    <m/>
    <n v="0"/>
    <m/>
    <m/>
    <n v="0"/>
    <m/>
    <m/>
    <n v="0"/>
    <m/>
    <m/>
    <n v="0"/>
    <m/>
    <m/>
    <n v="0"/>
    <m/>
    <m/>
    <n v="0"/>
    <m/>
    <m/>
    <n v="0"/>
    <m/>
    <m/>
    <n v="0"/>
    <m/>
    <m/>
    <n v="0"/>
    <m/>
    <m/>
    <n v="0"/>
    <m/>
    <m/>
    <n v="0"/>
    <m/>
    <m/>
    <n v="0"/>
    <m/>
    <m/>
    <n v="0"/>
    <m/>
    <m/>
    <n v="0"/>
    <m/>
    <m/>
    <n v="0"/>
    <m/>
    <m/>
    <n v="0"/>
    <m/>
    <m/>
    <n v="0"/>
    <m/>
    <m/>
    <n v="0"/>
    <m/>
    <m/>
    <n v="0"/>
    <m/>
    <m/>
    <n v="0"/>
    <m/>
    <m/>
    <n v="0"/>
  </r>
  <r>
    <x v="14"/>
    <s v="D.S. Lancaster Community College "/>
    <n v="231873"/>
    <x v="8"/>
    <m/>
    <m/>
    <n v="0"/>
    <m/>
    <m/>
    <n v="0"/>
    <m/>
    <m/>
    <n v="0"/>
    <m/>
    <m/>
    <n v="0"/>
    <m/>
    <m/>
    <n v="0"/>
    <m/>
    <m/>
    <n v="0"/>
    <m/>
    <m/>
    <n v="0"/>
    <m/>
    <m/>
    <n v="0"/>
    <m/>
    <m/>
    <n v="0"/>
    <m/>
    <m/>
    <n v="0"/>
    <m/>
    <m/>
    <n v="0"/>
    <m/>
    <m/>
    <n v="0"/>
    <m/>
    <m/>
    <n v="0"/>
    <m/>
    <m/>
    <n v="0"/>
    <m/>
    <m/>
    <n v="0"/>
    <m/>
    <m/>
    <n v="0"/>
    <m/>
    <m/>
    <n v="0"/>
    <m/>
    <m/>
    <n v="0"/>
    <m/>
    <m/>
    <n v="0"/>
    <m/>
    <m/>
    <n v="0"/>
    <m/>
    <m/>
    <n v="0"/>
    <m/>
    <m/>
    <n v="0"/>
    <m/>
    <m/>
    <n v="0"/>
    <m/>
    <m/>
    <n v="0"/>
  </r>
  <r>
    <x v="14"/>
    <s v="Eastern Shore Community College  "/>
    <n v="232052"/>
    <x v="8"/>
    <m/>
    <m/>
    <n v="0"/>
    <m/>
    <m/>
    <n v="0"/>
    <m/>
    <m/>
    <n v="0"/>
    <m/>
    <m/>
    <n v="0"/>
    <m/>
    <m/>
    <n v="0"/>
    <m/>
    <m/>
    <n v="0"/>
    <m/>
    <m/>
    <n v="0"/>
    <m/>
    <m/>
    <n v="0"/>
    <m/>
    <m/>
    <n v="0"/>
    <m/>
    <m/>
    <n v="0"/>
    <m/>
    <m/>
    <n v="0"/>
    <m/>
    <m/>
    <n v="0"/>
    <m/>
    <m/>
    <n v="0"/>
    <m/>
    <m/>
    <n v="0"/>
    <m/>
    <m/>
    <n v="0"/>
    <m/>
    <m/>
    <n v="0"/>
    <m/>
    <m/>
    <n v="0"/>
    <m/>
    <m/>
    <n v="0"/>
    <m/>
    <m/>
    <n v="0"/>
    <m/>
    <m/>
    <n v="0"/>
    <m/>
    <m/>
    <n v="0"/>
    <m/>
    <m/>
    <n v="0"/>
    <m/>
    <m/>
    <n v="0"/>
    <m/>
    <m/>
    <n v="0"/>
  </r>
  <r>
    <x v="14"/>
    <s v="Mountain Empire Community College"/>
    <n v="232788"/>
    <x v="8"/>
    <m/>
    <m/>
    <n v="0"/>
    <m/>
    <m/>
    <n v="0"/>
    <m/>
    <m/>
    <n v="0"/>
    <m/>
    <m/>
    <n v="0"/>
    <m/>
    <m/>
    <n v="0"/>
    <m/>
    <m/>
    <n v="0"/>
    <m/>
    <m/>
    <n v="0"/>
    <m/>
    <m/>
    <n v="0"/>
    <m/>
    <m/>
    <n v="0"/>
    <m/>
    <m/>
    <n v="0"/>
    <m/>
    <m/>
    <n v="0"/>
    <m/>
    <m/>
    <n v="0"/>
    <m/>
    <m/>
    <n v="0"/>
    <m/>
    <m/>
    <n v="0"/>
    <m/>
    <m/>
    <n v="0"/>
    <m/>
    <m/>
    <n v="0"/>
    <m/>
    <m/>
    <n v="0"/>
    <m/>
    <m/>
    <n v="0"/>
    <m/>
    <m/>
    <n v="0"/>
    <m/>
    <m/>
    <n v="0"/>
    <m/>
    <m/>
    <n v="0"/>
    <m/>
    <m/>
    <n v="0"/>
    <m/>
    <m/>
    <n v="0"/>
    <m/>
    <m/>
    <n v="0"/>
  </r>
  <r>
    <x v="14"/>
    <s v="Patrick Henry Community College "/>
    <n v="233019"/>
    <x v="8"/>
    <m/>
    <m/>
    <n v="0"/>
    <m/>
    <m/>
    <n v="0"/>
    <m/>
    <m/>
    <n v="0"/>
    <m/>
    <m/>
    <n v="0"/>
    <m/>
    <m/>
    <n v="0"/>
    <m/>
    <m/>
    <n v="0"/>
    <m/>
    <m/>
    <n v="0"/>
    <m/>
    <m/>
    <n v="0"/>
    <m/>
    <m/>
    <n v="0"/>
    <m/>
    <m/>
    <n v="0"/>
    <m/>
    <m/>
    <n v="0"/>
    <m/>
    <m/>
    <n v="0"/>
    <m/>
    <m/>
    <n v="0"/>
    <m/>
    <m/>
    <n v="0"/>
    <m/>
    <m/>
    <n v="0"/>
    <m/>
    <m/>
    <n v="0"/>
    <m/>
    <m/>
    <n v="0"/>
    <m/>
    <m/>
    <n v="0"/>
    <m/>
    <m/>
    <n v="0"/>
    <m/>
    <m/>
    <n v="0"/>
    <m/>
    <m/>
    <n v="0"/>
    <m/>
    <m/>
    <n v="0"/>
    <m/>
    <m/>
    <n v="0"/>
    <m/>
    <m/>
    <n v="0"/>
  </r>
  <r>
    <x v="14"/>
    <s v="Paul D. Camp Community College  "/>
    <n v="233037"/>
    <x v="8"/>
    <m/>
    <m/>
    <n v="0"/>
    <m/>
    <m/>
    <n v="0"/>
    <m/>
    <m/>
    <n v="0"/>
    <m/>
    <m/>
    <n v="0"/>
    <m/>
    <m/>
    <n v="0"/>
    <m/>
    <m/>
    <n v="0"/>
    <m/>
    <m/>
    <n v="0"/>
    <m/>
    <m/>
    <n v="0"/>
    <m/>
    <m/>
    <n v="0"/>
    <m/>
    <m/>
    <n v="0"/>
    <m/>
    <m/>
    <n v="0"/>
    <m/>
    <m/>
    <n v="0"/>
    <m/>
    <m/>
    <n v="0"/>
    <m/>
    <m/>
    <n v="0"/>
    <m/>
    <m/>
    <n v="0"/>
    <m/>
    <m/>
    <n v="0"/>
    <m/>
    <m/>
    <n v="0"/>
    <m/>
    <m/>
    <n v="0"/>
    <m/>
    <m/>
    <n v="0"/>
    <m/>
    <m/>
    <n v="0"/>
    <m/>
    <m/>
    <n v="0"/>
    <m/>
    <m/>
    <n v="0"/>
    <m/>
    <m/>
    <n v="0"/>
    <m/>
    <m/>
    <n v="0"/>
  </r>
  <r>
    <x v="14"/>
    <s v="Rappahannock Community College  "/>
    <n v="233310"/>
    <x v="8"/>
    <m/>
    <m/>
    <n v="0"/>
    <m/>
    <m/>
    <n v="0"/>
    <m/>
    <m/>
    <n v="0"/>
    <m/>
    <m/>
    <n v="0"/>
    <m/>
    <m/>
    <n v="0"/>
    <m/>
    <m/>
    <n v="0"/>
    <m/>
    <m/>
    <n v="0"/>
    <m/>
    <m/>
    <n v="0"/>
    <m/>
    <m/>
    <n v="0"/>
    <m/>
    <m/>
    <n v="0"/>
    <m/>
    <m/>
    <n v="0"/>
    <m/>
    <m/>
    <n v="0"/>
    <m/>
    <m/>
    <n v="0"/>
    <m/>
    <m/>
    <n v="0"/>
    <m/>
    <m/>
    <n v="0"/>
    <m/>
    <m/>
    <n v="0"/>
    <m/>
    <m/>
    <n v="0"/>
    <m/>
    <m/>
    <n v="0"/>
    <m/>
    <m/>
    <n v="0"/>
    <m/>
    <m/>
    <n v="0"/>
    <m/>
    <m/>
    <n v="0"/>
    <m/>
    <m/>
    <n v="0"/>
    <m/>
    <m/>
    <n v="0"/>
    <m/>
    <m/>
    <n v="0"/>
  </r>
  <r>
    <x v="14"/>
    <s v="Richard Bland College "/>
    <n v="233338"/>
    <x v="8"/>
    <n v="8"/>
    <n v="65432"/>
    <n v="523456"/>
    <n v="8"/>
    <n v="68049"/>
    <n v="544392"/>
    <n v="18"/>
    <n v="52734"/>
    <n v="949212"/>
    <n v="19"/>
    <n v="53982"/>
    <n v="1025658"/>
    <n v="8"/>
    <n v="43680"/>
    <n v="349440"/>
    <n v="6"/>
    <n v="48862"/>
    <n v="293172"/>
    <m/>
    <m/>
    <n v="0"/>
    <m/>
    <m/>
    <n v="0"/>
    <m/>
    <m/>
    <n v="0"/>
    <m/>
    <m/>
    <n v="0"/>
    <m/>
    <m/>
    <n v="0"/>
    <m/>
    <m/>
    <n v="0"/>
    <m/>
    <m/>
    <n v="0"/>
    <m/>
    <m/>
    <n v="0"/>
    <m/>
    <m/>
    <n v="0"/>
    <m/>
    <m/>
    <n v="0"/>
    <m/>
    <m/>
    <n v="0"/>
    <m/>
    <m/>
    <n v="0"/>
    <m/>
    <m/>
    <n v="0"/>
    <m/>
    <m/>
    <n v="0"/>
    <m/>
    <m/>
    <n v="0"/>
    <m/>
    <m/>
    <n v="0"/>
    <m/>
    <m/>
    <n v="0"/>
    <m/>
    <m/>
    <n v="0"/>
  </r>
  <r>
    <x v="14"/>
    <s v="Virginia Highlands Community College "/>
    <n v="233903"/>
    <x v="8"/>
    <m/>
    <m/>
    <n v="0"/>
    <m/>
    <m/>
    <n v="0"/>
    <m/>
    <m/>
    <n v="0"/>
    <m/>
    <m/>
    <n v="0"/>
    <m/>
    <m/>
    <n v="0"/>
    <m/>
    <m/>
    <n v="0"/>
    <m/>
    <m/>
    <n v="0"/>
    <m/>
    <m/>
    <n v="0"/>
    <m/>
    <m/>
    <n v="0"/>
    <m/>
    <m/>
    <n v="0"/>
    <m/>
    <m/>
    <n v="0"/>
    <m/>
    <m/>
    <n v="0"/>
    <m/>
    <m/>
    <n v="0"/>
    <m/>
    <m/>
    <n v="0"/>
    <m/>
    <m/>
    <n v="0"/>
    <m/>
    <m/>
    <n v="0"/>
    <m/>
    <m/>
    <n v="0"/>
    <m/>
    <m/>
    <n v="0"/>
    <m/>
    <m/>
    <n v="0"/>
    <m/>
    <m/>
    <n v="0"/>
    <m/>
    <m/>
    <n v="0"/>
    <m/>
    <m/>
    <n v="0"/>
    <m/>
    <m/>
    <n v="0"/>
    <m/>
    <m/>
    <n v="0"/>
  </r>
  <r>
    <x v="14"/>
    <s v="Wytheville Community College "/>
    <n v="234377"/>
    <x v="8"/>
    <m/>
    <m/>
    <n v="0"/>
    <m/>
    <m/>
    <n v="0"/>
    <m/>
    <m/>
    <n v="0"/>
    <m/>
    <m/>
    <n v="0"/>
    <m/>
    <m/>
    <n v="0"/>
    <m/>
    <m/>
    <n v="0"/>
    <m/>
    <m/>
    <n v="0"/>
    <m/>
    <m/>
    <n v="0"/>
    <m/>
    <m/>
    <n v="0"/>
    <m/>
    <m/>
    <n v="0"/>
    <m/>
    <m/>
    <n v="0"/>
    <m/>
    <m/>
    <n v="0"/>
    <m/>
    <m/>
    <n v="0"/>
    <m/>
    <m/>
    <n v="0"/>
    <m/>
    <m/>
    <n v="0"/>
    <m/>
    <m/>
    <n v="0"/>
    <m/>
    <m/>
    <n v="0"/>
    <m/>
    <m/>
    <n v="0"/>
    <m/>
    <m/>
    <n v="0"/>
    <m/>
    <m/>
    <n v="0"/>
    <m/>
    <m/>
    <n v="0"/>
    <m/>
    <m/>
    <n v="0"/>
    <m/>
    <m/>
    <n v="0"/>
    <m/>
    <m/>
    <n v="0"/>
  </r>
  <r>
    <x v="14"/>
    <s v="All Community Colleges except R.Bland"/>
    <m/>
    <x v="13"/>
    <n v="400"/>
    <n v="65532.6175"/>
    <n v="26213047"/>
    <n v="395"/>
    <n v="68399.356962025311"/>
    <n v="27017745.999999996"/>
    <n v="615"/>
    <n v="57394.92682926829"/>
    <n v="35297880"/>
    <n v="575"/>
    <n v="60623.519999999997"/>
    <n v="34858524"/>
    <n v="643"/>
    <n v="51331.842923794713"/>
    <n v="33006375"/>
    <n v="631"/>
    <n v="54375.232963549919"/>
    <n v="34310772"/>
    <n v="386"/>
    <n v="45272.427461139894"/>
    <n v="17475157"/>
    <n v="375"/>
    <n v="47872.832000000002"/>
    <n v="17952312"/>
    <n v="1"/>
    <n v="28185"/>
    <n v="28185"/>
    <m/>
    <m/>
    <n v="0"/>
    <m/>
    <m/>
    <n v="0"/>
    <m/>
    <m/>
    <n v="0"/>
    <n v="16"/>
    <n v="83415.25"/>
    <n v="1092005.7208"/>
    <n v="37"/>
    <n v="76810.432432432426"/>
    <n v="2325312.9452"/>
    <n v="22"/>
    <n v="74058.681818181823"/>
    <n v="1333085.8962000001"/>
    <n v="61"/>
    <n v="64889.967213114753"/>
    <n v="3238671.2416000003"/>
    <n v="28"/>
    <n v="65026.142857142855"/>
    <n v="1489722.9224"/>
    <n v="59"/>
    <n v="63150.966101694918"/>
    <n v="3048537.1074000001"/>
    <n v="62"/>
    <n v="51422.387096774197"/>
    <n v="2608575.4216"/>
    <n v="39"/>
    <n v="56616.820512820515"/>
    <n v="1806631.4192000001"/>
    <m/>
    <m/>
    <n v="0"/>
    <m/>
    <m/>
    <n v="0"/>
    <m/>
    <m/>
    <n v="0"/>
    <m/>
    <m/>
    <n v="0"/>
  </r>
  <r>
    <x v="15"/>
    <s v="West Virginia University"/>
    <n v="238032"/>
    <x v="0"/>
    <n v="217"/>
    <n v="91889"/>
    <n v="19939913"/>
    <n v="218"/>
    <n v="101544"/>
    <n v="22136592"/>
    <n v="184"/>
    <n v="67257"/>
    <n v="12375288"/>
    <n v="197"/>
    <n v="71902"/>
    <n v="14164694"/>
    <n v="231"/>
    <n v="57275"/>
    <n v="13230525"/>
    <n v="278"/>
    <n v="59227"/>
    <n v="16465106"/>
    <n v="4"/>
    <n v="38091"/>
    <n v="152364"/>
    <n v="35"/>
    <n v="40040"/>
    <n v="1401400"/>
    <n v="24"/>
    <n v="47803"/>
    <n v="1147272"/>
    <n v="20"/>
    <n v="49213"/>
    <n v="984260"/>
    <m/>
    <m/>
    <n v="0"/>
    <m/>
    <m/>
    <n v="0"/>
    <n v="77"/>
    <n v="114103"/>
    <n v="7188648.7442000005"/>
    <n v="69"/>
    <n v="126944"/>
    <n v="7166725.0752000008"/>
    <n v="35"/>
    <n v="89496"/>
    <n v="2562896.952"/>
    <n v="37"/>
    <n v="100369"/>
    <n v="3038510.8846"/>
    <n v="39"/>
    <n v="81422"/>
    <n v="2598159.7356000002"/>
    <n v="30"/>
    <n v="88986"/>
    <n v="2184250.3560000001"/>
    <n v="15"/>
    <n v="54101"/>
    <n v="663981.57299999997"/>
    <n v="7"/>
    <n v="61189"/>
    <n v="350453.8786"/>
    <n v="3"/>
    <n v="55096"/>
    <n v="135238.6416"/>
    <n v="3"/>
    <n v="65492"/>
    <n v="160756.66320000001"/>
    <m/>
    <m/>
    <n v="0"/>
    <m/>
    <m/>
    <n v="0"/>
  </r>
  <r>
    <x v="15"/>
    <s v="Marshall University "/>
    <n v="237525"/>
    <x v="2"/>
    <n v="190"/>
    <n v="71085"/>
    <n v="13506150"/>
    <n v="183"/>
    <n v="73190"/>
    <n v="13393770"/>
    <n v="104"/>
    <n v="56410"/>
    <n v="5866640"/>
    <n v="110"/>
    <n v="58519"/>
    <n v="6437090"/>
    <n v="115"/>
    <n v="47971"/>
    <n v="5516665"/>
    <n v="116"/>
    <n v="48541"/>
    <n v="5630756"/>
    <n v="24"/>
    <n v="28235"/>
    <n v="677640"/>
    <n v="28"/>
    <n v="31227"/>
    <n v="874356"/>
    <m/>
    <m/>
    <n v="0"/>
    <m/>
    <m/>
    <n v="0"/>
    <m/>
    <m/>
    <n v="0"/>
    <m/>
    <m/>
    <n v="0"/>
    <n v="15"/>
    <n v="96126"/>
    <n v="1179754.398"/>
    <n v="16"/>
    <n v="96496"/>
    <n v="1263248.4351999999"/>
    <n v="6"/>
    <n v="77418"/>
    <n v="380060.44560000004"/>
    <n v="5"/>
    <n v="71376"/>
    <n v="291999.21600000001"/>
    <n v="4"/>
    <n v="59993"/>
    <n v="196345.09040000002"/>
    <n v="4"/>
    <n v="60982"/>
    <n v="199581.88959999999"/>
    <m/>
    <m/>
    <n v="0"/>
    <m/>
    <m/>
    <n v="0"/>
    <m/>
    <m/>
    <n v="0"/>
    <m/>
    <m/>
    <n v="0"/>
    <m/>
    <m/>
    <n v="0"/>
    <m/>
    <m/>
    <n v="0"/>
  </r>
  <r>
    <x v="15"/>
    <s v="Bluefield State College "/>
    <n v="237215"/>
    <x v="5"/>
    <n v="25"/>
    <n v="64081"/>
    <n v="1602025"/>
    <n v="26"/>
    <n v="66572"/>
    <n v="1730872"/>
    <n v="19"/>
    <n v="50682"/>
    <n v="962958"/>
    <n v="15"/>
    <n v="56522"/>
    <n v="847830"/>
    <n v="22"/>
    <n v="47256"/>
    <n v="1039632"/>
    <n v="21"/>
    <n v="51334"/>
    <n v="1078014"/>
    <n v="3"/>
    <n v="36836"/>
    <n v="110508"/>
    <n v="3"/>
    <n v="39052"/>
    <n v="117156"/>
    <n v="2"/>
    <n v="35262"/>
    <n v="70524"/>
    <n v="2"/>
    <n v="37086"/>
    <n v="74172"/>
    <m/>
    <m/>
    <n v="0"/>
    <m/>
    <m/>
    <n v="0"/>
    <n v="3"/>
    <n v="104719"/>
    <n v="257043.2574"/>
    <n v="3"/>
    <n v="85683"/>
    <n v="210317.49180000002"/>
    <n v="1"/>
    <n v="46560"/>
    <n v="38095.392"/>
    <n v="1"/>
    <n v="50064"/>
    <n v="40962.364800000003"/>
    <n v="1"/>
    <n v="48256"/>
    <n v="39483.059200000003"/>
    <n v="1"/>
    <n v="71812"/>
    <n v="58756.578400000006"/>
    <m/>
    <m/>
    <n v="0"/>
    <m/>
    <m/>
    <n v="0"/>
    <m/>
    <m/>
    <n v="0"/>
    <m/>
    <m/>
    <n v="0"/>
    <m/>
    <m/>
    <n v="0"/>
    <m/>
    <m/>
    <n v="0"/>
  </r>
  <r>
    <x v="15"/>
    <s v="Concord University "/>
    <n v="237330"/>
    <x v="5"/>
    <n v="17"/>
    <n v="65448"/>
    <n v="1112616"/>
    <n v="17"/>
    <n v="68277"/>
    <n v="1160709"/>
    <n v="29"/>
    <n v="56292"/>
    <n v="1632468"/>
    <n v="28"/>
    <n v="58767"/>
    <n v="1645476"/>
    <n v="37"/>
    <n v="45943"/>
    <n v="1699891"/>
    <n v="44"/>
    <n v="48453"/>
    <n v="2131932"/>
    <n v="13"/>
    <n v="39923"/>
    <n v="518999"/>
    <n v="13"/>
    <n v="41270"/>
    <n v="536510"/>
    <m/>
    <m/>
    <n v="0"/>
    <m/>
    <m/>
    <n v="0"/>
    <m/>
    <m/>
    <n v="0"/>
    <m/>
    <m/>
    <n v="0"/>
    <n v="2"/>
    <n v="82261"/>
    <n v="134611.90040000001"/>
    <n v="2"/>
    <n v="85735"/>
    <n v="140296.75400000002"/>
    <n v="2"/>
    <n v="65193"/>
    <n v="106681.82520000001"/>
    <n v="2"/>
    <n v="68084"/>
    <n v="111412.65760000001"/>
    <m/>
    <m/>
    <n v="0"/>
    <m/>
    <m/>
    <n v="0"/>
    <m/>
    <m/>
    <n v="0"/>
    <m/>
    <m/>
    <n v="0"/>
    <m/>
    <m/>
    <n v="0"/>
    <m/>
    <m/>
    <n v="0"/>
    <m/>
    <m/>
    <n v="0"/>
    <m/>
    <m/>
    <n v="0"/>
  </r>
  <r>
    <x v="15"/>
    <s v="Fairmont State University"/>
    <n v="237367"/>
    <x v="5"/>
    <n v="45"/>
    <n v="69573"/>
    <n v="3130785"/>
    <n v="45"/>
    <n v="73139"/>
    <n v="3291255"/>
    <n v="32"/>
    <n v="57202"/>
    <n v="1830464"/>
    <n v="30"/>
    <n v="61852"/>
    <n v="1855560"/>
    <n v="66"/>
    <n v="49542"/>
    <n v="3269772"/>
    <n v="62"/>
    <n v="51313"/>
    <n v="3181406"/>
    <n v="9"/>
    <n v="42835"/>
    <n v="385515"/>
    <n v="8"/>
    <n v="44706"/>
    <n v="357648"/>
    <m/>
    <m/>
    <n v="0"/>
    <n v="1"/>
    <n v="42962"/>
    <n v="42962"/>
    <m/>
    <m/>
    <n v="0"/>
    <m/>
    <m/>
    <n v="0"/>
    <n v="6"/>
    <n v="97031"/>
    <n v="476344.58520000003"/>
    <n v="6"/>
    <n v="113122"/>
    <n v="555338.52240000002"/>
    <n v="2"/>
    <n v="90612"/>
    <n v="148277.4768"/>
    <n v="3"/>
    <n v="92023"/>
    <n v="225879.65580000001"/>
    <n v="9"/>
    <n v="45742"/>
    <n v="336834.93960000004"/>
    <n v="5"/>
    <n v="47687"/>
    <n v="195087.51700000002"/>
    <n v="9"/>
    <n v="37080"/>
    <n v="273049.70400000003"/>
    <n v="11"/>
    <n v="47699"/>
    <n v="429300.53980000003"/>
    <m/>
    <m/>
    <n v="0"/>
    <n v="1"/>
    <n v="32004"/>
    <n v="26185.6728"/>
    <m/>
    <m/>
    <n v="0"/>
    <m/>
    <m/>
    <n v="0"/>
  </r>
  <r>
    <x v="15"/>
    <s v="Glenville State College "/>
    <n v="237385"/>
    <x v="5"/>
    <n v="9"/>
    <n v="64054"/>
    <n v="576486"/>
    <n v="8"/>
    <n v="65885"/>
    <n v="527080"/>
    <n v="15"/>
    <n v="55922"/>
    <n v="838830"/>
    <n v="15"/>
    <n v="58612"/>
    <n v="879180"/>
    <n v="20"/>
    <n v="44495"/>
    <n v="889900"/>
    <n v="20"/>
    <n v="46100"/>
    <n v="922000"/>
    <n v="10"/>
    <n v="36754"/>
    <n v="367540"/>
    <n v="14"/>
    <n v="35203"/>
    <n v="492842"/>
    <n v="1"/>
    <n v="31176"/>
    <n v="31176"/>
    <n v="1"/>
    <n v="32424"/>
    <n v="32424"/>
    <m/>
    <m/>
    <n v="0"/>
    <m/>
    <m/>
    <n v="0"/>
    <m/>
    <m/>
    <n v="0"/>
    <m/>
    <m/>
    <n v="0"/>
    <n v="1"/>
    <n v="62196"/>
    <n v="50888.767200000002"/>
    <n v="1"/>
    <n v="63900"/>
    <n v="52282.98"/>
    <m/>
    <m/>
    <n v="0"/>
    <m/>
    <m/>
    <n v="0"/>
    <m/>
    <m/>
    <n v="0"/>
    <m/>
    <m/>
    <n v="0"/>
    <n v="1"/>
    <n v="39898"/>
    <n v="32644.543600000001"/>
    <n v="1"/>
    <n v="41640"/>
    <n v="34069.847999999998"/>
    <m/>
    <m/>
    <n v="0"/>
    <m/>
    <m/>
    <n v="0"/>
  </r>
  <r>
    <x v="15"/>
    <s v="Shepherd University "/>
    <n v="237792"/>
    <x v="5"/>
    <n v="27"/>
    <n v="70162"/>
    <n v="1894374"/>
    <n v="27"/>
    <n v="73382"/>
    <n v="1981314"/>
    <n v="33"/>
    <n v="58891"/>
    <n v="1943403"/>
    <n v="30"/>
    <n v="61806"/>
    <n v="1854180"/>
    <n v="38"/>
    <n v="50780"/>
    <n v="1929640"/>
    <n v="44"/>
    <n v="52812"/>
    <n v="2323728"/>
    <m/>
    <m/>
    <n v="0"/>
    <n v="1"/>
    <n v="39000"/>
    <n v="39000"/>
    <n v="15"/>
    <n v="44426"/>
    <n v="666390"/>
    <n v="13"/>
    <n v="46944"/>
    <n v="610272"/>
    <m/>
    <m/>
    <n v="0"/>
    <m/>
    <m/>
    <n v="0"/>
    <n v="2"/>
    <n v="83884"/>
    <n v="137267.7776"/>
    <n v="2"/>
    <n v="91782"/>
    <n v="150192.06479999999"/>
    <n v="1"/>
    <n v="66165"/>
    <n v="54136.203000000001"/>
    <n v="1"/>
    <n v="70552"/>
    <n v="57725.646400000005"/>
    <m/>
    <m/>
    <n v="0"/>
    <m/>
    <m/>
    <n v="0"/>
    <m/>
    <m/>
    <n v="0"/>
    <m/>
    <m/>
    <n v="0"/>
    <m/>
    <m/>
    <n v="0"/>
    <m/>
    <m/>
    <n v="0"/>
    <m/>
    <m/>
    <n v="0"/>
    <m/>
    <m/>
    <n v="0"/>
  </r>
  <r>
    <x v="15"/>
    <s v="West Liberty University"/>
    <n v="237932"/>
    <x v="5"/>
    <n v="23"/>
    <n v="61068"/>
    <n v="1404564"/>
    <n v="16"/>
    <n v="63469"/>
    <n v="1015504"/>
    <n v="31"/>
    <n v="53544"/>
    <n v="1659864"/>
    <n v="30"/>
    <n v="54266"/>
    <n v="1627980"/>
    <n v="26"/>
    <n v="44613"/>
    <n v="1159938"/>
    <n v="28"/>
    <n v="45748"/>
    <n v="1280944"/>
    <n v="12"/>
    <n v="38964"/>
    <n v="467568"/>
    <n v="16"/>
    <n v="41891"/>
    <n v="670256"/>
    <n v="4"/>
    <n v="33118"/>
    <n v="132472"/>
    <n v="4"/>
    <n v="35225"/>
    <n v="140900"/>
    <m/>
    <m/>
    <n v="0"/>
    <m/>
    <m/>
    <n v="0"/>
    <n v="1"/>
    <n v="87750"/>
    <n v="71797.05"/>
    <n v="2"/>
    <n v="74164"/>
    <n v="121361.96960000001"/>
    <n v="3"/>
    <n v="60371"/>
    <n v="148186.65660000002"/>
    <n v="2"/>
    <n v="77968"/>
    <n v="127586.8352"/>
    <m/>
    <m/>
    <n v="0"/>
    <m/>
    <m/>
    <n v="0"/>
    <n v="1"/>
    <n v="66973"/>
    <n v="54797.308600000004"/>
    <n v="2"/>
    <n v="51532"/>
    <n v="84326.964800000002"/>
    <m/>
    <m/>
    <n v="0"/>
    <m/>
    <m/>
    <n v="0"/>
    <m/>
    <m/>
    <n v="0"/>
    <m/>
    <m/>
    <n v="0"/>
  </r>
  <r>
    <x v="15"/>
    <s v="West Virginia State University "/>
    <n v="237899"/>
    <x v="5"/>
    <n v="26"/>
    <n v="58341"/>
    <n v="1516866"/>
    <n v="26"/>
    <n v="62171"/>
    <n v="1616446"/>
    <n v="39"/>
    <n v="52729"/>
    <n v="2056431"/>
    <n v="36"/>
    <n v="56989"/>
    <n v="2051604"/>
    <n v="43"/>
    <n v="44783"/>
    <n v="1925669"/>
    <n v="43"/>
    <n v="47741"/>
    <n v="2052863"/>
    <n v="10"/>
    <n v="36403"/>
    <n v="364030"/>
    <n v="13"/>
    <n v="38692"/>
    <n v="502996"/>
    <m/>
    <m/>
    <n v="0"/>
    <m/>
    <m/>
    <n v="0"/>
    <m/>
    <m/>
    <n v="0"/>
    <m/>
    <m/>
    <n v="0"/>
    <n v="3"/>
    <n v="74847"/>
    <n v="183719.44620000001"/>
    <n v="1"/>
    <n v="80170"/>
    <n v="65595.093999999997"/>
    <n v="3"/>
    <n v="74088"/>
    <n v="181856.40480000002"/>
    <m/>
    <m/>
    <n v="0"/>
    <n v="1"/>
    <n v="48050"/>
    <n v="39314.51"/>
    <n v="1"/>
    <n v="51834"/>
    <n v="42410.578800000003"/>
    <m/>
    <m/>
    <n v="0"/>
    <m/>
    <m/>
    <n v="0"/>
    <m/>
    <m/>
    <n v="0"/>
    <m/>
    <m/>
    <n v="0"/>
    <m/>
    <m/>
    <n v="0"/>
    <m/>
    <m/>
    <n v="0"/>
  </r>
  <r>
    <x v="15"/>
    <s v="West Virginia University Institute of Technology"/>
    <n v="237950"/>
    <x v="5"/>
    <n v="25"/>
    <n v="64544"/>
    <n v="1613600"/>
    <n v="27"/>
    <n v="68210"/>
    <n v="1841670"/>
    <n v="15"/>
    <n v="54101"/>
    <n v="811515"/>
    <n v="18"/>
    <n v="54789"/>
    <n v="986202"/>
    <n v="22"/>
    <n v="43885"/>
    <n v="965470"/>
    <n v="22"/>
    <n v="48541"/>
    <n v="1067902"/>
    <n v="7"/>
    <n v="42100"/>
    <n v="294700"/>
    <n v="7"/>
    <n v="44049"/>
    <n v="308343"/>
    <n v="4"/>
    <n v="40375"/>
    <n v="161500"/>
    <n v="6"/>
    <n v="42293"/>
    <n v="253758"/>
    <m/>
    <m/>
    <n v="0"/>
    <m/>
    <m/>
    <n v="0"/>
    <m/>
    <m/>
    <n v="0"/>
    <m/>
    <m/>
    <n v="0"/>
    <n v="2"/>
    <n v="63994"/>
    <n v="104719.7816"/>
    <n v="3"/>
    <n v="61880"/>
    <n v="151890.64800000002"/>
    <n v="3"/>
    <n v="49103"/>
    <n v="120528.22380000001"/>
    <n v="3"/>
    <n v="57017"/>
    <n v="139953.92819999999"/>
    <m/>
    <m/>
    <n v="0"/>
    <m/>
    <m/>
    <n v="0"/>
    <n v="1"/>
    <n v="43812"/>
    <n v="35846.9784"/>
    <n v="1"/>
    <n v="43812"/>
    <n v="35846.9784"/>
    <m/>
    <m/>
    <n v="0"/>
    <m/>
    <m/>
    <n v="0"/>
  </r>
  <r>
    <x v="15"/>
    <s v="West Virginia University at Parkersburg"/>
    <n v="237686"/>
    <x v="11"/>
    <n v="31"/>
    <n v="54607"/>
    <n v="1692817"/>
    <n v="29"/>
    <n v="54843"/>
    <n v="1590447"/>
    <n v="11"/>
    <n v="51094"/>
    <n v="562034"/>
    <n v="14"/>
    <n v="51721"/>
    <n v="724094"/>
    <n v="16"/>
    <n v="42599"/>
    <n v="681584"/>
    <n v="12"/>
    <n v="43497"/>
    <n v="521964"/>
    <n v="21"/>
    <n v="36428"/>
    <n v="764988"/>
    <n v="27"/>
    <n v="36902"/>
    <n v="996354"/>
    <n v="1"/>
    <n v="35000"/>
    <n v="35000"/>
    <m/>
    <m/>
    <n v="0"/>
    <m/>
    <m/>
    <n v="0"/>
    <m/>
    <m/>
    <n v="0"/>
    <n v="1"/>
    <n v="60716"/>
    <n v="49677.831200000001"/>
    <n v="2"/>
    <n v="65704"/>
    <n v="107518.02560000001"/>
    <m/>
    <m/>
    <n v="0"/>
    <n v="1"/>
    <n v="70961"/>
    <n v="58060.290200000003"/>
    <n v="2"/>
    <n v="62189"/>
    <n v="101766.07960000001"/>
    <n v="1"/>
    <n v="63463"/>
    <n v="51925.426599999999"/>
    <n v="1"/>
    <n v="48189"/>
    <n v="39428.239800000003"/>
    <n v="1"/>
    <n v="49843"/>
    <n v="40781.542600000001"/>
    <m/>
    <m/>
    <n v="0"/>
    <m/>
    <m/>
    <n v="0"/>
    <m/>
    <m/>
    <n v="0"/>
    <m/>
    <m/>
    <n v="0"/>
  </r>
  <r>
    <x v="15"/>
    <s v="Pierpont Community &amp; Technical College"/>
    <n v="443492"/>
    <x v="7"/>
    <n v="3"/>
    <n v="61404"/>
    <n v="184212"/>
    <n v="4"/>
    <n v="67795"/>
    <n v="271180"/>
    <n v="4"/>
    <n v="63560"/>
    <n v="254240"/>
    <n v="5"/>
    <n v="65317"/>
    <n v="326585"/>
    <n v="31"/>
    <n v="45018"/>
    <n v="1395558"/>
    <n v="26"/>
    <n v="48614"/>
    <n v="1263964"/>
    <n v="6"/>
    <n v="44222"/>
    <n v="265332"/>
    <n v="8"/>
    <n v="47286"/>
    <n v="378288"/>
    <m/>
    <m/>
    <n v="0"/>
    <n v="4"/>
    <n v="61007"/>
    <n v="244028"/>
    <m/>
    <m/>
    <n v="0"/>
    <m/>
    <m/>
    <n v="0"/>
    <n v="5"/>
    <n v="90020"/>
    <n v="368271.82"/>
    <n v="5"/>
    <n v="94594"/>
    <n v="386984.054"/>
    <n v="1"/>
    <n v="88922"/>
    <n v="72755.9804"/>
    <m/>
    <m/>
    <n v="0"/>
    <n v="3"/>
    <n v="68927"/>
    <n v="169188.21420000002"/>
    <n v="4"/>
    <n v="69250"/>
    <n v="226641.40000000002"/>
    <n v="5"/>
    <n v="48876"/>
    <n v="199951.71600000001"/>
    <n v="2"/>
    <n v="63186"/>
    <n v="103397.57040000001"/>
    <m/>
    <m/>
    <n v="0"/>
    <n v="2"/>
    <n v="57438"/>
    <n v="93991.5432"/>
    <m/>
    <m/>
    <n v="0"/>
    <m/>
    <m/>
    <n v="0"/>
  </r>
  <r>
    <x v="15"/>
    <s v="Blue Ridge Community &amp; Technical College"/>
    <n v="446774"/>
    <x v="8"/>
    <m/>
    <m/>
    <n v="0"/>
    <m/>
    <m/>
    <n v="0"/>
    <n v="2"/>
    <n v="58913"/>
    <n v="117826"/>
    <n v="2"/>
    <n v="57646"/>
    <n v="115292"/>
    <n v="3"/>
    <n v="56926"/>
    <n v="170778"/>
    <n v="3"/>
    <n v="53744"/>
    <n v="161232"/>
    <n v="2"/>
    <n v="37288"/>
    <n v="74576"/>
    <n v="4"/>
    <n v="41061"/>
    <n v="164244"/>
    <n v="9"/>
    <n v="36156"/>
    <n v="325404"/>
    <n v="9"/>
    <n v="39088"/>
    <n v="351792"/>
    <m/>
    <m/>
    <n v="0"/>
    <m/>
    <m/>
    <n v="0"/>
    <m/>
    <m/>
    <n v="0"/>
    <m/>
    <m/>
    <n v="0"/>
    <m/>
    <m/>
    <n v="0"/>
    <m/>
    <m/>
    <n v="0"/>
    <n v="1"/>
    <n v="45136"/>
    <n v="36930.275200000004"/>
    <n v="1"/>
    <n v="46818"/>
    <n v="38306.4876"/>
    <n v="1"/>
    <n v="56243"/>
    <n v="46018.022600000004"/>
    <n v="6"/>
    <n v="59101"/>
    <n v="290138.62920000002"/>
    <n v="6"/>
    <n v="51328"/>
    <n v="251979.41760000002"/>
    <n v="8"/>
    <n v="44534"/>
    <n v="291501.75040000002"/>
    <m/>
    <m/>
    <n v="0"/>
    <m/>
    <m/>
    <n v="0"/>
  </r>
  <r>
    <x v="15"/>
    <s v="Community &amp; Technical College at WVU Tech"/>
    <n v="445674"/>
    <x v="8"/>
    <n v="8"/>
    <n v="59249"/>
    <n v="473992"/>
    <n v="8"/>
    <n v="63417"/>
    <n v="507336"/>
    <n v="6"/>
    <n v="46724"/>
    <n v="280344"/>
    <n v="6"/>
    <n v="51718"/>
    <n v="310308"/>
    <n v="6"/>
    <n v="36715"/>
    <n v="220290"/>
    <n v="5"/>
    <n v="39539"/>
    <n v="197695"/>
    <n v="6"/>
    <n v="33513"/>
    <n v="201078"/>
    <n v="8"/>
    <n v="33097"/>
    <n v="264776"/>
    <m/>
    <m/>
    <n v="0"/>
    <m/>
    <m/>
    <n v="0"/>
    <m/>
    <m/>
    <n v="0"/>
    <m/>
    <m/>
    <n v="0"/>
    <m/>
    <m/>
    <n v="0"/>
    <m/>
    <m/>
    <n v="0"/>
    <m/>
    <m/>
    <n v="0"/>
    <m/>
    <m/>
    <n v="0"/>
    <m/>
    <m/>
    <n v="0"/>
    <m/>
    <m/>
    <n v="0"/>
    <m/>
    <m/>
    <n v="0"/>
    <m/>
    <m/>
    <n v="0"/>
    <m/>
    <m/>
    <n v="0"/>
    <m/>
    <m/>
    <n v="0"/>
    <m/>
    <m/>
    <n v="0"/>
    <m/>
    <m/>
    <n v="0"/>
  </r>
  <r>
    <x v="15"/>
    <s v="Eastern West Virginia Community &amp; Technical College"/>
    <n v="438708"/>
    <x v="8"/>
    <m/>
    <m/>
    <n v="0"/>
    <m/>
    <m/>
    <n v="0"/>
    <m/>
    <m/>
    <n v="0"/>
    <m/>
    <m/>
    <n v="0"/>
    <m/>
    <m/>
    <n v="0"/>
    <m/>
    <m/>
    <n v="0"/>
    <m/>
    <m/>
    <n v="0"/>
    <m/>
    <m/>
    <n v="0"/>
    <m/>
    <m/>
    <n v="0"/>
    <m/>
    <m/>
    <n v="0"/>
    <m/>
    <m/>
    <n v="0"/>
    <m/>
    <m/>
    <n v="0"/>
    <m/>
    <m/>
    <n v="0"/>
    <m/>
    <m/>
    <n v="0"/>
    <m/>
    <m/>
    <n v="0"/>
    <m/>
    <m/>
    <n v="0"/>
    <m/>
    <m/>
    <n v="0"/>
    <m/>
    <m/>
    <n v="0"/>
    <m/>
    <m/>
    <n v="0"/>
    <m/>
    <m/>
    <n v="0"/>
    <n v="2"/>
    <n v="36450"/>
    <n v="59646.780000000006"/>
    <n v="4"/>
    <n v="37945"/>
    <n v="124186.39600000001"/>
    <m/>
    <m/>
    <n v="0"/>
    <m/>
    <m/>
    <n v="0"/>
  </r>
  <r>
    <x v="15"/>
    <s v="Marshall Community &amp; Technical College"/>
    <n v="444954"/>
    <x v="8"/>
    <n v="10"/>
    <n v="56179"/>
    <n v="561790"/>
    <n v="10"/>
    <n v="58829"/>
    <n v="588290"/>
    <n v="6"/>
    <n v="48758"/>
    <n v="292548"/>
    <n v="6"/>
    <n v="50806"/>
    <n v="304836"/>
    <n v="8"/>
    <n v="41596"/>
    <n v="332768"/>
    <n v="12"/>
    <n v="39576"/>
    <n v="474912"/>
    <n v="12"/>
    <n v="41597"/>
    <n v="499164"/>
    <n v="16"/>
    <n v="40181"/>
    <n v="642896"/>
    <m/>
    <m/>
    <n v="0"/>
    <n v="1"/>
    <n v="35500"/>
    <n v="35500"/>
    <m/>
    <m/>
    <n v="0"/>
    <m/>
    <m/>
    <n v="0"/>
    <m/>
    <m/>
    <n v="0"/>
    <m/>
    <m/>
    <n v="0"/>
    <m/>
    <m/>
    <n v="0"/>
    <m/>
    <m/>
    <n v="0"/>
    <m/>
    <m/>
    <n v="0"/>
    <m/>
    <m/>
    <n v="0"/>
    <m/>
    <m/>
    <n v="0"/>
    <m/>
    <m/>
    <n v="0"/>
    <m/>
    <m/>
    <n v="0"/>
    <m/>
    <m/>
    <n v="0"/>
    <m/>
    <m/>
    <n v="0"/>
    <m/>
    <m/>
    <n v="0"/>
  </r>
  <r>
    <x v="15"/>
    <s v="New River Community &amp; Technical College"/>
    <n v="447582"/>
    <x v="8"/>
    <n v="3"/>
    <n v="62439"/>
    <n v="187317"/>
    <n v="3"/>
    <n v="64850"/>
    <n v="194550"/>
    <n v="6"/>
    <n v="52991"/>
    <n v="317946"/>
    <n v="6"/>
    <n v="56552"/>
    <n v="339312"/>
    <n v="7"/>
    <n v="41493"/>
    <n v="290451"/>
    <n v="6"/>
    <n v="43686"/>
    <n v="262116"/>
    <n v="14"/>
    <n v="36507"/>
    <n v="511098"/>
    <n v="15"/>
    <n v="38537"/>
    <n v="578055"/>
    <n v="1"/>
    <n v="33072"/>
    <n v="33072"/>
    <m/>
    <m/>
    <n v="0"/>
    <m/>
    <m/>
    <n v="0"/>
    <m/>
    <m/>
    <n v="0"/>
    <m/>
    <m/>
    <n v="0"/>
    <m/>
    <m/>
    <n v="0"/>
    <n v="1"/>
    <n v="62536"/>
    <n v="51166.955200000004"/>
    <n v="1"/>
    <n v="66060"/>
    <n v="54050.292000000001"/>
    <n v="1"/>
    <n v="62486"/>
    <n v="51126.0452"/>
    <n v="1"/>
    <n v="43584"/>
    <n v="35660.428800000002"/>
    <n v="3"/>
    <n v="46458"/>
    <n v="114035.80680000001"/>
    <n v="2"/>
    <n v="49566"/>
    <n v="81109.8024"/>
    <m/>
    <m/>
    <n v="0"/>
    <m/>
    <m/>
    <n v="0"/>
    <m/>
    <m/>
    <n v="0"/>
    <m/>
    <m/>
    <n v="0"/>
  </r>
  <r>
    <x v="15"/>
    <s v="Potomac State College of West Virginia University"/>
    <n v="237701"/>
    <x v="8"/>
    <n v="12"/>
    <n v="61062"/>
    <n v="732744"/>
    <n v="13"/>
    <n v="66097"/>
    <n v="859261"/>
    <n v="3"/>
    <n v="46631"/>
    <n v="139893"/>
    <n v="2"/>
    <n v="48606"/>
    <n v="97212"/>
    <n v="6"/>
    <n v="38614"/>
    <n v="231684"/>
    <n v="6"/>
    <n v="40889"/>
    <n v="245334"/>
    <n v="16"/>
    <n v="36343"/>
    <n v="581488"/>
    <n v="18"/>
    <n v="37585"/>
    <n v="676530"/>
    <m/>
    <m/>
    <n v="0"/>
    <m/>
    <m/>
    <n v="0"/>
    <m/>
    <m/>
    <n v="0"/>
    <m/>
    <m/>
    <n v="0"/>
    <n v="1"/>
    <n v="64418"/>
    <n v="52706.8076"/>
    <n v="1"/>
    <n v="69383"/>
    <n v="56769.170600000005"/>
    <m/>
    <m/>
    <n v="0"/>
    <m/>
    <m/>
    <n v="0"/>
    <m/>
    <m/>
    <n v="0"/>
    <m/>
    <m/>
    <n v="0"/>
    <m/>
    <m/>
    <n v="0"/>
    <m/>
    <m/>
    <n v="0"/>
    <m/>
    <m/>
    <n v="0"/>
    <m/>
    <m/>
    <n v="0"/>
    <m/>
    <m/>
    <n v="0"/>
    <m/>
    <m/>
    <n v="0"/>
  </r>
  <r>
    <x v="15"/>
    <s v="Southern West Virginia Community &amp; Technical College "/>
    <n v="237817"/>
    <x v="8"/>
    <n v="21"/>
    <n v="56608"/>
    <n v="1188768"/>
    <n v="22"/>
    <n v="58840"/>
    <n v="1294480"/>
    <n v="9"/>
    <n v="47741"/>
    <n v="429669"/>
    <n v="9"/>
    <n v="47590"/>
    <n v="428310"/>
    <n v="17"/>
    <n v="40147"/>
    <n v="682499"/>
    <n v="21"/>
    <n v="40767"/>
    <n v="856107"/>
    <n v="30"/>
    <n v="33197"/>
    <n v="995910"/>
    <n v="32"/>
    <n v="34735"/>
    <n v="1111520"/>
    <m/>
    <m/>
    <n v="0"/>
    <m/>
    <m/>
    <n v="0"/>
    <m/>
    <m/>
    <n v="0"/>
    <m/>
    <m/>
    <n v="0"/>
    <m/>
    <m/>
    <n v="0"/>
    <m/>
    <m/>
    <n v="0"/>
    <m/>
    <m/>
    <n v="0"/>
    <m/>
    <m/>
    <n v="0"/>
    <m/>
    <m/>
    <n v="0"/>
    <m/>
    <m/>
    <n v="0"/>
    <n v="1"/>
    <n v="41719"/>
    <n v="34134.485800000002"/>
    <m/>
    <m/>
    <n v="0"/>
    <m/>
    <m/>
    <n v="0"/>
    <m/>
    <m/>
    <n v="0"/>
    <m/>
    <m/>
    <n v="0"/>
    <m/>
    <m/>
    <n v="0"/>
  </r>
  <r>
    <x v="15"/>
    <s v="West Virginia Northern Community College"/>
    <n v="238014"/>
    <x v="8"/>
    <n v="22"/>
    <n v="53913"/>
    <n v="1186086"/>
    <n v="22"/>
    <n v="56016"/>
    <n v="1232352"/>
    <n v="8"/>
    <n v="44808"/>
    <n v="358464"/>
    <n v="10"/>
    <n v="44703"/>
    <n v="447030"/>
    <n v="11"/>
    <n v="38024"/>
    <n v="418264"/>
    <n v="7"/>
    <n v="38903"/>
    <n v="272321"/>
    <n v="16"/>
    <n v="31223"/>
    <n v="499568"/>
    <n v="21"/>
    <n v="32587"/>
    <n v="684327"/>
    <n v="1"/>
    <n v="28840"/>
    <n v="28840"/>
    <m/>
    <m/>
    <n v="0"/>
    <m/>
    <m/>
    <n v="0"/>
    <m/>
    <m/>
    <n v="0"/>
    <m/>
    <m/>
    <n v="0"/>
    <m/>
    <m/>
    <n v="0"/>
    <m/>
    <m/>
    <n v="0"/>
    <m/>
    <m/>
    <n v="0"/>
    <m/>
    <m/>
    <n v="0"/>
    <m/>
    <m/>
    <n v="0"/>
    <m/>
    <m/>
    <n v="0"/>
    <m/>
    <m/>
    <n v="0"/>
    <n v="1"/>
    <n v="30950"/>
    <n v="25323.29"/>
    <m/>
    <m/>
    <n v="0"/>
    <m/>
    <m/>
    <n v="0"/>
    <m/>
    <m/>
    <n v="0"/>
  </r>
  <r>
    <x v="15"/>
    <s v="WV State Community &amp; Technical College"/>
    <n v="445018"/>
    <x v="8"/>
    <n v="4"/>
    <n v="61646"/>
    <n v="246584"/>
    <n v="4"/>
    <n v="65952"/>
    <n v="263808"/>
    <n v="5"/>
    <n v="52243"/>
    <n v="261215"/>
    <n v="7"/>
    <n v="55120"/>
    <n v="385840"/>
    <n v="13"/>
    <n v="44544"/>
    <n v="579072"/>
    <n v="10"/>
    <n v="45866"/>
    <n v="458660"/>
    <n v="11"/>
    <n v="38555"/>
    <n v="424105"/>
    <n v="12"/>
    <n v="38687"/>
    <n v="464244"/>
    <m/>
    <m/>
    <n v="0"/>
    <m/>
    <m/>
    <n v="0"/>
    <m/>
    <m/>
    <n v="0"/>
    <m/>
    <m/>
    <n v="0"/>
    <m/>
    <m/>
    <n v="0"/>
    <m/>
    <m/>
    <n v="0"/>
    <n v="2"/>
    <n v="63169"/>
    <n v="103369.7516"/>
    <n v="2"/>
    <n v="63742"/>
    <n v="104307.4088"/>
    <n v="1"/>
    <n v="48443"/>
    <n v="39636.062600000005"/>
    <n v="1"/>
    <n v="51147"/>
    <n v="41848.475400000003"/>
    <n v="5"/>
    <n v="52633"/>
    <n v="215321.603"/>
    <n v="3"/>
    <n v="59630"/>
    <n v="146367.79800000001"/>
    <m/>
    <m/>
    <n v="0"/>
    <m/>
    <m/>
    <n v="0"/>
    <m/>
    <m/>
    <n v="0"/>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5" dataOnRows="1" applyNumberFormats="0" applyBorderFormats="0" applyFontFormats="0" applyPatternFormats="0" applyAlignmentFormats="0" applyWidthHeightFormats="1" dataCaption="Data" updatedVersion="3" minRefreshableVersion="3" asteriskTotals="1" showMemberPropertyTips="0" preserveFormatting="0" colGrandTotals="0" itemPrintTitles="1" createdVersion="3" indent="0" compact="0" compactData="0" gridDropZones="1">
  <location ref="A3:S362" firstHeaderRow="1" firstDataRow="3" firstDataCol="2"/>
  <pivotFields count="108">
    <pivotField axis="axisRow" compact="0" outline="0" subtotalTop="0" showAll="0" includeNewItemsInFilter="1">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ubtotalTop="0" showAll="0" includeNewItemsInFilter="1"/>
    <pivotField axis="axisCol" compact="0" numFmtId="164" outline="0" subtotalTop="0" showAll="0" includeNewItemsInFilter="1" sortType="ascending">
      <items count="16">
        <item x="0"/>
        <item x="1"/>
        <item x="2"/>
        <item x="3"/>
        <item x="4"/>
        <item x="5"/>
        <item x="11"/>
        <item x="6"/>
        <item x="7"/>
        <item x="8"/>
        <item x="13"/>
        <item x="9"/>
        <item x="10"/>
        <item x="12"/>
        <item m="1" x="1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subtotalCaption="All" compact="0" outline="0" subtotalTop="0" showAll="0" includeNewItemsInFilter="1">
      <items count="5">
        <item n="Four-Year" x="0"/>
        <item n="Two-Year" x="2"/>
        <item n="Technical Institutes" x="3"/>
        <item x="1"/>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0"/>
    <field x="-2"/>
  </rowFields>
  <rowItems count="357">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rowItems>
  <colFields count="2">
    <field x="102"/>
    <field x="3"/>
  </colFields>
  <colItems count="17">
    <i>
      <x/>
      <x/>
    </i>
    <i r="1">
      <x v="1"/>
    </i>
    <i r="1">
      <x v="2"/>
    </i>
    <i r="1">
      <x v="3"/>
    </i>
    <i r="1">
      <x v="4"/>
    </i>
    <i r="1">
      <x v="5"/>
    </i>
    <i t="default">
      <x/>
    </i>
    <i>
      <x v="1"/>
      <x v="6"/>
    </i>
    <i r="1">
      <x v="7"/>
    </i>
    <i r="1">
      <x v="8"/>
    </i>
    <i r="1">
      <x v="9"/>
    </i>
    <i r="1">
      <x v="10"/>
    </i>
    <i t="default">
      <x v="1"/>
    </i>
    <i>
      <x v="2"/>
      <x v="11"/>
    </i>
    <i r="1">
      <x v="12"/>
    </i>
    <i r="1">
      <x v="13"/>
    </i>
    <i t="default">
      <x v="2"/>
    </i>
  </colItems>
  <dataFields count="21">
    <dataField name=" Old Prof avg" fld="80" baseField="0" baseItem="0" numFmtId="164"/>
    <dataField name=" New Prof avg" fld="79" baseField="0" baseItem="0" numFmtId="164"/>
    <dataField name=" % change Prof" fld="95" baseField="0" baseItem="0" numFmtId="164"/>
    <dataField name=" Old Asc. avg" fld="81" baseField="0" baseItem="0" numFmtId="164"/>
    <dataField name=" New Asc. avg" fld="82" baseField="0" baseItem="0" numFmtId="164"/>
    <dataField name=" % change Asc. Prof" fld="96" baseField="0" baseItem="0" numFmtId="164"/>
    <dataField name=" Old Ast. avg" fld="83" baseField="0" baseItem="0" numFmtId="164"/>
    <dataField name=" New Ast. avg" fld="84" baseField="0" baseItem="0" numFmtId="164"/>
    <dataField name=" % change Ast. Prof" fld="97" baseField="0" baseItem="0" numFmtId="164"/>
    <dataField name=" Old Inst. avg" fld="85" baseField="0" baseItem="0" numFmtId="164"/>
    <dataField name=" New Inst. avg" fld="86" baseField="0" baseItem="0" numFmtId="164"/>
    <dataField name=" % change Instr avg" fld="98" baseField="0" baseItem="0" numFmtId="164"/>
    <dataField name=" Old Undesg. avg" fld="87" baseField="0" baseItem="0" numFmtId="164"/>
    <dataField name=" New Undesg. avg" fld="88" baseField="0" baseItem="0" numFmtId="164"/>
    <dataField name=" % change Undesg avg" fld="99" baseField="0" baseItem="0" numFmtId="164"/>
    <dataField name=" Old Single Rnk avg" fld="89" baseField="0" baseItem="0" numFmtId="164"/>
    <dataField name=" New Single Rnk avg" fld="90" baseField="0" baseItem="0" numFmtId="164"/>
    <dataField name=" % change Single Rnk avg" fld="100" baseField="0" baseItem="0" numFmtId="164"/>
    <dataField name=" Old All Ranks avg" fld="92" baseField="0" baseItem="0" numFmtId="164"/>
    <dataField name=" New All Ranks avg" fld="94" baseField="0" baseItem="0" numFmtId="164"/>
    <dataField name=" % change All Ranks avg" fld="101" baseField="0" baseItem="0" numFmtId="164"/>
  </dataFields>
  <conditionalFormats count="145">
    <conditionalFormat priority="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6">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4">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2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22">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2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2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2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2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30">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3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3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3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3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38">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3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4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4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4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46">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4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4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5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52">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5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5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5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5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60">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6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6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6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6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68">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6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7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7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7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76">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7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7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8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8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84">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8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8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8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9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92">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9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9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9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98">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9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0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0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0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06">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0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0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1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1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14">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1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1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1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2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22">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2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2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2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2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30">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3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3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3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3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38">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3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4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4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44">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4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4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4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5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52">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5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5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5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5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60">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6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6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6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6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68">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6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7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7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75">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76">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77">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79">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81">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83">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84">
      <pivotAreas count="119">
        <pivotArea type="data" outline="0" collapsedLevelsAreSubtotals="1" fieldPosition="0">
          <references count="2">
            <reference field="4294967294" count="1" selected="0">
              <x v="2"/>
            </reference>
            <reference field="0" count="1" selected="0">
              <x v="0"/>
            </reference>
          </references>
        </pivotArea>
        <pivotArea type="data" grandRow="1" outline="0" collapsedLevelsAreSubtotals="1" fieldPosition="0">
          <references count="1">
            <reference field="4294967294" count="1" selected="0">
              <x v="8"/>
            </reference>
          </references>
        </pivotArea>
        <pivotArea type="data" grandRow="1" outline="0" collapsedLevelsAreSubtotals="1" fieldPosition="0">
          <references count="1">
            <reference field="4294967294" count="1" selected="0">
              <x v="20"/>
            </reference>
          </references>
        </pivotArea>
        <pivotArea type="data" grandRow="1" outline="0" collapsedLevelsAreSubtotals="1" fieldPosition="0">
          <references count="1">
            <reference field="4294967294" count="1" selected="0">
              <x v="17"/>
            </reference>
          </references>
        </pivotArea>
        <pivotArea type="data" grandRow="1" outline="0" collapsedLevelsAreSubtotals="1" fieldPosition="0">
          <references count="1">
            <reference field="4294967294" count="1" selected="0">
              <x v="14"/>
            </reference>
          </references>
        </pivotArea>
        <pivotArea type="data" grandRow="1" outline="0" collapsedLevelsAreSubtotals="1" fieldPosition="0">
          <references count="1">
            <reference field="4294967294" count="1" selected="0">
              <x v="11"/>
            </reference>
          </references>
        </pivotArea>
        <pivotArea type="data" grandRow="1" outline="0" collapsedLevelsAreSubtotals="1" fieldPosition="0">
          <references count="1">
            <reference field="4294967294" count="1" selected="0">
              <x v="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outline="0" collapsedLevelsAreSubtotals="1" fieldPosition="0">
          <references count="2">
            <reference field="4294967294" count="1" selected="0">
              <x v="5"/>
            </reference>
            <reference field="0" count="1" selected="0">
              <x v="15"/>
            </reference>
          </references>
        </pivotArea>
        <pivotArea type="data" outline="0" collapsedLevelsAreSubtotals="1" fieldPosition="0">
          <references count="2">
            <reference field="4294967294" count="1" selected="0">
              <x v="8"/>
            </reference>
            <reference field="0" count="1" selected="0">
              <x v="15"/>
            </reference>
          </references>
        </pivotArea>
        <pivotArea type="data" outline="0" collapsedLevelsAreSubtotals="1" fieldPosition="0">
          <references count="2">
            <reference field="4294967294" count="1" selected="0">
              <x v="11"/>
            </reference>
            <reference field="0" count="1" selected="0">
              <x v="15"/>
            </reference>
          </references>
        </pivotArea>
        <pivotArea type="data" outline="0" collapsedLevelsAreSubtotals="1" fieldPosition="0">
          <references count="2">
            <reference field="4294967294" count="1" selected="0">
              <x v="14"/>
            </reference>
            <reference field="0" count="1" selected="0">
              <x v="15"/>
            </reference>
          </references>
        </pivotArea>
        <pivotArea type="data" outline="0" collapsedLevelsAreSubtotals="1" fieldPosition="0">
          <references count="2">
            <reference field="4294967294" count="1" selected="0">
              <x v="17"/>
            </reference>
            <reference field="0" count="1" selected="0">
              <x v="15"/>
            </reference>
          </references>
        </pivotArea>
        <pivotArea type="data" outline="0" collapsedLevelsAreSubtotals="1" fieldPosition="0">
          <references count="2">
            <reference field="4294967294" count="1" selected="0">
              <x v="20"/>
            </reference>
            <reference field="0" count="1" selected="0">
              <x v="15"/>
            </reference>
          </references>
        </pivotArea>
      </pivotAreas>
    </conditionalFormat>
    <conditionalFormat priority="185">
      <pivotAreas count="119">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1"/>
            </reference>
          </references>
        </pivotArea>
      </pivotAreas>
    </conditionalFormat>
    <conditionalFormat priority="187">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189">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190">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191">
      <pivotAreas count="119">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1"/>
            </reference>
          </references>
        </pivotArea>
      </pivotAreas>
    </conditionalFormat>
    <conditionalFormat priority="193">
      <pivotAreas count="119">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1"/>
            </reference>
          </references>
        </pivotArea>
      </pivotAreas>
    </conditionalFormat>
    <conditionalFormat priority="195">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197">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198">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199">
      <pivotAreas count="119">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1"/>
            </reference>
          </references>
        </pivotArea>
      </pivotAreas>
    </conditionalFormat>
    <conditionalFormat priority="201">
      <pivotAreas count="119">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1"/>
            </reference>
          </references>
        </pivotArea>
      </pivotAreas>
    </conditionalFormat>
    <conditionalFormat priority="203">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205">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206">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207">
      <pivotAreas count="119">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1"/>
            </reference>
          </references>
        </pivotArea>
      </pivotAreas>
    </conditionalFormat>
    <conditionalFormat priority="209">
      <pivotAreas count="119">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1"/>
            </reference>
          </references>
        </pivotArea>
      </pivotAreas>
    </conditionalFormat>
    <conditionalFormat priority="211">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213">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214">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215">
      <pivotAreas count="119">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1"/>
            </reference>
          </references>
        </pivotArea>
      </pivotAreas>
    </conditionalFormat>
    <conditionalFormat priority="217">
      <pivotAreas count="119">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1"/>
            </reference>
          </references>
        </pivotArea>
      </pivotAreas>
    </conditionalFormat>
    <conditionalFormat priority="219">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221">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222">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223">
      <pivotAreas count="119">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1"/>
            </reference>
          </references>
        </pivotArea>
      </pivotAreas>
    </conditionalFormat>
    <conditionalFormat priority="225">
      <pivotAreas count="119">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
            </reference>
            <reference field="0" count="1" selected="0">
              <x v="1"/>
            </reference>
          </references>
        </pivotArea>
      </pivotAreas>
    </conditionalFormat>
    <conditionalFormat priority="227">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230">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 priority="229">
      <pivotAreas count="119">
        <pivotArea type="data" outline="0" collapsedLevelsAreSubtotals="1" fieldPosition="0">
          <references count="2">
            <reference field="4294967294" count="1" selected="0">
              <x v="8"/>
            </reference>
            <reference field="0" count="1" selected="0">
              <x v="0"/>
            </reference>
          </references>
        </pivotArea>
        <pivotArea type="data" outline="0" collapsedLevelsAreSubtotals="1" fieldPosition="0">
          <references count="2">
            <reference field="4294967294" count="1" selected="0">
              <x v="20"/>
            </reference>
            <reference field="0" count="1" selected="0">
              <x v="0"/>
            </reference>
          </references>
        </pivotArea>
        <pivotArea type="data" outline="0" collapsedLevelsAreSubtotals="1" fieldPosition="0">
          <references count="2">
            <reference field="4294967294" count="1" selected="0">
              <x v="17"/>
            </reference>
            <reference field="0" count="1" selected="0">
              <x v="0"/>
            </reference>
          </references>
        </pivotArea>
        <pivotArea type="data" outline="0" collapsedLevelsAreSubtotals="1" fieldPosition="0">
          <references count="2">
            <reference field="4294967294" count="1" selected="0">
              <x v="14"/>
            </reference>
            <reference field="0" count="1" selected="0">
              <x v="0"/>
            </reference>
          </references>
        </pivotArea>
        <pivotArea type="data" outline="0" collapsedLevelsAreSubtotals="1" fieldPosition="0">
          <references count="2">
            <reference field="4294967294" count="1" selected="0">
              <x v="11"/>
            </reference>
            <reference field="0" count="1" selected="0">
              <x v="0"/>
            </reference>
          </references>
        </pivotArea>
        <pivotArea type="data" outline="0" collapsedLevelsAreSubtotals="1" fieldPosition="0">
          <references count="2">
            <reference field="4294967294" count="1" selected="0">
              <x v="5"/>
            </reference>
            <reference field="0" count="1" selected="0">
              <x v="0"/>
            </reference>
          </references>
        </pivotArea>
        <pivotArea type="data" outline="0" collapsedLevelsAreSubtotals="1" fieldPosition="0">
          <references count="2">
            <reference field="4294967294" count="1" selected="0">
              <x v="2"/>
            </reference>
            <reference field="0" count="1" selected="0">
              <x v="0"/>
            </reference>
          </references>
        </pivotArea>
        <pivotArea type="data" outline="0" collapsedLevelsAreSubtotals="1" fieldPosition="0">
          <references count="2">
            <reference field="4294967294" count="1" selected="0">
              <x v="8"/>
            </reference>
            <reference field="0" count="1" selected="0">
              <x v="1"/>
            </reference>
          </references>
        </pivotArea>
        <pivotArea type="data" outline="0" collapsedLevelsAreSubtotals="1" fieldPosition="0">
          <references count="2">
            <reference field="4294967294" count="1" selected="0">
              <x v="8"/>
            </reference>
            <reference field="0" count="1" selected="0">
              <x v="2"/>
            </reference>
          </references>
        </pivotArea>
        <pivotArea type="data" outline="0" collapsedLevelsAreSubtotals="1" fieldPosition="0">
          <references count="2">
            <reference field="4294967294" count="1" selected="0">
              <x v="8"/>
            </reference>
            <reference field="0" count="1" selected="0">
              <x v="3"/>
            </reference>
          </references>
        </pivotArea>
        <pivotArea type="data" outline="0" collapsedLevelsAreSubtotals="1" fieldPosition="0">
          <references count="2">
            <reference field="4294967294" count="1" selected="0">
              <x v="8"/>
            </reference>
            <reference field="0" count="1" selected="0">
              <x v="4"/>
            </reference>
          </references>
        </pivotArea>
        <pivotArea type="data" outline="0" collapsedLevelsAreSubtotals="1" fieldPosition="0">
          <references count="2">
            <reference field="4294967294" count="1" selected="0">
              <x v="8"/>
            </reference>
            <reference field="0" count="1" selected="0">
              <x v="5"/>
            </reference>
          </references>
        </pivotArea>
        <pivotArea type="data" outline="0" collapsedLevelsAreSubtotals="1" fieldPosition="0">
          <references count="2">
            <reference field="4294967294" count="1" selected="0">
              <x v="8"/>
            </reference>
            <reference field="0" count="1" selected="0">
              <x v="6"/>
            </reference>
          </references>
        </pivotArea>
        <pivotArea type="data" outline="0" collapsedLevelsAreSubtotals="1" fieldPosition="0">
          <references count="2">
            <reference field="4294967294" count="1" selected="0">
              <x v="8"/>
            </reference>
            <reference field="0" count="1" selected="0">
              <x v="7"/>
            </reference>
          </references>
        </pivotArea>
        <pivotArea type="data" outline="0" collapsedLevelsAreSubtotals="1" fieldPosition="0">
          <references count="2">
            <reference field="4294967294" count="1" selected="0">
              <x v="8"/>
            </reference>
            <reference field="0" count="1" selected="0">
              <x v="8"/>
            </reference>
          </references>
        </pivotArea>
        <pivotArea type="data" outline="0" collapsedLevelsAreSubtotals="1" fieldPosition="0">
          <references count="2">
            <reference field="4294967294" count="1" selected="0">
              <x v="8"/>
            </reference>
            <reference field="0" count="1" selected="0">
              <x v="9"/>
            </reference>
          </references>
        </pivotArea>
        <pivotArea type="data" outline="0" collapsedLevelsAreSubtotals="1" fieldPosition="0">
          <references count="2">
            <reference field="4294967294" count="1" selected="0">
              <x v="8"/>
            </reference>
            <reference field="0" count="1" selected="0">
              <x v="10"/>
            </reference>
          </references>
        </pivotArea>
        <pivotArea type="data" outline="0" collapsedLevelsAreSubtotals="1" fieldPosition="0">
          <references count="2">
            <reference field="4294967294" count="1" selected="0">
              <x v="8"/>
            </reference>
            <reference field="0" count="1" selected="0">
              <x v="11"/>
            </reference>
          </references>
        </pivotArea>
        <pivotArea type="data" outline="0" collapsedLevelsAreSubtotals="1" fieldPosition="0">
          <references count="2">
            <reference field="4294967294" count="1" selected="0">
              <x v="8"/>
            </reference>
            <reference field="0" count="1" selected="0">
              <x v="12"/>
            </reference>
          </references>
        </pivotArea>
        <pivotArea type="data" outline="0" collapsedLevelsAreSubtotals="1" fieldPosition="0">
          <references count="2">
            <reference field="4294967294" count="1" selected="0">
              <x v="8"/>
            </reference>
            <reference field="0" count="1" selected="0">
              <x v="13"/>
            </reference>
          </references>
        </pivotArea>
        <pivotArea type="data" outline="0" collapsedLevelsAreSubtotals="1" fieldPosition="0">
          <references count="2">
            <reference field="4294967294" count="1" selected="0">
              <x v="8"/>
            </reference>
            <reference field="0" count="1" selected="0">
              <x v="14"/>
            </reference>
          </references>
        </pivotArea>
        <pivotArea type="data" outline="0" collapsedLevelsAreSubtotals="1" fieldPosition="0">
          <references count="2">
            <reference field="4294967294" count="1" selected="0">
              <x v="8"/>
            </reference>
            <reference field="0" count="1" selected="0">
              <x v="15"/>
            </reference>
          </references>
        </pivotArea>
        <pivotArea type="data" grandRow="1" outline="0" collapsedLevelsAreSubtotals="1" fieldPosition="0">
          <references count="1">
            <reference field="4294967294" count="1" selected="0">
              <x v="8"/>
            </reference>
          </references>
        </pivotArea>
        <pivotArea type="data" outline="0" collapsedLevelsAreSubtotals="1" fieldPosition="0">
          <references count="2">
            <reference field="4294967294" count="1" selected="0">
              <x v="20"/>
            </reference>
            <reference field="0" count="1" selected="0">
              <x v="1"/>
            </reference>
          </references>
        </pivotArea>
        <pivotArea type="data" outline="0" collapsedLevelsAreSubtotals="1" fieldPosition="0">
          <references count="2">
            <reference field="4294967294" count="1" selected="0">
              <x v="20"/>
            </reference>
            <reference field="0" count="1" selected="0">
              <x v="2"/>
            </reference>
          </references>
        </pivotArea>
        <pivotArea type="data" outline="0" collapsedLevelsAreSubtotals="1" fieldPosition="0">
          <references count="2">
            <reference field="4294967294" count="1" selected="0">
              <x v="20"/>
            </reference>
            <reference field="0" count="1" selected="0">
              <x v="3"/>
            </reference>
          </references>
        </pivotArea>
        <pivotArea type="data" outline="0" collapsedLevelsAreSubtotals="1" fieldPosition="0">
          <references count="2">
            <reference field="4294967294" count="1" selected="0">
              <x v="20"/>
            </reference>
            <reference field="0" count="1" selected="0">
              <x v="4"/>
            </reference>
          </references>
        </pivotArea>
        <pivotArea type="data" outline="0" collapsedLevelsAreSubtotals="1" fieldPosition="0">
          <references count="2">
            <reference field="4294967294" count="1" selected="0">
              <x v="20"/>
            </reference>
            <reference field="0" count="1" selected="0">
              <x v="5"/>
            </reference>
          </references>
        </pivotArea>
        <pivotArea type="data" outline="0" collapsedLevelsAreSubtotals="1" fieldPosition="0">
          <references count="2">
            <reference field="4294967294" count="1" selected="0">
              <x v="20"/>
            </reference>
            <reference field="0" count="1" selected="0">
              <x v="6"/>
            </reference>
          </references>
        </pivotArea>
        <pivotArea type="data" outline="0" collapsedLevelsAreSubtotals="1" fieldPosition="0">
          <references count="2">
            <reference field="4294967294" count="1" selected="0">
              <x v="20"/>
            </reference>
            <reference field="0" count="1" selected="0">
              <x v="7"/>
            </reference>
          </references>
        </pivotArea>
        <pivotArea type="data" outline="0" collapsedLevelsAreSubtotals="1" fieldPosition="0">
          <references count="2">
            <reference field="4294967294" count="1" selected="0">
              <x v="20"/>
            </reference>
            <reference field="0" count="1" selected="0">
              <x v="8"/>
            </reference>
          </references>
        </pivotArea>
        <pivotArea type="data" outline="0" collapsedLevelsAreSubtotals="1" fieldPosition="0">
          <references count="2">
            <reference field="4294967294" count="1" selected="0">
              <x v="20"/>
            </reference>
            <reference field="0" count="1" selected="0">
              <x v="9"/>
            </reference>
          </references>
        </pivotArea>
        <pivotArea type="data" outline="0" collapsedLevelsAreSubtotals="1" fieldPosition="0">
          <references count="2">
            <reference field="4294967294" count="1" selected="0">
              <x v="20"/>
            </reference>
            <reference field="0" count="1" selected="0">
              <x v="10"/>
            </reference>
          </references>
        </pivotArea>
        <pivotArea type="data" outline="0" collapsedLevelsAreSubtotals="1" fieldPosition="0">
          <references count="2">
            <reference field="4294967294" count="1" selected="0">
              <x v="20"/>
            </reference>
            <reference field="0" count="1" selected="0">
              <x v="11"/>
            </reference>
          </references>
        </pivotArea>
        <pivotArea type="data" outline="0" collapsedLevelsAreSubtotals="1" fieldPosition="0">
          <references count="2">
            <reference field="4294967294" count="1" selected="0">
              <x v="20"/>
            </reference>
            <reference field="0" count="1" selected="0">
              <x v="12"/>
            </reference>
          </references>
        </pivotArea>
        <pivotArea type="data" outline="0" collapsedLevelsAreSubtotals="1" fieldPosition="0">
          <references count="2">
            <reference field="4294967294" count="1" selected="0">
              <x v="20"/>
            </reference>
            <reference field="0" count="1" selected="0">
              <x v="13"/>
            </reference>
          </references>
        </pivotArea>
        <pivotArea type="data" outline="0" collapsedLevelsAreSubtotals="1" fieldPosition="0">
          <references count="2">
            <reference field="4294967294" count="1" selected="0">
              <x v="20"/>
            </reference>
            <reference field="0" count="1" selected="0">
              <x v="14"/>
            </reference>
          </references>
        </pivotArea>
        <pivotArea type="data" outline="0" collapsedLevelsAreSubtotals="1" fieldPosition="0">
          <references count="2">
            <reference field="4294967294" count="1" selected="0">
              <x v="20"/>
            </reference>
            <reference field="0" count="1" selected="0">
              <x v="15"/>
            </reference>
          </references>
        </pivotArea>
        <pivotArea type="data" grandRow="1" outline="0" collapsedLevelsAreSubtotals="1" fieldPosition="0">
          <references count="1">
            <reference field="4294967294" count="1" selected="0">
              <x v="20"/>
            </reference>
          </references>
        </pivotArea>
        <pivotArea type="data" outline="0" collapsedLevelsAreSubtotals="1" fieldPosition="0">
          <references count="2">
            <reference field="4294967294" count="1" selected="0">
              <x v="17"/>
            </reference>
            <reference field="0" count="1" selected="0">
              <x v="1"/>
            </reference>
          </references>
        </pivotArea>
        <pivotArea type="data" outline="0" collapsedLevelsAreSubtotals="1" fieldPosition="0">
          <references count="2">
            <reference field="4294967294" count="1" selected="0">
              <x v="17"/>
            </reference>
            <reference field="0" count="1" selected="0">
              <x v="2"/>
            </reference>
          </references>
        </pivotArea>
        <pivotArea type="data" outline="0" collapsedLevelsAreSubtotals="1" fieldPosition="0">
          <references count="2">
            <reference field="4294967294" count="1" selected="0">
              <x v="17"/>
            </reference>
            <reference field="0" count="1" selected="0">
              <x v="3"/>
            </reference>
          </references>
        </pivotArea>
        <pivotArea type="data" outline="0" collapsedLevelsAreSubtotals="1" fieldPosition="0">
          <references count="2">
            <reference field="4294967294" count="1" selected="0">
              <x v="17"/>
            </reference>
            <reference field="0" count="1" selected="0">
              <x v="4"/>
            </reference>
          </references>
        </pivotArea>
        <pivotArea type="data" outline="0" collapsedLevelsAreSubtotals="1" fieldPosition="0">
          <references count="2">
            <reference field="4294967294" count="1" selected="0">
              <x v="17"/>
            </reference>
            <reference field="0" count="1" selected="0">
              <x v="5"/>
            </reference>
          </references>
        </pivotArea>
        <pivotArea type="data" outline="0" collapsedLevelsAreSubtotals="1" fieldPosition="0">
          <references count="2">
            <reference field="4294967294" count="1" selected="0">
              <x v="17"/>
            </reference>
            <reference field="0" count="1" selected="0">
              <x v="6"/>
            </reference>
          </references>
        </pivotArea>
        <pivotArea type="data" outline="0" collapsedLevelsAreSubtotals="1" fieldPosition="0">
          <references count="2">
            <reference field="4294967294" count="1" selected="0">
              <x v="17"/>
            </reference>
            <reference field="0" count="1" selected="0">
              <x v="7"/>
            </reference>
          </references>
        </pivotArea>
        <pivotArea type="data" outline="0" collapsedLevelsAreSubtotals="1" fieldPosition="0">
          <references count="2">
            <reference field="4294967294" count="1" selected="0">
              <x v="17"/>
            </reference>
            <reference field="0" count="1" selected="0">
              <x v="8"/>
            </reference>
          </references>
        </pivotArea>
        <pivotArea type="data" outline="0" collapsedLevelsAreSubtotals="1" fieldPosition="0">
          <references count="2">
            <reference field="4294967294" count="1" selected="0">
              <x v="17"/>
            </reference>
            <reference field="0" count="1" selected="0">
              <x v="9"/>
            </reference>
          </references>
        </pivotArea>
        <pivotArea type="data" outline="0" collapsedLevelsAreSubtotals="1" fieldPosition="0">
          <references count="2">
            <reference field="4294967294" count="1" selected="0">
              <x v="17"/>
            </reference>
            <reference field="0" count="1" selected="0">
              <x v="10"/>
            </reference>
          </references>
        </pivotArea>
        <pivotArea type="data" outline="0" collapsedLevelsAreSubtotals="1" fieldPosition="0">
          <references count="2">
            <reference field="4294967294" count="1" selected="0">
              <x v="17"/>
            </reference>
            <reference field="0" count="1" selected="0">
              <x v="11"/>
            </reference>
          </references>
        </pivotArea>
        <pivotArea type="data" outline="0" collapsedLevelsAreSubtotals="1" fieldPosition="0">
          <references count="2">
            <reference field="4294967294" count="1" selected="0">
              <x v="17"/>
            </reference>
            <reference field="0" count="1" selected="0">
              <x v="12"/>
            </reference>
          </references>
        </pivotArea>
        <pivotArea type="data" outline="0" collapsedLevelsAreSubtotals="1" fieldPosition="0">
          <references count="2">
            <reference field="4294967294" count="1" selected="0">
              <x v="17"/>
            </reference>
            <reference field="0" count="1" selected="0">
              <x v="13"/>
            </reference>
          </references>
        </pivotArea>
        <pivotArea type="data" outline="0" collapsedLevelsAreSubtotals="1" fieldPosition="0">
          <references count="2">
            <reference field="4294967294" count="1" selected="0">
              <x v="17"/>
            </reference>
            <reference field="0" count="1" selected="0">
              <x v="14"/>
            </reference>
          </references>
        </pivotArea>
        <pivotArea type="data" outline="0" collapsedLevelsAreSubtotals="1" fieldPosition="0">
          <references count="2">
            <reference field="4294967294" count="1" selected="0">
              <x v="17"/>
            </reference>
            <reference field="0" count="1" selected="0">
              <x v="15"/>
            </reference>
          </references>
        </pivotArea>
        <pivotArea type="data" grandRow="1" outline="0" collapsedLevelsAreSubtotals="1" fieldPosition="0">
          <references count="1">
            <reference field="4294967294" count="1" selected="0">
              <x v="17"/>
            </reference>
          </references>
        </pivotArea>
        <pivotArea type="data" outline="0" collapsedLevelsAreSubtotals="1" fieldPosition="0">
          <references count="2">
            <reference field="4294967294" count="1" selected="0">
              <x v="14"/>
            </reference>
            <reference field="0" count="1" selected="0">
              <x v="1"/>
            </reference>
          </references>
        </pivotArea>
        <pivotArea type="data" outline="0" collapsedLevelsAreSubtotals="1" fieldPosition="0">
          <references count="2">
            <reference field="4294967294" count="1" selected="0">
              <x v="14"/>
            </reference>
            <reference field="0" count="1" selected="0">
              <x v="2"/>
            </reference>
          </references>
        </pivotArea>
        <pivotArea type="data" outline="0" collapsedLevelsAreSubtotals="1" fieldPosition="0">
          <references count="2">
            <reference field="4294967294" count="1" selected="0">
              <x v="14"/>
            </reference>
            <reference field="0" count="1" selected="0">
              <x v="3"/>
            </reference>
          </references>
        </pivotArea>
        <pivotArea type="data" outline="0" collapsedLevelsAreSubtotals="1" fieldPosition="0">
          <references count="2">
            <reference field="4294967294" count="1" selected="0">
              <x v="14"/>
            </reference>
            <reference field="0" count="1" selected="0">
              <x v="4"/>
            </reference>
          </references>
        </pivotArea>
        <pivotArea type="data" outline="0" collapsedLevelsAreSubtotals="1" fieldPosition="0">
          <references count="2">
            <reference field="4294967294" count="1" selected="0">
              <x v="14"/>
            </reference>
            <reference field="0" count="1" selected="0">
              <x v="5"/>
            </reference>
          </references>
        </pivotArea>
        <pivotArea type="data" outline="0" collapsedLevelsAreSubtotals="1" fieldPosition="0">
          <references count="2">
            <reference field="4294967294" count="1" selected="0">
              <x v="14"/>
            </reference>
            <reference field="0" count="1" selected="0">
              <x v="6"/>
            </reference>
          </references>
        </pivotArea>
        <pivotArea type="data" outline="0" collapsedLevelsAreSubtotals="1" fieldPosition="0">
          <references count="2">
            <reference field="4294967294" count="1" selected="0">
              <x v="14"/>
            </reference>
            <reference field="0" count="1" selected="0">
              <x v="7"/>
            </reference>
          </references>
        </pivotArea>
        <pivotArea type="data" outline="0" collapsedLevelsAreSubtotals="1" fieldPosition="0">
          <references count="2">
            <reference field="4294967294" count="1" selected="0">
              <x v="14"/>
            </reference>
            <reference field="0" count="1" selected="0">
              <x v="8"/>
            </reference>
          </references>
        </pivotArea>
        <pivotArea type="data" outline="0" collapsedLevelsAreSubtotals="1" fieldPosition="0">
          <references count="2">
            <reference field="4294967294" count="1" selected="0">
              <x v="14"/>
            </reference>
            <reference field="0" count="1" selected="0">
              <x v="9"/>
            </reference>
          </references>
        </pivotArea>
        <pivotArea type="data" outline="0" collapsedLevelsAreSubtotals="1" fieldPosition="0">
          <references count="2">
            <reference field="4294967294" count="1" selected="0">
              <x v="14"/>
            </reference>
            <reference field="0" count="1" selected="0">
              <x v="10"/>
            </reference>
          </references>
        </pivotArea>
        <pivotArea type="data" outline="0" collapsedLevelsAreSubtotals="1" fieldPosition="0">
          <references count="2">
            <reference field="4294967294" count="1" selected="0">
              <x v="14"/>
            </reference>
            <reference field="0" count="1" selected="0">
              <x v="11"/>
            </reference>
          </references>
        </pivotArea>
        <pivotArea type="data" outline="0" collapsedLevelsAreSubtotals="1" fieldPosition="0">
          <references count="2">
            <reference field="4294967294" count="1" selected="0">
              <x v="14"/>
            </reference>
            <reference field="0" count="1" selected="0">
              <x v="12"/>
            </reference>
          </references>
        </pivotArea>
        <pivotArea type="data" outline="0" collapsedLevelsAreSubtotals="1" fieldPosition="0">
          <references count="2">
            <reference field="4294967294" count="1" selected="0">
              <x v="14"/>
            </reference>
            <reference field="0" count="1" selected="0">
              <x v="13"/>
            </reference>
          </references>
        </pivotArea>
        <pivotArea type="data" outline="0" collapsedLevelsAreSubtotals="1" fieldPosition="0">
          <references count="2">
            <reference field="4294967294" count="1" selected="0">
              <x v="14"/>
            </reference>
            <reference field="0" count="1" selected="0">
              <x v="14"/>
            </reference>
          </references>
        </pivotArea>
        <pivotArea type="data" outline="0" collapsedLevelsAreSubtotals="1" fieldPosition="0">
          <references count="2">
            <reference field="4294967294" count="1" selected="0">
              <x v="14"/>
            </reference>
            <reference field="0" count="1" selected="0">
              <x v="15"/>
            </reference>
          </references>
        </pivotArea>
        <pivotArea type="data" grandRow="1" outline="0" collapsedLevelsAreSubtotals="1" fieldPosition="0">
          <references count="1">
            <reference field="4294967294" count="1" selected="0">
              <x v="14"/>
            </reference>
          </references>
        </pivotArea>
        <pivotArea type="data" outline="0" collapsedLevelsAreSubtotals="1" fieldPosition="0">
          <references count="2">
            <reference field="4294967294" count="1" selected="0">
              <x v="11"/>
            </reference>
            <reference field="0" count="1" selected="0">
              <x v="1"/>
            </reference>
          </references>
        </pivotArea>
        <pivotArea type="data" outline="0" collapsedLevelsAreSubtotals="1" fieldPosition="0">
          <references count="2">
            <reference field="4294967294" count="1" selected="0">
              <x v="11"/>
            </reference>
            <reference field="0" count="1" selected="0">
              <x v="2"/>
            </reference>
          </references>
        </pivotArea>
        <pivotArea type="data" outline="0" collapsedLevelsAreSubtotals="1" fieldPosition="0">
          <references count="2">
            <reference field="4294967294" count="1" selected="0">
              <x v="11"/>
            </reference>
            <reference field="0" count="1" selected="0">
              <x v="3"/>
            </reference>
          </references>
        </pivotArea>
        <pivotArea type="data" outline="0" collapsedLevelsAreSubtotals="1" fieldPosition="0">
          <references count="2">
            <reference field="4294967294" count="1" selected="0">
              <x v="11"/>
            </reference>
            <reference field="0" count="1" selected="0">
              <x v="4"/>
            </reference>
          </references>
        </pivotArea>
        <pivotArea type="data" outline="0" collapsedLevelsAreSubtotals="1" fieldPosition="0">
          <references count="2">
            <reference field="4294967294" count="1" selected="0">
              <x v="11"/>
            </reference>
            <reference field="0" count="1" selected="0">
              <x v="5"/>
            </reference>
          </references>
        </pivotArea>
        <pivotArea type="data" outline="0" collapsedLevelsAreSubtotals="1" fieldPosition="0">
          <references count="2">
            <reference field="4294967294" count="1" selected="0">
              <x v="11"/>
            </reference>
            <reference field="0" count="1" selected="0">
              <x v="6"/>
            </reference>
          </references>
        </pivotArea>
        <pivotArea type="data" outline="0" collapsedLevelsAreSubtotals="1" fieldPosition="0">
          <references count="2">
            <reference field="4294967294" count="1" selected="0">
              <x v="11"/>
            </reference>
            <reference field="0" count="1" selected="0">
              <x v="7"/>
            </reference>
          </references>
        </pivotArea>
        <pivotArea type="data" outline="0" collapsedLevelsAreSubtotals="1" fieldPosition="0">
          <references count="2">
            <reference field="4294967294" count="1" selected="0">
              <x v="11"/>
            </reference>
            <reference field="0" count="1" selected="0">
              <x v="8"/>
            </reference>
          </references>
        </pivotArea>
        <pivotArea type="data" outline="0" collapsedLevelsAreSubtotals="1" fieldPosition="0">
          <references count="2">
            <reference field="4294967294" count="1" selected="0">
              <x v="11"/>
            </reference>
            <reference field="0" count="1" selected="0">
              <x v="9"/>
            </reference>
          </references>
        </pivotArea>
        <pivotArea type="data" outline="0" collapsedLevelsAreSubtotals="1" fieldPosition="0">
          <references count="2">
            <reference field="4294967294" count="1" selected="0">
              <x v="11"/>
            </reference>
            <reference field="0" count="1" selected="0">
              <x v="10"/>
            </reference>
          </references>
        </pivotArea>
        <pivotArea type="data" outline="0" collapsedLevelsAreSubtotals="1" fieldPosition="0">
          <references count="2">
            <reference field="4294967294" count="1" selected="0">
              <x v="11"/>
            </reference>
            <reference field="0" count="1" selected="0">
              <x v="11"/>
            </reference>
          </references>
        </pivotArea>
        <pivotArea type="data" outline="0" collapsedLevelsAreSubtotals="1" fieldPosition="0">
          <references count="2">
            <reference field="4294967294" count="1" selected="0">
              <x v="11"/>
            </reference>
            <reference field="0" count="1" selected="0">
              <x v="12"/>
            </reference>
          </references>
        </pivotArea>
        <pivotArea type="data" outline="0" collapsedLevelsAreSubtotals="1" fieldPosition="0">
          <references count="2">
            <reference field="4294967294" count="1" selected="0">
              <x v="11"/>
            </reference>
            <reference field="0" count="1" selected="0">
              <x v="13"/>
            </reference>
          </references>
        </pivotArea>
        <pivotArea type="data" outline="0" collapsedLevelsAreSubtotals="1" fieldPosition="0">
          <references count="2">
            <reference field="4294967294" count="1" selected="0">
              <x v="11"/>
            </reference>
            <reference field="0" count="1" selected="0">
              <x v="14"/>
            </reference>
          </references>
        </pivotArea>
        <pivotArea type="data" outline="0" collapsedLevelsAreSubtotals="1" fieldPosition="0">
          <references count="2">
            <reference field="4294967294" count="1" selected="0">
              <x v="11"/>
            </reference>
            <reference field="0" count="1" selected="0">
              <x v="15"/>
            </reference>
          </references>
        </pivotArea>
        <pivotArea type="data" grandRow="1" outline="0" collapsedLevelsAreSubtotals="1" fieldPosition="0">
          <references count="1">
            <reference field="4294967294" count="1" selected="0">
              <x v="11"/>
            </reference>
          </references>
        </pivotArea>
        <pivotArea type="data" outline="0" collapsedLevelsAreSubtotals="1" fieldPosition="0">
          <references count="2">
            <reference field="4294967294" count="1" selected="0">
              <x v="5"/>
            </reference>
            <reference field="0" count="1" selected="0">
              <x v="1"/>
            </reference>
          </references>
        </pivotArea>
        <pivotArea type="data" outline="0" collapsedLevelsAreSubtotals="1" fieldPosition="0">
          <references count="2">
            <reference field="4294967294" count="1" selected="0">
              <x v="5"/>
            </reference>
            <reference field="0" count="1" selected="0">
              <x v="2"/>
            </reference>
          </references>
        </pivotArea>
        <pivotArea type="data" outline="0" collapsedLevelsAreSubtotals="1" fieldPosition="0">
          <references count="2">
            <reference field="4294967294" count="1" selected="0">
              <x v="5"/>
            </reference>
            <reference field="0" count="1" selected="0">
              <x v="3"/>
            </reference>
          </references>
        </pivotArea>
        <pivotArea type="data" outline="0" collapsedLevelsAreSubtotals="1" fieldPosition="0">
          <references count="2">
            <reference field="4294967294" count="1" selected="0">
              <x v="5"/>
            </reference>
            <reference field="0" count="1" selected="0">
              <x v="4"/>
            </reference>
          </references>
        </pivotArea>
        <pivotArea type="data" outline="0" collapsedLevelsAreSubtotals="1" fieldPosition="0">
          <references count="2">
            <reference field="4294967294" count="1" selected="0">
              <x v="5"/>
            </reference>
            <reference field="0" count="1" selected="0">
              <x v="5"/>
            </reference>
          </references>
        </pivotArea>
        <pivotArea type="data" outline="0" collapsedLevelsAreSubtotals="1" fieldPosition="0">
          <references count="2">
            <reference field="4294967294" count="1" selected="0">
              <x v="5"/>
            </reference>
            <reference field="0" count="1" selected="0">
              <x v="6"/>
            </reference>
          </references>
        </pivotArea>
        <pivotArea type="data" outline="0" collapsedLevelsAreSubtotals="1" fieldPosition="0">
          <references count="2">
            <reference field="4294967294" count="1" selected="0">
              <x v="5"/>
            </reference>
            <reference field="0" count="1" selected="0">
              <x v="7"/>
            </reference>
          </references>
        </pivotArea>
        <pivotArea type="data" outline="0" collapsedLevelsAreSubtotals="1" fieldPosition="0">
          <references count="2">
            <reference field="4294967294" count="1" selected="0">
              <x v="5"/>
            </reference>
            <reference field="0" count="1" selected="0">
              <x v="8"/>
            </reference>
          </references>
        </pivotArea>
        <pivotArea type="data" outline="0" collapsedLevelsAreSubtotals="1" fieldPosition="0">
          <references count="2">
            <reference field="4294967294" count="1" selected="0">
              <x v="5"/>
            </reference>
            <reference field="0" count="1" selected="0">
              <x v="9"/>
            </reference>
          </references>
        </pivotArea>
        <pivotArea type="data" outline="0" collapsedLevelsAreSubtotals="1" fieldPosition="0">
          <references count="2">
            <reference field="4294967294" count="1" selected="0">
              <x v="5"/>
            </reference>
            <reference field="0" count="1" selected="0">
              <x v="10"/>
            </reference>
          </references>
        </pivotArea>
        <pivotArea type="data" outline="0" collapsedLevelsAreSubtotals="1" fieldPosition="0">
          <references count="2">
            <reference field="4294967294" count="1" selected="0">
              <x v="5"/>
            </reference>
            <reference field="0" count="1" selected="0">
              <x v="11"/>
            </reference>
          </references>
        </pivotArea>
        <pivotArea type="data" outline="0" collapsedLevelsAreSubtotals="1" fieldPosition="0">
          <references count="2">
            <reference field="4294967294" count="1" selected="0">
              <x v="5"/>
            </reference>
            <reference field="0" count="1" selected="0">
              <x v="12"/>
            </reference>
          </references>
        </pivotArea>
        <pivotArea type="data" outline="0" collapsedLevelsAreSubtotals="1" fieldPosition="0">
          <references count="2">
            <reference field="4294967294" count="1" selected="0">
              <x v="5"/>
            </reference>
            <reference field="0" count="1" selected="0">
              <x v="13"/>
            </reference>
          </references>
        </pivotArea>
        <pivotArea type="data" outline="0" collapsedLevelsAreSubtotals="1" fieldPosition="0">
          <references count="2">
            <reference field="4294967294" count="1" selected="0">
              <x v="5"/>
            </reference>
            <reference field="0" count="1" selected="0">
              <x v="14"/>
            </reference>
          </references>
        </pivotArea>
        <pivotArea type="data" outline="0" collapsedLevelsAreSubtotals="1" fieldPosition="0">
          <references count="2">
            <reference field="4294967294" count="1" selected="0">
              <x v="5"/>
            </reference>
            <reference field="0" count="1" selected="0">
              <x v="15"/>
            </reference>
          </references>
        </pivotArea>
        <pivotArea type="data" grandRow="1" outline="0" collapsedLevelsAreSubtotals="1" fieldPosition="0">
          <references count="1">
            <reference field="4294967294" count="1" selected="0">
              <x v="5"/>
            </reference>
          </references>
        </pivotArea>
        <pivotArea type="data" outline="0" collapsedLevelsAreSubtotals="1" fieldPosition="0">
          <references count="2">
            <reference field="4294967294" count="1" selected="0">
              <x v="2"/>
            </reference>
            <reference field="0" count="1" selected="0">
              <x v="1"/>
            </reference>
          </references>
        </pivotArea>
        <pivotArea type="data" outline="0" collapsedLevelsAreSubtotals="1" fieldPosition="0">
          <references count="2">
            <reference field="4294967294" count="1" selected="0">
              <x v="2"/>
            </reference>
            <reference field="0" count="1" selected="0">
              <x v="2"/>
            </reference>
          </references>
        </pivotArea>
        <pivotArea type="data" outline="0" collapsedLevelsAreSubtotals="1" fieldPosition="0">
          <references count="2">
            <reference field="4294967294" count="1" selected="0">
              <x v="2"/>
            </reference>
            <reference field="0" count="1" selected="0">
              <x v="3"/>
            </reference>
          </references>
        </pivotArea>
        <pivotArea type="data" outline="0" collapsedLevelsAreSubtotals="1" fieldPosition="0">
          <references count="2">
            <reference field="4294967294" count="1" selected="0">
              <x v="2"/>
            </reference>
            <reference field="0" count="1" selected="0">
              <x v="4"/>
            </reference>
          </references>
        </pivotArea>
        <pivotArea type="data" outline="0" collapsedLevelsAreSubtotals="1" fieldPosition="0">
          <references count="2">
            <reference field="4294967294" count="1" selected="0">
              <x v="2"/>
            </reference>
            <reference field="0" count="1" selected="0">
              <x v="5"/>
            </reference>
          </references>
        </pivotArea>
        <pivotArea type="data" outline="0" collapsedLevelsAreSubtotals="1" fieldPosition="0">
          <references count="2">
            <reference field="4294967294" count="1" selected="0">
              <x v="2"/>
            </reference>
            <reference field="0" count="1" selected="0">
              <x v="6"/>
            </reference>
          </references>
        </pivotArea>
        <pivotArea type="data" outline="0" collapsedLevelsAreSubtotals="1" fieldPosition="0">
          <references count="2">
            <reference field="4294967294" count="1" selected="0">
              <x v="2"/>
            </reference>
            <reference field="0" count="1" selected="0">
              <x v="7"/>
            </reference>
          </references>
        </pivotArea>
        <pivotArea type="data" outline="0" collapsedLevelsAreSubtotals="1" fieldPosition="0">
          <references count="2">
            <reference field="4294967294" count="1" selected="0">
              <x v="2"/>
            </reference>
            <reference field="0" count="1" selected="0">
              <x v="8"/>
            </reference>
          </references>
        </pivotArea>
        <pivotArea type="data" outline="0" collapsedLevelsAreSubtotals="1" fieldPosition="0">
          <references count="2">
            <reference field="4294967294" count="1" selected="0">
              <x v="2"/>
            </reference>
            <reference field="0" count="1" selected="0">
              <x v="9"/>
            </reference>
          </references>
        </pivotArea>
        <pivotArea type="data" outline="0" collapsedLevelsAreSubtotals="1" fieldPosition="0">
          <references count="2">
            <reference field="4294967294" count="1" selected="0">
              <x v="2"/>
            </reference>
            <reference field="0" count="1" selected="0">
              <x v="10"/>
            </reference>
          </references>
        </pivotArea>
        <pivotArea type="data" outline="0" collapsedLevelsAreSubtotals="1" fieldPosition="0">
          <references count="2">
            <reference field="4294967294" count="1" selected="0">
              <x v="2"/>
            </reference>
            <reference field="0" count="1" selected="0">
              <x v="11"/>
            </reference>
          </references>
        </pivotArea>
        <pivotArea type="data" outline="0" collapsedLevelsAreSubtotals="1" fieldPosition="0">
          <references count="2">
            <reference field="4294967294" count="1" selected="0">
              <x v="2"/>
            </reference>
            <reference field="0" count="1" selected="0">
              <x v="12"/>
            </reference>
          </references>
        </pivotArea>
        <pivotArea type="data" outline="0" collapsedLevelsAreSubtotals="1" fieldPosition="0">
          <references count="2">
            <reference field="4294967294" count="1" selected="0">
              <x v="2"/>
            </reference>
            <reference field="0" count="1" selected="0">
              <x v="13"/>
            </reference>
          </references>
        </pivotArea>
        <pivotArea type="data" outline="0" collapsedLevelsAreSubtotals="1" fieldPosition="0">
          <references count="2">
            <reference field="4294967294" count="1" selected="0">
              <x v="2"/>
            </reference>
            <reference field="0" count="1" selected="0">
              <x v="14"/>
            </reference>
          </references>
        </pivotArea>
        <pivotArea type="data" outline="0" collapsedLevelsAreSubtotals="1" fieldPosition="0">
          <references count="2">
            <reference field="4294967294" count="1" selected="0">
              <x v="2"/>
            </reference>
            <reference field="0" count="1" selected="0">
              <x v="15"/>
            </reference>
          </references>
        </pivotArea>
        <pivotArea type="data" grandRow="1" outline="0" collapsedLevelsAreSubtotals="1" fieldPosition="0">
          <references count="1">
            <reference field="4294967294" count="1" selected="0">
              <x v="2"/>
            </reference>
          </references>
        </pivotArea>
      </pivotAreas>
    </conditionalFormat>
  </conditional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4" dataOnRows="1" applyNumberFormats="0" applyBorderFormats="0" applyFontFormats="0" applyPatternFormats="0" applyAlignmentFormats="0" applyWidthHeightFormats="1" dataCaption="Data" updatedVersion="3" minRefreshableVersion="3" asteriskTotals="1" showMemberPropertyTips="0" useAutoFormatting="1" itemPrintTitles="1" createdVersion="3" indent="0" compact="0" compactData="0" gridDropZones="1">
  <location ref="A3:T124" firstHeaderRow="1" firstDataRow="3" firstDataCol="2"/>
  <pivotFields count="108">
    <pivotField axis="axisRow" compact="0" outline="0" subtotalTop="0" showAll="0" includeNewItemsInFilter="1">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ubtotalTop="0" showAll="0" includeNewItemsInFilter="1"/>
    <pivotField axis="axisCol" compact="0" numFmtId="164" outline="0" subtotalTop="0" showAll="0" includeNewItemsInFilter="1">
      <items count="16">
        <item x="0"/>
        <item x="1"/>
        <item x="2"/>
        <item x="3"/>
        <item x="4"/>
        <item x="5"/>
        <item x="11"/>
        <item x="6"/>
        <item x="7"/>
        <item x="8"/>
        <item x="13"/>
        <item x="9"/>
        <item x="10"/>
        <item m="1" x="14"/>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axis="axisCol" subtotalCaption="Sub-total" compact="0" outline="0" subtotalTop="0" showAll="0" includeNewItemsInFilter="1">
      <items count="5">
        <item n="Four-Year" x="0"/>
        <item n="Two-Year" x="2"/>
        <item n="Technical Institutes" x="3"/>
        <item x="1"/>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102"/>
    <field x="3"/>
  </colFields>
  <colItems count="18">
    <i>
      <x/>
      <x/>
    </i>
    <i r="1">
      <x v="1"/>
    </i>
    <i r="1">
      <x v="2"/>
    </i>
    <i r="1">
      <x v="3"/>
    </i>
    <i r="1">
      <x v="4"/>
    </i>
    <i r="1">
      <x v="5"/>
    </i>
    <i t="default">
      <x/>
    </i>
    <i>
      <x v="1"/>
      <x v="6"/>
    </i>
    <i r="1">
      <x v="7"/>
    </i>
    <i r="1">
      <x v="8"/>
    </i>
    <i r="1">
      <x v="9"/>
    </i>
    <i r="1">
      <x v="10"/>
    </i>
    <i t="default">
      <x v="1"/>
    </i>
    <i>
      <x v="2"/>
      <x v="11"/>
    </i>
    <i r="1">
      <x v="12"/>
    </i>
    <i r="1">
      <x v="14"/>
    </i>
    <i t="default">
      <x v="2"/>
    </i>
    <i t="grand">
      <x/>
    </i>
  </colItems>
  <dataFields count="7">
    <dataField name=" Total # Prof New" fld="107" baseField="0" baseItem="0" numFmtId="164"/>
    <dataField name=" Tot # Asc. Prof New" fld="106" baseField="0" baseItem="0" numFmtId="164"/>
    <dataField name=" Tot # Ast. Prof New" fld="105" baseField="0" baseItem="0" numFmtId="164"/>
    <dataField name=" Tot # Instr. New" fld="104" baseField="0" baseItem="0" numFmtId="164"/>
    <dataField name=" Tot # Undes. New" fld="103" baseField="0" baseItem="0" numFmtId="164"/>
    <dataField name=" Tot # Single Rnk New" fld="76" baseField="0" baseItem="0" numFmtId="164"/>
    <dataField name=" All Ranks # New" fld="77" baseField="0" baseItem="0" numFmtId="164"/>
  </dataFields>
  <formats count="9">
    <format dxfId="8">
      <pivotArea type="origin" dataOnly="0" labelOnly="1" outline="0" fieldPosition="0"/>
    </format>
    <format dxfId="7">
      <pivotArea field="0" type="button" dataOnly="0" labelOnly="1" outline="0" axis="axisRow" fieldPosition="0"/>
    </format>
    <format dxfId="6">
      <pivotArea dataOnly="0" labelOnly="1" outline="0" fieldPosition="0">
        <references count="1">
          <reference field="0" count="0"/>
        </references>
      </pivotArea>
    </format>
    <format dxfId="5">
      <pivotArea outline="0" fieldPosition="0">
        <references count="2">
          <reference field="4294967294" count="1" selected="0">
            <x v="6"/>
          </reference>
          <reference field="0" count="1" selected="0">
            <x v="0"/>
          </reference>
        </references>
      </pivotArea>
    </format>
    <format dxfId="4">
      <pivotArea type="all" dataOnly="0" outline="0" fieldPosition="0"/>
    </format>
    <format dxfId="3">
      <pivotArea type="all" dataOnly="0" outline="0" fieldPosition="0"/>
    </format>
    <format dxfId="2">
      <pivotArea outline="0" fieldPosition="0">
        <references count="1">
          <reference field="102" count="1" selected="0" defaultSubtotal="1">
            <x v="3"/>
          </reference>
        </references>
      </pivotArea>
    </format>
    <format dxfId="1">
      <pivotArea grandCol="1" outline="0" fieldPosition="0"/>
    </format>
    <format dxfId="0">
      <pivotArea type="topRight" dataOnly="0" labelOnly="1" outline="0" offset="Q1"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sheetPr enableFormatConditionsCalculation="0">
    <tabColor indexed="18"/>
  </sheetPr>
  <dimension ref="A1:CB717"/>
  <sheetViews>
    <sheetView showZeros="0" zoomScale="80" zoomScaleNormal="80" workbookViewId="0">
      <pane xSplit="4" ySplit="7" topLeftCell="BN553" activePane="bottomRight" state="frozen"/>
      <selection pane="topRight" activeCell="E1" sqref="E1"/>
      <selection pane="bottomLeft" activeCell="A8" sqref="A8"/>
      <selection pane="bottomRight" activeCell="BV557" sqref="BV557:BW584"/>
    </sheetView>
  </sheetViews>
  <sheetFormatPr defaultRowHeight="12.75"/>
  <cols>
    <col min="1" max="1" width="4.875" style="362" customWidth="1"/>
    <col min="2" max="2" width="27.125" style="363" customWidth="1"/>
    <col min="3" max="3" width="8.25" style="362" customWidth="1"/>
    <col min="4" max="4" width="9.375" style="362" bestFit="1" customWidth="1"/>
    <col min="5" max="7" width="11.75" style="200" customWidth="1"/>
    <col min="8" max="10" width="11.75" style="217" customWidth="1"/>
    <col min="11" max="13" width="11.75" style="200" customWidth="1"/>
    <col min="14" max="16" width="11.75" style="217" customWidth="1"/>
    <col min="17" max="19" width="11.75" style="200" customWidth="1"/>
    <col min="20" max="22" width="11.75" style="217" customWidth="1"/>
    <col min="23" max="25" width="11.75" style="200" customWidth="1"/>
    <col min="26" max="28" width="11.75" style="217" customWidth="1"/>
    <col min="29" max="31" width="11.75" style="200" customWidth="1"/>
    <col min="32" max="34" width="11.75" style="217" customWidth="1"/>
    <col min="35" max="37" width="11.75" style="200" customWidth="1"/>
    <col min="38" max="40" width="11.75" style="217" customWidth="1"/>
    <col min="41" max="43" width="11.75" style="200" customWidth="1"/>
    <col min="44" max="46" width="11.75" style="217" customWidth="1"/>
    <col min="47" max="49" width="11.75" style="200" customWidth="1"/>
    <col min="50" max="52" width="11.75" style="217" customWidth="1"/>
    <col min="53" max="55" width="11.75" style="200" customWidth="1"/>
    <col min="56" max="58" width="11.75" style="217" customWidth="1"/>
    <col min="59" max="61" width="11.75" style="200" customWidth="1"/>
    <col min="62" max="64" width="11.75" style="217" customWidth="1"/>
    <col min="65" max="67" width="11.75" style="200" customWidth="1"/>
    <col min="68" max="70" width="11.75" style="217" customWidth="1"/>
    <col min="71" max="73" width="11.75" style="200" customWidth="1"/>
    <col min="74" max="76" width="11.75" style="217" customWidth="1"/>
    <col min="77" max="80" width="9" style="74"/>
    <col min="81" max="16384" width="9" style="200"/>
  </cols>
  <sheetData>
    <row r="1" spans="1:80" s="213" customFormat="1" ht="52.5" customHeight="1">
      <c r="A1" s="283"/>
      <c r="B1" s="284"/>
      <c r="C1" s="285"/>
      <c r="D1" s="286"/>
      <c r="E1" s="210" t="s">
        <v>229</v>
      </c>
      <c r="F1" s="211"/>
      <c r="G1" s="211"/>
      <c r="H1" s="268"/>
      <c r="I1" s="212"/>
      <c r="J1" s="212"/>
      <c r="K1" s="210"/>
      <c r="L1" s="211"/>
      <c r="M1" s="211"/>
      <c r="N1" s="268"/>
      <c r="O1" s="212"/>
      <c r="P1" s="212"/>
      <c r="Q1" s="210"/>
      <c r="R1" s="211"/>
      <c r="S1" s="211"/>
      <c r="T1" s="268"/>
      <c r="U1" s="212"/>
      <c r="V1" s="212"/>
      <c r="W1" s="210"/>
      <c r="X1" s="211"/>
      <c r="Y1" s="211"/>
      <c r="Z1" s="268"/>
      <c r="AA1" s="212"/>
      <c r="AB1" s="212"/>
      <c r="AC1" s="210"/>
      <c r="AD1" s="211"/>
      <c r="AE1" s="211"/>
      <c r="AF1" s="268"/>
      <c r="AG1" s="212"/>
      <c r="AH1" s="212"/>
      <c r="AI1" s="210"/>
      <c r="AJ1" s="211"/>
      <c r="AK1" s="211"/>
      <c r="AL1" s="268"/>
      <c r="AM1" s="212"/>
      <c r="AN1" s="212"/>
      <c r="AO1" s="210" t="s">
        <v>434</v>
      </c>
      <c r="AP1" s="211"/>
      <c r="AQ1" s="211"/>
      <c r="AR1" s="268"/>
      <c r="AS1" s="212"/>
      <c r="AT1" s="212"/>
      <c r="AU1" s="210"/>
      <c r="AV1" s="211"/>
      <c r="AW1" s="211"/>
      <c r="AX1" s="268"/>
      <c r="AY1" s="212"/>
      <c r="AZ1" s="212"/>
      <c r="BA1" s="210"/>
      <c r="BB1" s="211"/>
      <c r="BC1" s="211"/>
      <c r="BD1" s="268"/>
      <c r="BE1" s="212"/>
      <c r="BF1" s="212"/>
      <c r="BG1" s="210"/>
      <c r="BH1" s="211"/>
      <c r="BI1" s="211"/>
      <c r="BJ1" s="268"/>
      <c r="BK1" s="212"/>
      <c r="BL1" s="212"/>
      <c r="BM1" s="210"/>
      <c r="BN1" s="211"/>
      <c r="BO1" s="211"/>
      <c r="BP1" s="268"/>
      <c r="BQ1" s="212"/>
      <c r="BR1" s="212"/>
      <c r="BS1" s="210"/>
      <c r="BT1" s="211"/>
      <c r="BU1" s="211"/>
      <c r="BV1" s="268"/>
      <c r="BW1" s="212"/>
      <c r="BX1" s="212"/>
      <c r="BY1" s="74"/>
      <c r="BZ1" s="74"/>
      <c r="CA1" s="74"/>
      <c r="CB1" s="74"/>
    </row>
    <row r="2" spans="1:80">
      <c r="A2" s="287" t="s">
        <v>52</v>
      </c>
      <c r="B2" s="288" t="s">
        <v>53</v>
      </c>
      <c r="C2" s="289"/>
      <c r="D2" s="289"/>
      <c r="E2" s="269" t="s">
        <v>421</v>
      </c>
      <c r="F2" s="214"/>
      <c r="G2" s="215"/>
      <c r="H2" s="216" t="s">
        <v>422</v>
      </c>
      <c r="J2" s="270"/>
      <c r="K2" s="269" t="s">
        <v>421</v>
      </c>
      <c r="L2" s="214"/>
      <c r="M2" s="215"/>
      <c r="N2" s="216" t="s">
        <v>422</v>
      </c>
      <c r="P2" s="270"/>
      <c r="Q2" s="269" t="s">
        <v>421</v>
      </c>
      <c r="R2" s="214"/>
      <c r="S2" s="215"/>
      <c r="T2" s="216" t="s">
        <v>422</v>
      </c>
      <c r="V2" s="270"/>
      <c r="W2" s="269" t="s">
        <v>421</v>
      </c>
      <c r="X2" s="214"/>
      <c r="Y2" s="215"/>
      <c r="Z2" s="216" t="s">
        <v>422</v>
      </c>
      <c r="AB2" s="270"/>
      <c r="AC2" s="269" t="s">
        <v>421</v>
      </c>
      <c r="AD2" s="214"/>
      <c r="AE2" s="215"/>
      <c r="AF2" s="216" t="s">
        <v>422</v>
      </c>
      <c r="AH2" s="270"/>
      <c r="AI2" s="269" t="s">
        <v>421</v>
      </c>
      <c r="AJ2" s="214"/>
      <c r="AK2" s="215"/>
      <c r="AL2" s="216" t="s">
        <v>422</v>
      </c>
      <c r="AN2" s="270"/>
      <c r="AO2" s="269" t="s">
        <v>421</v>
      </c>
      <c r="AP2" s="214"/>
      <c r="AQ2" s="215"/>
      <c r="AR2" s="216" t="s">
        <v>422</v>
      </c>
      <c r="AT2" s="270"/>
      <c r="AU2" s="269" t="s">
        <v>421</v>
      </c>
      <c r="AV2" s="214"/>
      <c r="AW2" s="215"/>
      <c r="AX2" s="216" t="s">
        <v>422</v>
      </c>
      <c r="AZ2" s="270"/>
      <c r="BA2" s="269" t="s">
        <v>421</v>
      </c>
      <c r="BB2" s="214"/>
      <c r="BC2" s="215"/>
      <c r="BD2" s="216" t="s">
        <v>422</v>
      </c>
      <c r="BF2" s="270"/>
      <c r="BG2" s="269" t="s">
        <v>421</v>
      </c>
      <c r="BH2" s="214"/>
      <c r="BI2" s="215"/>
      <c r="BJ2" s="216" t="s">
        <v>422</v>
      </c>
      <c r="BL2" s="270"/>
      <c r="BM2" s="269" t="s">
        <v>421</v>
      </c>
      <c r="BN2" s="214"/>
      <c r="BO2" s="215"/>
      <c r="BP2" s="216" t="s">
        <v>422</v>
      </c>
      <c r="BR2" s="270"/>
      <c r="BS2" s="269" t="s">
        <v>421</v>
      </c>
      <c r="BT2" s="214"/>
      <c r="BU2" s="215"/>
      <c r="BV2" s="216" t="s">
        <v>422</v>
      </c>
      <c r="BX2" s="270"/>
      <c r="BY2" s="290"/>
    </row>
    <row r="3" spans="1:80">
      <c r="A3" s="287" t="s">
        <v>54</v>
      </c>
      <c r="B3" s="291" t="s">
        <v>55</v>
      </c>
      <c r="C3" s="289"/>
      <c r="D3" s="289"/>
      <c r="E3" s="271" t="s">
        <v>231</v>
      </c>
      <c r="F3" s="214"/>
      <c r="G3" s="272" t="s">
        <v>230</v>
      </c>
      <c r="H3" s="216" t="s">
        <v>56</v>
      </c>
      <c r="J3" s="273" t="s">
        <v>230</v>
      </c>
      <c r="K3" s="271" t="s">
        <v>231</v>
      </c>
      <c r="L3" s="214"/>
      <c r="M3" s="272" t="s">
        <v>230</v>
      </c>
      <c r="N3" s="216" t="s">
        <v>56</v>
      </c>
      <c r="P3" s="273" t="s">
        <v>230</v>
      </c>
      <c r="Q3" s="271" t="s">
        <v>231</v>
      </c>
      <c r="R3" s="214"/>
      <c r="S3" s="272" t="s">
        <v>230</v>
      </c>
      <c r="T3" s="216" t="s">
        <v>56</v>
      </c>
      <c r="V3" s="273" t="s">
        <v>230</v>
      </c>
      <c r="W3" s="271" t="s">
        <v>231</v>
      </c>
      <c r="X3" s="214"/>
      <c r="Y3" s="272" t="s">
        <v>230</v>
      </c>
      <c r="Z3" s="216" t="s">
        <v>56</v>
      </c>
      <c r="AB3" s="273" t="s">
        <v>230</v>
      </c>
      <c r="AC3" s="271" t="s">
        <v>231</v>
      </c>
      <c r="AD3" s="214"/>
      <c r="AE3" s="272" t="s">
        <v>230</v>
      </c>
      <c r="AF3" s="216" t="s">
        <v>56</v>
      </c>
      <c r="AH3" s="273" t="s">
        <v>230</v>
      </c>
      <c r="AI3" s="271" t="s">
        <v>231</v>
      </c>
      <c r="AJ3" s="214"/>
      <c r="AK3" s="272" t="s">
        <v>230</v>
      </c>
      <c r="AL3" s="216" t="s">
        <v>56</v>
      </c>
      <c r="AN3" s="273" t="s">
        <v>230</v>
      </c>
      <c r="AO3" s="271" t="s">
        <v>231</v>
      </c>
      <c r="AP3" s="214"/>
      <c r="AQ3" s="272" t="s">
        <v>232</v>
      </c>
      <c r="AR3" s="216" t="s">
        <v>56</v>
      </c>
      <c r="AT3" s="273" t="s">
        <v>232</v>
      </c>
      <c r="AU3" s="271" t="s">
        <v>231</v>
      </c>
      <c r="AV3" s="214"/>
      <c r="AW3" s="272" t="s">
        <v>232</v>
      </c>
      <c r="AX3" s="216" t="s">
        <v>56</v>
      </c>
      <c r="AZ3" s="273" t="s">
        <v>232</v>
      </c>
      <c r="BA3" s="271" t="s">
        <v>231</v>
      </c>
      <c r="BB3" s="214"/>
      <c r="BC3" s="272" t="s">
        <v>232</v>
      </c>
      <c r="BD3" s="216" t="s">
        <v>56</v>
      </c>
      <c r="BF3" s="273" t="s">
        <v>232</v>
      </c>
      <c r="BG3" s="271" t="s">
        <v>231</v>
      </c>
      <c r="BH3" s="214"/>
      <c r="BI3" s="272" t="s">
        <v>232</v>
      </c>
      <c r="BJ3" s="216" t="s">
        <v>56</v>
      </c>
      <c r="BL3" s="273" t="s">
        <v>232</v>
      </c>
      <c r="BM3" s="271" t="s">
        <v>231</v>
      </c>
      <c r="BN3" s="214"/>
      <c r="BO3" s="272" t="s">
        <v>232</v>
      </c>
      <c r="BP3" s="216" t="s">
        <v>56</v>
      </c>
      <c r="BR3" s="273" t="s">
        <v>232</v>
      </c>
      <c r="BS3" s="271" t="s">
        <v>231</v>
      </c>
      <c r="BT3" s="214"/>
      <c r="BU3" s="272" t="s">
        <v>232</v>
      </c>
      <c r="BV3" s="216" t="s">
        <v>56</v>
      </c>
      <c r="BX3" s="273" t="s">
        <v>232</v>
      </c>
      <c r="BY3" s="290"/>
    </row>
    <row r="4" spans="1:80" s="220" customFormat="1">
      <c r="A4" s="292"/>
      <c r="B4" s="293"/>
      <c r="C4" s="294"/>
      <c r="D4" s="294"/>
      <c r="E4" s="271" t="s">
        <v>435</v>
      </c>
      <c r="F4" s="219"/>
      <c r="G4" s="295" t="s">
        <v>423</v>
      </c>
      <c r="H4" s="216" t="s">
        <v>435</v>
      </c>
      <c r="I4" s="216"/>
      <c r="J4" s="296" t="s">
        <v>423</v>
      </c>
      <c r="K4" s="271" t="s">
        <v>436</v>
      </c>
      <c r="L4" s="219"/>
      <c r="M4" s="295" t="s">
        <v>423</v>
      </c>
      <c r="N4" s="216" t="s">
        <v>436</v>
      </c>
      <c r="O4" s="216"/>
      <c r="P4" s="296" t="s">
        <v>423</v>
      </c>
      <c r="Q4" s="271" t="s">
        <v>437</v>
      </c>
      <c r="R4" s="219"/>
      <c r="S4" s="295" t="s">
        <v>423</v>
      </c>
      <c r="T4" s="216" t="s">
        <v>437</v>
      </c>
      <c r="U4" s="216"/>
      <c r="V4" s="296" t="s">
        <v>423</v>
      </c>
      <c r="W4" s="271" t="s">
        <v>438</v>
      </c>
      <c r="X4" s="219"/>
      <c r="Y4" s="295" t="s">
        <v>423</v>
      </c>
      <c r="Z4" s="216" t="s">
        <v>438</v>
      </c>
      <c r="AA4" s="216"/>
      <c r="AB4" s="296" t="s">
        <v>423</v>
      </c>
      <c r="AC4" s="271" t="s">
        <v>309</v>
      </c>
      <c r="AD4" s="219"/>
      <c r="AE4" s="295" t="s">
        <v>423</v>
      </c>
      <c r="AF4" s="216" t="s">
        <v>309</v>
      </c>
      <c r="AG4" s="216"/>
      <c r="AH4" s="296" t="s">
        <v>423</v>
      </c>
      <c r="AI4" s="271" t="s">
        <v>997</v>
      </c>
      <c r="AJ4" s="219"/>
      <c r="AK4" s="295" t="s">
        <v>423</v>
      </c>
      <c r="AL4" s="216" t="s">
        <v>999</v>
      </c>
      <c r="AM4" s="216"/>
      <c r="AN4" s="296" t="s">
        <v>423</v>
      </c>
      <c r="AO4" s="271" t="s">
        <v>435</v>
      </c>
      <c r="AP4" s="219"/>
      <c r="AQ4" s="295" t="s">
        <v>423</v>
      </c>
      <c r="AR4" s="216" t="s">
        <v>435</v>
      </c>
      <c r="AS4" s="216"/>
      <c r="AT4" s="296" t="s">
        <v>423</v>
      </c>
      <c r="AU4" s="271" t="s">
        <v>436</v>
      </c>
      <c r="AV4" s="219"/>
      <c r="AW4" s="295" t="s">
        <v>423</v>
      </c>
      <c r="AX4" s="216" t="s">
        <v>436</v>
      </c>
      <c r="AY4" s="216"/>
      <c r="AZ4" s="296" t="s">
        <v>423</v>
      </c>
      <c r="BA4" s="271" t="s">
        <v>437</v>
      </c>
      <c r="BB4" s="219"/>
      <c r="BC4" s="295" t="s">
        <v>423</v>
      </c>
      <c r="BD4" s="216" t="s">
        <v>437</v>
      </c>
      <c r="BE4" s="216"/>
      <c r="BF4" s="296" t="s">
        <v>423</v>
      </c>
      <c r="BG4" s="271" t="s">
        <v>438</v>
      </c>
      <c r="BH4" s="219"/>
      <c r="BI4" s="295" t="s">
        <v>423</v>
      </c>
      <c r="BJ4" s="216" t="s">
        <v>438</v>
      </c>
      <c r="BK4" s="216"/>
      <c r="BL4" s="296" t="s">
        <v>423</v>
      </c>
      <c r="BM4" s="271" t="s">
        <v>309</v>
      </c>
      <c r="BN4" s="219"/>
      <c r="BO4" s="295" t="s">
        <v>423</v>
      </c>
      <c r="BP4" s="216" t="s">
        <v>309</v>
      </c>
      <c r="BQ4" s="216"/>
      <c r="BR4" s="296" t="s">
        <v>423</v>
      </c>
      <c r="BS4" s="271" t="s">
        <v>997</v>
      </c>
      <c r="BT4" s="219"/>
      <c r="BU4" s="295" t="s">
        <v>423</v>
      </c>
      <c r="BV4" s="216" t="s">
        <v>998</v>
      </c>
      <c r="BW4" s="216"/>
      <c r="BX4" s="296" t="s">
        <v>423</v>
      </c>
      <c r="BY4" s="290"/>
      <c r="BZ4" s="74"/>
      <c r="CA4" s="74"/>
      <c r="CB4" s="74"/>
    </row>
    <row r="5" spans="1:80">
      <c r="A5" s="297"/>
      <c r="B5" s="298"/>
      <c r="C5" s="299" t="s">
        <v>427</v>
      </c>
      <c r="D5" s="299"/>
      <c r="E5" s="274"/>
      <c r="F5" s="221" t="s">
        <v>439</v>
      </c>
      <c r="G5" s="222"/>
      <c r="H5" s="218"/>
      <c r="I5" s="218" t="s">
        <v>439</v>
      </c>
      <c r="J5" s="270"/>
      <c r="K5" s="274"/>
      <c r="L5" s="221" t="s">
        <v>439</v>
      </c>
      <c r="M5" s="222"/>
      <c r="N5" s="218"/>
      <c r="O5" s="218" t="s">
        <v>439</v>
      </c>
      <c r="P5" s="270"/>
      <c r="Q5" s="274"/>
      <c r="R5" s="221" t="s">
        <v>439</v>
      </c>
      <c r="S5" s="222"/>
      <c r="T5" s="218"/>
      <c r="U5" s="218" t="s">
        <v>439</v>
      </c>
      <c r="V5" s="270"/>
      <c r="W5" s="274"/>
      <c r="X5" s="221" t="s">
        <v>439</v>
      </c>
      <c r="Y5" s="222"/>
      <c r="Z5" s="218"/>
      <c r="AA5" s="218" t="s">
        <v>439</v>
      </c>
      <c r="AB5" s="270"/>
      <c r="AC5" s="274"/>
      <c r="AD5" s="221" t="s">
        <v>439</v>
      </c>
      <c r="AE5" s="222"/>
      <c r="AF5" s="218"/>
      <c r="AG5" s="218" t="s">
        <v>439</v>
      </c>
      <c r="AH5" s="270"/>
      <c r="AI5" s="274"/>
      <c r="AJ5" s="221" t="s">
        <v>439</v>
      </c>
      <c r="AK5" s="222"/>
      <c r="AL5" s="218"/>
      <c r="AM5" s="218" t="s">
        <v>439</v>
      </c>
      <c r="AN5" s="270"/>
      <c r="AO5" s="274"/>
      <c r="AP5" s="221" t="s">
        <v>439</v>
      </c>
      <c r="AQ5" s="222"/>
      <c r="AR5" s="218"/>
      <c r="AS5" s="218" t="s">
        <v>439</v>
      </c>
      <c r="AT5" s="270"/>
      <c r="AU5" s="274"/>
      <c r="AV5" s="221" t="s">
        <v>439</v>
      </c>
      <c r="AW5" s="222"/>
      <c r="AX5" s="218"/>
      <c r="AY5" s="218" t="s">
        <v>439</v>
      </c>
      <c r="AZ5" s="270"/>
      <c r="BA5" s="274"/>
      <c r="BB5" s="221" t="s">
        <v>439</v>
      </c>
      <c r="BC5" s="222"/>
      <c r="BD5" s="218"/>
      <c r="BE5" s="218" t="s">
        <v>439</v>
      </c>
      <c r="BF5" s="270"/>
      <c r="BG5" s="274"/>
      <c r="BH5" s="221" t="s">
        <v>439</v>
      </c>
      <c r="BI5" s="222"/>
      <c r="BJ5" s="218"/>
      <c r="BK5" s="218" t="s">
        <v>439</v>
      </c>
      <c r="BL5" s="270"/>
      <c r="BM5" s="274"/>
      <c r="BN5" s="221" t="s">
        <v>439</v>
      </c>
      <c r="BO5" s="222"/>
      <c r="BP5" s="218"/>
      <c r="BQ5" s="218" t="s">
        <v>439</v>
      </c>
      <c r="BR5" s="270"/>
      <c r="BS5" s="274"/>
      <c r="BT5" s="221" t="s">
        <v>439</v>
      </c>
      <c r="BU5" s="222"/>
      <c r="BV5" s="218"/>
      <c r="BW5" s="218" t="s">
        <v>439</v>
      </c>
      <c r="BX5" s="270"/>
      <c r="BY5" s="290"/>
    </row>
    <row r="6" spans="1:80">
      <c r="A6" s="300" t="s">
        <v>433</v>
      </c>
      <c r="B6" s="301" t="s">
        <v>428</v>
      </c>
      <c r="C6" s="300" t="s">
        <v>429</v>
      </c>
      <c r="D6" s="300" t="s">
        <v>430</v>
      </c>
      <c r="E6" s="275" t="s">
        <v>431</v>
      </c>
      <c r="F6" s="276" t="s">
        <v>440</v>
      </c>
      <c r="G6" s="272" t="s">
        <v>424</v>
      </c>
      <c r="H6" s="217" t="s">
        <v>431</v>
      </c>
      <c r="I6" s="217" t="s">
        <v>440</v>
      </c>
      <c r="J6" s="277" t="s">
        <v>424</v>
      </c>
      <c r="K6" s="275" t="s">
        <v>431</v>
      </c>
      <c r="L6" s="276" t="s">
        <v>440</v>
      </c>
      <c r="M6" s="272" t="s">
        <v>424</v>
      </c>
      <c r="N6" s="217" t="s">
        <v>431</v>
      </c>
      <c r="O6" s="217" t="s">
        <v>440</v>
      </c>
      <c r="P6" s="277" t="s">
        <v>424</v>
      </c>
      <c r="Q6" s="275" t="s">
        <v>431</v>
      </c>
      <c r="R6" s="276" t="s">
        <v>440</v>
      </c>
      <c r="S6" s="272" t="s">
        <v>424</v>
      </c>
      <c r="T6" s="217" t="s">
        <v>431</v>
      </c>
      <c r="U6" s="217" t="s">
        <v>440</v>
      </c>
      <c r="V6" s="277" t="s">
        <v>424</v>
      </c>
      <c r="W6" s="275" t="s">
        <v>431</v>
      </c>
      <c r="X6" s="276" t="s">
        <v>440</v>
      </c>
      <c r="Y6" s="272" t="s">
        <v>424</v>
      </c>
      <c r="Z6" s="217" t="s">
        <v>431</v>
      </c>
      <c r="AA6" s="217" t="s">
        <v>440</v>
      </c>
      <c r="AB6" s="277" t="s">
        <v>424</v>
      </c>
      <c r="AC6" s="275" t="s">
        <v>431</v>
      </c>
      <c r="AD6" s="276" t="s">
        <v>440</v>
      </c>
      <c r="AE6" s="272" t="s">
        <v>424</v>
      </c>
      <c r="AF6" s="217" t="s">
        <v>431</v>
      </c>
      <c r="AG6" s="217" t="s">
        <v>440</v>
      </c>
      <c r="AH6" s="277" t="s">
        <v>424</v>
      </c>
      <c r="AI6" s="275" t="s">
        <v>431</v>
      </c>
      <c r="AJ6" s="276" t="s">
        <v>440</v>
      </c>
      <c r="AK6" s="272" t="s">
        <v>424</v>
      </c>
      <c r="AL6" s="217" t="s">
        <v>431</v>
      </c>
      <c r="AM6" s="217" t="s">
        <v>440</v>
      </c>
      <c r="AN6" s="277" t="s">
        <v>424</v>
      </c>
      <c r="AO6" s="275" t="s">
        <v>524</v>
      </c>
      <c r="AP6" s="276" t="s">
        <v>440</v>
      </c>
      <c r="AQ6" s="272" t="s">
        <v>424</v>
      </c>
      <c r="AR6" s="217" t="s">
        <v>431</v>
      </c>
      <c r="AS6" s="217" t="s">
        <v>440</v>
      </c>
      <c r="AT6" s="277" t="s">
        <v>424</v>
      </c>
      <c r="AU6" s="275" t="s">
        <v>431</v>
      </c>
      <c r="AV6" s="276" t="s">
        <v>440</v>
      </c>
      <c r="AW6" s="272" t="s">
        <v>424</v>
      </c>
      <c r="AX6" s="217" t="s">
        <v>431</v>
      </c>
      <c r="AY6" s="217" t="s">
        <v>440</v>
      </c>
      <c r="AZ6" s="277" t="s">
        <v>424</v>
      </c>
      <c r="BA6" s="275" t="s">
        <v>431</v>
      </c>
      <c r="BB6" s="276" t="s">
        <v>440</v>
      </c>
      <c r="BC6" s="272" t="s">
        <v>424</v>
      </c>
      <c r="BD6" s="217" t="s">
        <v>431</v>
      </c>
      <c r="BE6" s="217" t="s">
        <v>440</v>
      </c>
      <c r="BF6" s="277" t="s">
        <v>424</v>
      </c>
      <c r="BG6" s="275" t="s">
        <v>431</v>
      </c>
      <c r="BH6" s="276" t="s">
        <v>440</v>
      </c>
      <c r="BI6" s="272" t="s">
        <v>424</v>
      </c>
      <c r="BJ6" s="217" t="s">
        <v>431</v>
      </c>
      <c r="BK6" s="217" t="s">
        <v>440</v>
      </c>
      <c r="BL6" s="277" t="s">
        <v>424</v>
      </c>
      <c r="BM6" s="275" t="s">
        <v>431</v>
      </c>
      <c r="BN6" s="276" t="s">
        <v>440</v>
      </c>
      <c r="BO6" s="272" t="s">
        <v>424</v>
      </c>
      <c r="BP6" s="217" t="s">
        <v>431</v>
      </c>
      <c r="BQ6" s="217" t="s">
        <v>440</v>
      </c>
      <c r="BR6" s="277" t="s">
        <v>424</v>
      </c>
      <c r="BS6" s="275" t="s">
        <v>431</v>
      </c>
      <c r="BT6" s="276" t="s">
        <v>440</v>
      </c>
      <c r="BU6" s="272" t="s">
        <v>424</v>
      </c>
      <c r="BV6" s="217" t="s">
        <v>431</v>
      </c>
      <c r="BW6" s="217" t="s">
        <v>440</v>
      </c>
      <c r="BX6" s="277" t="s">
        <v>424</v>
      </c>
      <c r="BY6" s="290"/>
    </row>
    <row r="7" spans="1:80" s="223" customFormat="1" ht="25.5" hidden="1">
      <c r="A7" s="302" t="s">
        <v>433</v>
      </c>
      <c r="B7" s="303" t="s">
        <v>428</v>
      </c>
      <c r="C7" s="302" t="s">
        <v>429</v>
      </c>
      <c r="D7" s="302" t="s">
        <v>430</v>
      </c>
      <c r="E7" s="278" t="s">
        <v>452</v>
      </c>
      <c r="F7" s="278" t="s">
        <v>453</v>
      </c>
      <c r="G7" s="278" t="s">
        <v>476</v>
      </c>
      <c r="H7" s="278" t="s">
        <v>454</v>
      </c>
      <c r="I7" s="278" t="s">
        <v>455</v>
      </c>
      <c r="J7" s="278" t="s">
        <v>477</v>
      </c>
      <c r="K7" s="278" t="s">
        <v>456</v>
      </c>
      <c r="L7" s="278" t="s">
        <v>457</v>
      </c>
      <c r="M7" s="278" t="s">
        <v>478</v>
      </c>
      <c r="N7" s="278" t="s">
        <v>458</v>
      </c>
      <c r="O7" s="278" t="s">
        <v>459</v>
      </c>
      <c r="P7" s="278" t="s">
        <v>479</v>
      </c>
      <c r="Q7" s="278" t="s">
        <v>460</v>
      </c>
      <c r="R7" s="278" t="s">
        <v>461</v>
      </c>
      <c r="S7" s="278" t="s">
        <v>480</v>
      </c>
      <c r="T7" s="278" t="s">
        <v>462</v>
      </c>
      <c r="U7" s="278" t="s">
        <v>463</v>
      </c>
      <c r="V7" s="278" t="s">
        <v>481</v>
      </c>
      <c r="W7" s="278" t="s">
        <v>464</v>
      </c>
      <c r="X7" s="278" t="s">
        <v>465</v>
      </c>
      <c r="Y7" s="278" t="s">
        <v>482</v>
      </c>
      <c r="Z7" s="278" t="s">
        <v>466</v>
      </c>
      <c r="AA7" s="278" t="s">
        <v>467</v>
      </c>
      <c r="AB7" s="278" t="s">
        <v>483</v>
      </c>
      <c r="AC7" s="278" t="s">
        <v>468</v>
      </c>
      <c r="AD7" s="278" t="s">
        <v>469</v>
      </c>
      <c r="AE7" s="278" t="s">
        <v>484</v>
      </c>
      <c r="AF7" s="278" t="s">
        <v>470</v>
      </c>
      <c r="AG7" s="278" t="s">
        <v>471</v>
      </c>
      <c r="AH7" s="278" t="s">
        <v>485</v>
      </c>
      <c r="AI7" s="278" t="s">
        <v>472</v>
      </c>
      <c r="AJ7" s="278" t="s">
        <v>473</v>
      </c>
      <c r="AK7" s="278" t="s">
        <v>486</v>
      </c>
      <c r="AL7" s="278" t="s">
        <v>474</v>
      </c>
      <c r="AM7" s="278" t="s">
        <v>475</v>
      </c>
      <c r="AN7" s="278" t="s">
        <v>487</v>
      </c>
      <c r="AO7" s="278" t="s">
        <v>523</v>
      </c>
      <c r="AP7" s="278" t="s">
        <v>488</v>
      </c>
      <c r="AQ7" s="278" t="s">
        <v>489</v>
      </c>
      <c r="AR7" s="278" t="s">
        <v>490</v>
      </c>
      <c r="AS7" s="278" t="s">
        <v>491</v>
      </c>
      <c r="AT7" s="278" t="s">
        <v>492</v>
      </c>
      <c r="AU7" s="278" t="s">
        <v>493</v>
      </c>
      <c r="AV7" s="278" t="s">
        <v>494</v>
      </c>
      <c r="AW7" s="278" t="s">
        <v>495</v>
      </c>
      <c r="AX7" s="278" t="s">
        <v>496</v>
      </c>
      <c r="AY7" s="278" t="s">
        <v>497</v>
      </c>
      <c r="AZ7" s="278" t="s">
        <v>498</v>
      </c>
      <c r="BA7" s="278" t="s">
        <v>499</v>
      </c>
      <c r="BB7" s="278" t="s">
        <v>500</v>
      </c>
      <c r="BC7" s="278" t="s">
        <v>501</v>
      </c>
      <c r="BD7" s="278" t="s">
        <v>502</v>
      </c>
      <c r="BE7" s="278" t="s">
        <v>503</v>
      </c>
      <c r="BF7" s="278" t="s">
        <v>504</v>
      </c>
      <c r="BG7" s="278" t="s">
        <v>505</v>
      </c>
      <c r="BH7" s="278" t="s">
        <v>506</v>
      </c>
      <c r="BI7" s="278" t="s">
        <v>507</v>
      </c>
      <c r="BJ7" s="278" t="s">
        <v>508</v>
      </c>
      <c r="BK7" s="278" t="s">
        <v>509</v>
      </c>
      <c r="BL7" s="278" t="s">
        <v>510</v>
      </c>
      <c r="BM7" s="278" t="s">
        <v>511</v>
      </c>
      <c r="BN7" s="278" t="s">
        <v>512</v>
      </c>
      <c r="BO7" s="278" t="s">
        <v>513</v>
      </c>
      <c r="BP7" s="278" t="s">
        <v>514</v>
      </c>
      <c r="BQ7" s="278" t="s">
        <v>515</v>
      </c>
      <c r="BR7" s="278" t="s">
        <v>516</v>
      </c>
      <c r="BS7" s="278" t="s">
        <v>517</v>
      </c>
      <c r="BT7" s="278" t="s">
        <v>518</v>
      </c>
      <c r="BU7" s="278" t="s">
        <v>519</v>
      </c>
      <c r="BV7" s="278" t="s">
        <v>520</v>
      </c>
      <c r="BW7" s="278" t="s">
        <v>521</v>
      </c>
      <c r="BX7" s="278" t="s">
        <v>522</v>
      </c>
      <c r="BY7" s="290"/>
      <c r="BZ7" s="74"/>
      <c r="CA7" s="74"/>
      <c r="CB7" s="74"/>
    </row>
    <row r="8" spans="1:80">
      <c r="A8" s="324" t="s">
        <v>432</v>
      </c>
      <c r="B8" s="322" t="s">
        <v>790</v>
      </c>
      <c r="C8" s="321">
        <v>100858</v>
      </c>
      <c r="D8" s="445">
        <v>1</v>
      </c>
      <c r="E8" s="308">
        <v>304</v>
      </c>
      <c r="F8" s="309">
        <v>103413.60197368421</v>
      </c>
      <c r="G8" s="310">
        <f t="shared" ref="G8:G70" si="0">E8*F8</f>
        <v>31437735</v>
      </c>
      <c r="H8" s="385">
        <v>286</v>
      </c>
      <c r="I8" s="386">
        <v>104554.12237762238</v>
      </c>
      <c r="J8" s="313">
        <f t="shared" ref="J8:J70" si="1">H8*I8</f>
        <v>29902479</v>
      </c>
      <c r="K8" s="308">
        <v>251</v>
      </c>
      <c r="L8" s="309">
        <v>73402.673306772907</v>
      </c>
      <c r="M8" s="310">
        <f t="shared" ref="M8:M70" si="2">K8*L8</f>
        <v>18424071</v>
      </c>
      <c r="N8" s="385">
        <v>265</v>
      </c>
      <c r="O8" s="386">
        <v>73360.758490566033</v>
      </c>
      <c r="P8" s="313">
        <f t="shared" ref="P8:P70" si="3">N8*O8</f>
        <v>19440601</v>
      </c>
      <c r="Q8" s="308">
        <v>198</v>
      </c>
      <c r="R8" s="309">
        <v>63801.111111111109</v>
      </c>
      <c r="S8" s="310">
        <f t="shared" ref="S8:S70" si="4">Q8*R8</f>
        <v>12632620</v>
      </c>
      <c r="T8" s="385">
        <v>239</v>
      </c>
      <c r="U8" s="386">
        <v>62633.585774058578</v>
      </c>
      <c r="V8" s="313">
        <f t="shared" ref="V8:V70" si="5">T8*U8</f>
        <v>14969427</v>
      </c>
      <c r="W8" s="308">
        <v>73</v>
      </c>
      <c r="X8" s="309">
        <v>34346.219178082189</v>
      </c>
      <c r="Y8" s="310">
        <f t="shared" ref="Y8:Y70" si="6">W8*X8</f>
        <v>2507274</v>
      </c>
      <c r="Z8" s="368">
        <v>84</v>
      </c>
      <c r="AA8" s="369">
        <v>34055.297619047618</v>
      </c>
      <c r="AB8" s="313">
        <f t="shared" ref="AB8:AB70" si="7">Z8*AA8</f>
        <v>2860645</v>
      </c>
      <c r="AC8" s="308">
        <v>15</v>
      </c>
      <c r="AD8" s="309">
        <v>51647.333333333336</v>
      </c>
      <c r="AE8" s="310">
        <f t="shared" ref="AE8:AE70" si="8">AC8*AD8</f>
        <v>774710</v>
      </c>
      <c r="AF8" s="385">
        <v>13</v>
      </c>
      <c r="AG8" s="386">
        <v>52311.538461538461</v>
      </c>
      <c r="AH8" s="313">
        <f t="shared" ref="AH8:AH70" si="9">AF8*AG8</f>
        <v>680050</v>
      </c>
      <c r="AI8" s="308"/>
      <c r="AJ8" s="309"/>
      <c r="AK8" s="310">
        <f t="shared" ref="AK8:AK70" si="10">AI8*AJ8</f>
        <v>0</v>
      </c>
      <c r="AL8" s="311"/>
      <c r="AM8" s="312"/>
      <c r="AN8" s="313">
        <f t="shared" ref="AN8:AN70" si="11">AL8*AM8</f>
        <v>0</v>
      </c>
      <c r="AO8" s="308">
        <v>170</v>
      </c>
      <c r="AP8" s="309">
        <v>131996.98823529412</v>
      </c>
      <c r="AQ8" s="310">
        <f t="shared" ref="AQ8:AQ70" si="12">(AO8*AP8)*0.8182</f>
        <v>18359989.081599999</v>
      </c>
      <c r="AR8" s="385">
        <v>170</v>
      </c>
      <c r="AS8" s="386">
        <v>131215</v>
      </c>
      <c r="AT8" s="313">
        <f t="shared" ref="AT8:AT70" si="13">(AR8*AS8)*0.8182</f>
        <v>18251219.210000001</v>
      </c>
      <c r="AU8" s="308">
        <v>83</v>
      </c>
      <c r="AV8" s="309">
        <v>95657.084337349399</v>
      </c>
      <c r="AW8" s="310">
        <f t="shared" ref="AW8:AW70" si="14">(AU8*AV8)*0.8182</f>
        <v>6496129.9916000003</v>
      </c>
      <c r="AX8" s="385">
        <v>77</v>
      </c>
      <c r="AY8" s="386">
        <v>93267.58441558441</v>
      </c>
      <c r="AZ8" s="313">
        <f t="shared" ref="AZ8:AZ70" si="15">(AX8*AY8)*0.8182</f>
        <v>5875988.3928000005</v>
      </c>
      <c r="BA8" s="308">
        <v>32</v>
      </c>
      <c r="BB8" s="309">
        <v>81940</v>
      </c>
      <c r="BC8" s="310">
        <f t="shared" ref="BC8:BC70" si="16">(BA8*BB8)*0.8182</f>
        <v>2145385.8560000001</v>
      </c>
      <c r="BD8" s="385">
        <v>35</v>
      </c>
      <c r="BE8" s="386">
        <v>82435.71428571429</v>
      </c>
      <c r="BF8" s="313">
        <f t="shared" ref="BF8:BF70" si="17">(BD8*BE8)*0.8182</f>
        <v>2360711.5500000003</v>
      </c>
      <c r="BG8" s="308">
        <v>4</v>
      </c>
      <c r="BH8" s="309">
        <v>56609.25</v>
      </c>
      <c r="BI8" s="310">
        <f t="shared" ref="BI8:BI70" si="18">(BG8*BH8)*0.8182</f>
        <v>185270.75340000002</v>
      </c>
      <c r="BJ8" s="385">
        <v>7</v>
      </c>
      <c r="BK8" s="386">
        <v>47672</v>
      </c>
      <c r="BL8" s="313">
        <f t="shared" ref="BL8:BL70" si="19">(BJ8*BK8)*0.8182</f>
        <v>273036.6128</v>
      </c>
      <c r="BM8" s="308">
        <v>2</v>
      </c>
      <c r="BN8" s="309">
        <v>69115</v>
      </c>
      <c r="BO8" s="310">
        <f t="shared" ref="BO8:BO70" si="20">(BM8*BN8)*0.8182</f>
        <v>113099.78600000001</v>
      </c>
      <c r="BP8" s="385">
        <v>0</v>
      </c>
      <c r="BQ8" s="386"/>
      <c r="BR8" s="313">
        <f t="shared" ref="BR8:BR70" si="21">(BP8*BQ8)*0.8182</f>
        <v>0</v>
      </c>
      <c r="BS8" s="308"/>
      <c r="BT8" s="309"/>
      <c r="BU8" s="310">
        <f t="shared" ref="BU8:BU70" si="22">(BS8*BT8)*0.8182</f>
        <v>0</v>
      </c>
      <c r="BV8" s="311"/>
      <c r="BW8" s="312"/>
      <c r="BX8" s="313">
        <f t="shared" ref="BX8:BX70" si="23">(BV8*BW8)*0.8182</f>
        <v>0</v>
      </c>
      <c r="BY8" s="290"/>
    </row>
    <row r="9" spans="1:80">
      <c r="A9" s="324" t="s">
        <v>432</v>
      </c>
      <c r="B9" s="322" t="s">
        <v>791</v>
      </c>
      <c r="C9" s="321">
        <v>100751</v>
      </c>
      <c r="D9" s="445">
        <v>1</v>
      </c>
      <c r="E9" s="308">
        <v>284</v>
      </c>
      <c r="F9" s="309">
        <v>115726.57746478873</v>
      </c>
      <c r="G9" s="310">
        <f t="shared" si="0"/>
        <v>32866348</v>
      </c>
      <c r="H9" s="385">
        <v>291</v>
      </c>
      <c r="I9" s="386">
        <v>115508.5498281787</v>
      </c>
      <c r="J9" s="313">
        <f t="shared" si="1"/>
        <v>33612988</v>
      </c>
      <c r="K9" s="308">
        <v>216</v>
      </c>
      <c r="L9" s="309">
        <v>79385.388888888891</v>
      </c>
      <c r="M9" s="310">
        <f t="shared" si="2"/>
        <v>17147244</v>
      </c>
      <c r="N9" s="385">
        <v>233</v>
      </c>
      <c r="O9" s="386">
        <v>80559.896995708157</v>
      </c>
      <c r="P9" s="313">
        <f t="shared" si="3"/>
        <v>18770456</v>
      </c>
      <c r="Q9" s="308">
        <v>224</v>
      </c>
      <c r="R9" s="309">
        <v>65093.455357142855</v>
      </c>
      <c r="S9" s="310">
        <f t="shared" si="4"/>
        <v>14580934</v>
      </c>
      <c r="T9" s="385">
        <v>241</v>
      </c>
      <c r="U9" s="386">
        <v>62879.282157676345</v>
      </c>
      <c r="V9" s="313">
        <f t="shared" si="5"/>
        <v>15153907</v>
      </c>
      <c r="W9" s="308">
        <v>132</v>
      </c>
      <c r="X9" s="309">
        <v>40678.121212121216</v>
      </c>
      <c r="Y9" s="310">
        <f t="shared" si="6"/>
        <v>5369512</v>
      </c>
      <c r="Z9" s="368">
        <v>144</v>
      </c>
      <c r="AA9" s="369">
        <v>38601.631944444445</v>
      </c>
      <c r="AB9" s="313">
        <f t="shared" si="7"/>
        <v>5558635</v>
      </c>
      <c r="AC9" s="308"/>
      <c r="AD9" s="309"/>
      <c r="AE9" s="310">
        <f t="shared" si="8"/>
        <v>0</v>
      </c>
      <c r="AF9" s="385">
        <v>9</v>
      </c>
      <c r="AG9" s="386">
        <v>63354.333333333336</v>
      </c>
      <c r="AH9" s="313">
        <f t="shared" si="9"/>
        <v>570189</v>
      </c>
      <c r="AI9" s="308"/>
      <c r="AJ9" s="309"/>
      <c r="AK9" s="310">
        <f t="shared" si="10"/>
        <v>0</v>
      </c>
      <c r="AL9" s="311"/>
      <c r="AM9" s="312"/>
      <c r="AN9" s="313">
        <f t="shared" si="11"/>
        <v>0</v>
      </c>
      <c r="AO9" s="308">
        <v>22</v>
      </c>
      <c r="AP9" s="309">
        <v>145999.81818181818</v>
      </c>
      <c r="AQ9" s="310">
        <f t="shared" si="12"/>
        <v>2628055.1272</v>
      </c>
      <c r="AR9" s="385">
        <v>32</v>
      </c>
      <c r="AS9" s="386">
        <v>131434.75</v>
      </c>
      <c r="AT9" s="313">
        <f t="shared" si="13"/>
        <v>3441277.1984000001</v>
      </c>
      <c r="AU9" s="308">
        <v>8</v>
      </c>
      <c r="AV9" s="309">
        <v>87542.125</v>
      </c>
      <c r="AW9" s="310">
        <f t="shared" si="14"/>
        <v>573015.73340000003</v>
      </c>
      <c r="AX9" s="385">
        <v>34</v>
      </c>
      <c r="AY9" s="386">
        <v>83709.205882352937</v>
      </c>
      <c r="AZ9" s="313">
        <f t="shared" si="15"/>
        <v>2328689.6566000003</v>
      </c>
      <c r="BA9" s="308">
        <v>10</v>
      </c>
      <c r="BB9" s="309">
        <v>79971.199999999997</v>
      </c>
      <c r="BC9" s="310">
        <f t="shared" si="16"/>
        <v>654324.35840000003</v>
      </c>
      <c r="BD9" s="385">
        <v>53</v>
      </c>
      <c r="BE9" s="386">
        <v>67333.905660377364</v>
      </c>
      <c r="BF9" s="313">
        <f t="shared" si="17"/>
        <v>2919907.8854000005</v>
      </c>
      <c r="BG9" s="308">
        <v>8</v>
      </c>
      <c r="BH9" s="309">
        <v>55872.75</v>
      </c>
      <c r="BI9" s="310">
        <f t="shared" si="18"/>
        <v>365720.67240000004</v>
      </c>
      <c r="BJ9" s="385">
        <v>24</v>
      </c>
      <c r="BK9" s="386">
        <v>45370.875</v>
      </c>
      <c r="BL9" s="313">
        <f t="shared" si="19"/>
        <v>890938.79820000008</v>
      </c>
      <c r="BM9" s="308"/>
      <c r="BN9" s="309"/>
      <c r="BO9" s="310">
        <f t="shared" si="20"/>
        <v>0</v>
      </c>
      <c r="BP9" s="385">
        <v>6</v>
      </c>
      <c r="BQ9" s="386">
        <v>83731.833333333328</v>
      </c>
      <c r="BR9" s="313">
        <f t="shared" si="21"/>
        <v>411056.3162</v>
      </c>
      <c r="BS9" s="308"/>
      <c r="BT9" s="309"/>
      <c r="BU9" s="310">
        <f t="shared" si="22"/>
        <v>0</v>
      </c>
      <c r="BV9" s="311"/>
      <c r="BW9" s="312"/>
      <c r="BX9" s="313">
        <f t="shared" si="23"/>
        <v>0</v>
      </c>
      <c r="BY9" s="290"/>
    </row>
    <row r="10" spans="1:80">
      <c r="A10" s="324" t="s">
        <v>432</v>
      </c>
      <c r="B10" s="322" t="s">
        <v>792</v>
      </c>
      <c r="C10" s="321">
        <v>100663</v>
      </c>
      <c r="D10" s="445">
        <v>1</v>
      </c>
      <c r="E10" s="308">
        <v>95</v>
      </c>
      <c r="F10" s="309">
        <v>95463.031578947368</v>
      </c>
      <c r="G10" s="310">
        <f t="shared" si="0"/>
        <v>9068988</v>
      </c>
      <c r="H10" s="385">
        <v>99</v>
      </c>
      <c r="I10" s="386">
        <v>97118.727272727279</v>
      </c>
      <c r="J10" s="313">
        <f t="shared" si="1"/>
        <v>9614754</v>
      </c>
      <c r="K10" s="308">
        <v>131</v>
      </c>
      <c r="L10" s="309">
        <v>71418.435114503824</v>
      </c>
      <c r="M10" s="310">
        <f t="shared" si="2"/>
        <v>9355815</v>
      </c>
      <c r="N10" s="385">
        <v>137</v>
      </c>
      <c r="O10" s="386">
        <v>71593.598540145991</v>
      </c>
      <c r="P10" s="313">
        <f t="shared" si="3"/>
        <v>9808323</v>
      </c>
      <c r="Q10" s="308">
        <v>116</v>
      </c>
      <c r="R10" s="309">
        <v>58528.801724137928</v>
      </c>
      <c r="S10" s="310">
        <f t="shared" si="4"/>
        <v>6789341</v>
      </c>
      <c r="T10" s="385">
        <v>118</v>
      </c>
      <c r="U10" s="386">
        <v>58306.466101694918</v>
      </c>
      <c r="V10" s="313">
        <f t="shared" si="5"/>
        <v>6880163</v>
      </c>
      <c r="W10" s="308">
        <v>37</v>
      </c>
      <c r="X10" s="309">
        <v>39446.567567567567</v>
      </c>
      <c r="Y10" s="310">
        <f t="shared" si="6"/>
        <v>1459523</v>
      </c>
      <c r="Z10" s="368">
        <v>29</v>
      </c>
      <c r="AA10" s="369">
        <v>41833.068965517239</v>
      </c>
      <c r="AB10" s="313">
        <f t="shared" si="7"/>
        <v>1213159</v>
      </c>
      <c r="AC10" s="308">
        <v>1</v>
      </c>
      <c r="AD10" s="309">
        <v>36000</v>
      </c>
      <c r="AE10" s="310">
        <f t="shared" si="8"/>
        <v>36000</v>
      </c>
      <c r="AF10" s="385">
        <v>1</v>
      </c>
      <c r="AG10" s="386">
        <v>36000</v>
      </c>
      <c r="AH10" s="313">
        <f t="shared" si="9"/>
        <v>36000</v>
      </c>
      <c r="AI10" s="308"/>
      <c r="AJ10" s="309"/>
      <c r="AK10" s="310">
        <f t="shared" si="10"/>
        <v>0</v>
      </c>
      <c r="AL10" s="311"/>
      <c r="AM10" s="312"/>
      <c r="AN10" s="313">
        <f t="shared" si="11"/>
        <v>0</v>
      </c>
      <c r="AO10" s="308">
        <v>140</v>
      </c>
      <c r="AP10" s="309">
        <v>157055.53571428571</v>
      </c>
      <c r="AQ10" s="310">
        <f t="shared" si="12"/>
        <v>17990397.505000003</v>
      </c>
      <c r="AR10" s="385">
        <v>132</v>
      </c>
      <c r="AS10" s="386">
        <v>156960.92424242425</v>
      </c>
      <c r="AT10" s="313">
        <f t="shared" si="13"/>
        <v>16952156.5244</v>
      </c>
      <c r="AU10" s="308">
        <v>119</v>
      </c>
      <c r="AV10" s="309">
        <v>109210.83193277312</v>
      </c>
      <c r="AW10" s="310">
        <f t="shared" si="14"/>
        <v>10633400.0198</v>
      </c>
      <c r="AX10" s="385">
        <v>120</v>
      </c>
      <c r="AY10" s="386">
        <v>107880.15833333334</v>
      </c>
      <c r="AZ10" s="313">
        <f t="shared" si="15"/>
        <v>10592105.4658</v>
      </c>
      <c r="BA10" s="308">
        <v>156</v>
      </c>
      <c r="BB10" s="309">
        <v>84179.698717948719</v>
      </c>
      <c r="BC10" s="310">
        <f t="shared" si="16"/>
        <v>10744629.400600001</v>
      </c>
      <c r="BD10" s="385">
        <v>156</v>
      </c>
      <c r="BE10" s="386">
        <v>82482.217948717953</v>
      </c>
      <c r="BF10" s="313">
        <f t="shared" si="17"/>
        <v>10527964.313200001</v>
      </c>
      <c r="BG10" s="308">
        <v>57</v>
      </c>
      <c r="BH10" s="309">
        <v>66328.859649122809</v>
      </c>
      <c r="BI10" s="310">
        <f t="shared" si="18"/>
        <v>3093405.5590000004</v>
      </c>
      <c r="BJ10" s="385">
        <v>57</v>
      </c>
      <c r="BK10" s="386">
        <v>67857.105263157893</v>
      </c>
      <c r="BL10" s="313">
        <f t="shared" si="19"/>
        <v>3164678.9610000001</v>
      </c>
      <c r="BM10" s="308"/>
      <c r="BN10" s="309"/>
      <c r="BO10" s="310">
        <f t="shared" si="20"/>
        <v>0</v>
      </c>
      <c r="BP10" s="392"/>
      <c r="BQ10" s="74"/>
      <c r="BR10" s="313">
        <f t="shared" si="21"/>
        <v>0</v>
      </c>
      <c r="BS10" s="308"/>
      <c r="BT10" s="309"/>
      <c r="BU10" s="310">
        <f t="shared" si="22"/>
        <v>0</v>
      </c>
      <c r="BV10" s="311"/>
      <c r="BW10" s="312"/>
      <c r="BX10" s="313">
        <f t="shared" si="23"/>
        <v>0</v>
      </c>
      <c r="BY10" s="290"/>
    </row>
    <row r="11" spans="1:80">
      <c r="A11" s="324" t="s">
        <v>432</v>
      </c>
      <c r="B11" s="322" t="s">
        <v>793</v>
      </c>
      <c r="C11" s="321">
        <v>100706</v>
      </c>
      <c r="D11" s="445">
        <v>2</v>
      </c>
      <c r="E11" s="308">
        <v>55</v>
      </c>
      <c r="F11" s="309">
        <v>100857.94545454545</v>
      </c>
      <c r="G11" s="310">
        <f t="shared" si="0"/>
        <v>5547187</v>
      </c>
      <c r="H11" s="385">
        <v>55</v>
      </c>
      <c r="I11" s="386">
        <v>102396.54545454546</v>
      </c>
      <c r="J11" s="313">
        <f t="shared" si="1"/>
        <v>5631810</v>
      </c>
      <c r="K11" s="308">
        <v>79</v>
      </c>
      <c r="L11" s="309">
        <v>77606.139240506323</v>
      </c>
      <c r="M11" s="310">
        <f t="shared" si="2"/>
        <v>6130885</v>
      </c>
      <c r="N11" s="385">
        <v>82</v>
      </c>
      <c r="O11" s="386">
        <v>77488.487804878052</v>
      </c>
      <c r="P11" s="313">
        <f t="shared" si="3"/>
        <v>6354056</v>
      </c>
      <c r="Q11" s="308">
        <v>80</v>
      </c>
      <c r="R11" s="309">
        <v>62484.387499999997</v>
      </c>
      <c r="S11" s="310">
        <f t="shared" si="4"/>
        <v>4998751</v>
      </c>
      <c r="T11" s="385">
        <v>85</v>
      </c>
      <c r="U11" s="386">
        <v>62656.117647058825</v>
      </c>
      <c r="V11" s="313">
        <f t="shared" si="5"/>
        <v>5325770</v>
      </c>
      <c r="W11" s="308">
        <v>4</v>
      </c>
      <c r="X11" s="309">
        <v>49150</v>
      </c>
      <c r="Y11" s="310">
        <f t="shared" si="6"/>
        <v>196600</v>
      </c>
      <c r="Z11" s="368">
        <v>7</v>
      </c>
      <c r="AA11" s="369">
        <v>57942.857142857145</v>
      </c>
      <c r="AB11" s="313">
        <f t="shared" si="7"/>
        <v>405600</v>
      </c>
      <c r="AC11" s="308">
        <v>26</v>
      </c>
      <c r="AD11" s="309">
        <v>41389.961538461539</v>
      </c>
      <c r="AE11" s="310">
        <f t="shared" si="8"/>
        <v>1076139</v>
      </c>
      <c r="AF11" s="385">
        <v>27</v>
      </c>
      <c r="AG11" s="386">
        <v>41994.222222222219</v>
      </c>
      <c r="AH11" s="313">
        <f t="shared" si="9"/>
        <v>1133844</v>
      </c>
      <c r="AI11" s="308"/>
      <c r="AJ11" s="309"/>
      <c r="AK11" s="310">
        <f t="shared" si="10"/>
        <v>0</v>
      </c>
      <c r="AL11" s="311"/>
      <c r="AM11" s="312"/>
      <c r="AN11" s="313">
        <f t="shared" si="11"/>
        <v>0</v>
      </c>
      <c r="AO11" s="308">
        <v>19</v>
      </c>
      <c r="AP11" s="309">
        <v>129609.84210526316</v>
      </c>
      <c r="AQ11" s="310">
        <f t="shared" si="12"/>
        <v>2014888.6834</v>
      </c>
      <c r="AR11" s="385">
        <v>20</v>
      </c>
      <c r="AS11" s="386">
        <v>125772.05</v>
      </c>
      <c r="AT11" s="313">
        <f t="shared" si="13"/>
        <v>2058133.8262</v>
      </c>
      <c r="AU11" s="308">
        <v>8</v>
      </c>
      <c r="AV11" s="309">
        <v>84429.75</v>
      </c>
      <c r="AW11" s="310">
        <f t="shared" si="14"/>
        <v>552643.37160000007</v>
      </c>
      <c r="AX11" s="385">
        <v>10</v>
      </c>
      <c r="AY11" s="386">
        <v>93942.8</v>
      </c>
      <c r="AZ11" s="313">
        <f t="shared" si="15"/>
        <v>768639.98960000009</v>
      </c>
      <c r="BA11" s="308">
        <v>2</v>
      </c>
      <c r="BB11" s="309">
        <v>65068.5</v>
      </c>
      <c r="BC11" s="310">
        <f t="shared" si="16"/>
        <v>106478.0934</v>
      </c>
      <c r="BD11" s="385">
        <v>3</v>
      </c>
      <c r="BE11" s="386">
        <v>65013.666666666664</v>
      </c>
      <c r="BF11" s="313">
        <f t="shared" si="17"/>
        <v>159582.54620000001</v>
      </c>
      <c r="BG11" s="308"/>
      <c r="BH11" s="309"/>
      <c r="BI11" s="310">
        <f t="shared" si="18"/>
        <v>0</v>
      </c>
      <c r="BJ11" s="392"/>
      <c r="BK11" s="386"/>
      <c r="BL11" s="313">
        <f t="shared" si="19"/>
        <v>0</v>
      </c>
      <c r="BM11" s="308">
        <v>16</v>
      </c>
      <c r="BN11" s="309">
        <v>52036.0625</v>
      </c>
      <c r="BO11" s="310">
        <f t="shared" si="20"/>
        <v>681214.50140000007</v>
      </c>
      <c r="BP11" s="385">
        <v>13</v>
      </c>
      <c r="BQ11" s="386">
        <v>48540.461538461539</v>
      </c>
      <c r="BR11" s="313">
        <f t="shared" si="21"/>
        <v>516305.47320000001</v>
      </c>
      <c r="BS11" s="308"/>
      <c r="BT11" s="309"/>
      <c r="BU11" s="310">
        <f t="shared" si="22"/>
        <v>0</v>
      </c>
      <c r="BV11" s="311"/>
      <c r="BW11" s="312"/>
      <c r="BX11" s="313">
        <f t="shared" si="23"/>
        <v>0</v>
      </c>
      <c r="BY11" s="290"/>
    </row>
    <row r="12" spans="1:80">
      <c r="A12" s="324" t="s">
        <v>432</v>
      </c>
      <c r="B12" s="322" t="s">
        <v>794</v>
      </c>
      <c r="C12" s="321">
        <v>100654</v>
      </c>
      <c r="D12" s="445">
        <v>3</v>
      </c>
      <c r="E12" s="308">
        <v>37</v>
      </c>
      <c r="F12" s="309">
        <v>80286.351351351346</v>
      </c>
      <c r="G12" s="310">
        <f t="shared" si="0"/>
        <v>2970595</v>
      </c>
      <c r="H12" s="385">
        <v>40</v>
      </c>
      <c r="I12" s="386">
        <v>88290.175000000003</v>
      </c>
      <c r="J12" s="313">
        <f t="shared" si="1"/>
        <v>3531607</v>
      </c>
      <c r="K12" s="308">
        <v>65</v>
      </c>
      <c r="L12" s="309">
        <v>60425.092307692306</v>
      </c>
      <c r="M12" s="310">
        <f t="shared" si="2"/>
        <v>3927631</v>
      </c>
      <c r="N12" s="385">
        <v>63</v>
      </c>
      <c r="O12" s="386">
        <v>65840.365079365074</v>
      </c>
      <c r="P12" s="313">
        <f t="shared" si="3"/>
        <v>4147942.9999999995</v>
      </c>
      <c r="Q12" s="308">
        <v>122</v>
      </c>
      <c r="R12" s="309">
        <v>50181.737704918036</v>
      </c>
      <c r="S12" s="310">
        <f t="shared" si="4"/>
        <v>6122172</v>
      </c>
      <c r="T12" s="385">
        <v>123</v>
      </c>
      <c r="U12" s="386">
        <v>53604.536585365851</v>
      </c>
      <c r="V12" s="313">
        <f t="shared" si="5"/>
        <v>6593358</v>
      </c>
      <c r="W12" s="308">
        <v>49</v>
      </c>
      <c r="X12" s="309">
        <v>37287.469387755104</v>
      </c>
      <c r="Y12" s="310">
        <f t="shared" si="6"/>
        <v>1827086</v>
      </c>
      <c r="Z12" s="368">
        <v>49</v>
      </c>
      <c r="AA12" s="369">
        <v>38540.938775510207</v>
      </c>
      <c r="AB12" s="313">
        <f t="shared" si="7"/>
        <v>1888506.0000000002</v>
      </c>
      <c r="AC12" s="308"/>
      <c r="AD12" s="309"/>
      <c r="AE12" s="310">
        <f t="shared" si="8"/>
        <v>0</v>
      </c>
      <c r="AF12" s="392"/>
      <c r="AG12" s="386"/>
      <c r="AH12" s="313">
        <f t="shared" si="9"/>
        <v>0</v>
      </c>
      <c r="AI12" s="308"/>
      <c r="AJ12" s="309"/>
      <c r="AK12" s="310">
        <f t="shared" si="10"/>
        <v>0</v>
      </c>
      <c r="AL12" s="311"/>
      <c r="AM12" s="312"/>
      <c r="AN12" s="313">
        <f t="shared" si="11"/>
        <v>0</v>
      </c>
      <c r="AO12" s="308">
        <v>21</v>
      </c>
      <c r="AP12" s="309">
        <v>99407.857142857145</v>
      </c>
      <c r="AQ12" s="310">
        <f t="shared" si="12"/>
        <v>1708045.6830000002</v>
      </c>
      <c r="AR12" s="385">
        <v>16</v>
      </c>
      <c r="AS12" s="386">
        <v>111155.5625</v>
      </c>
      <c r="AT12" s="313">
        <f t="shared" si="13"/>
        <v>1455159.6998000001</v>
      </c>
      <c r="AU12" s="308">
        <v>7</v>
      </c>
      <c r="AV12" s="309">
        <v>80372.71428571429</v>
      </c>
      <c r="AW12" s="310">
        <f t="shared" si="14"/>
        <v>460326.6838</v>
      </c>
      <c r="AX12" s="385">
        <v>7</v>
      </c>
      <c r="AY12" s="386">
        <v>78716.857142857145</v>
      </c>
      <c r="AZ12" s="313">
        <f t="shared" si="15"/>
        <v>450842.9276</v>
      </c>
      <c r="BA12" s="308">
        <v>9</v>
      </c>
      <c r="BB12" s="309">
        <v>69232.111111111109</v>
      </c>
      <c r="BC12" s="310">
        <f t="shared" si="16"/>
        <v>509811.41980000003</v>
      </c>
      <c r="BD12" s="385">
        <v>10</v>
      </c>
      <c r="BE12" s="386">
        <v>72579.199999999997</v>
      </c>
      <c r="BF12" s="313">
        <f t="shared" si="17"/>
        <v>593843.01439999999</v>
      </c>
      <c r="BG12" s="308">
        <v>1</v>
      </c>
      <c r="BH12" s="309">
        <v>64415</v>
      </c>
      <c r="BI12" s="310">
        <f t="shared" si="18"/>
        <v>52704.353000000003</v>
      </c>
      <c r="BJ12" s="385">
        <v>1</v>
      </c>
      <c r="BK12" s="386">
        <v>68924</v>
      </c>
      <c r="BL12" s="313">
        <f t="shared" si="19"/>
        <v>56393.616800000003</v>
      </c>
      <c r="BM12" s="308"/>
      <c r="BN12" s="309"/>
      <c r="BO12" s="310">
        <f t="shared" si="20"/>
        <v>0</v>
      </c>
      <c r="BP12" s="392"/>
      <c r="BQ12" s="386"/>
      <c r="BR12" s="313">
        <f t="shared" si="21"/>
        <v>0</v>
      </c>
      <c r="BS12" s="308"/>
      <c r="BT12" s="309"/>
      <c r="BU12" s="310">
        <f t="shared" si="22"/>
        <v>0</v>
      </c>
      <c r="BV12" s="311"/>
      <c r="BW12" s="312"/>
      <c r="BX12" s="313">
        <f t="shared" si="23"/>
        <v>0</v>
      </c>
      <c r="BY12" s="290"/>
    </row>
    <row r="13" spans="1:80">
      <c r="A13" s="324" t="s">
        <v>432</v>
      </c>
      <c r="B13" s="322" t="s">
        <v>795</v>
      </c>
      <c r="C13" s="321">
        <v>101480</v>
      </c>
      <c r="D13" s="445">
        <v>3</v>
      </c>
      <c r="E13" s="308">
        <v>51</v>
      </c>
      <c r="F13" s="309">
        <v>77189.823529411762</v>
      </c>
      <c r="G13" s="310">
        <f t="shared" si="0"/>
        <v>3936681</v>
      </c>
      <c r="H13" s="385">
        <v>56</v>
      </c>
      <c r="I13" s="386">
        <v>79768.017857142855</v>
      </c>
      <c r="J13" s="313">
        <f t="shared" si="1"/>
        <v>4467009</v>
      </c>
      <c r="K13" s="308">
        <v>54</v>
      </c>
      <c r="L13" s="309">
        <v>65471.851851851854</v>
      </c>
      <c r="M13" s="310">
        <f t="shared" si="2"/>
        <v>3535480</v>
      </c>
      <c r="N13" s="385">
        <v>59</v>
      </c>
      <c r="O13" s="386">
        <v>63554.847457627118</v>
      </c>
      <c r="P13" s="313">
        <f t="shared" si="3"/>
        <v>3749736</v>
      </c>
      <c r="Q13" s="308">
        <v>86</v>
      </c>
      <c r="R13" s="309">
        <v>53258.023255813954</v>
      </c>
      <c r="S13" s="310">
        <f t="shared" si="4"/>
        <v>4580190</v>
      </c>
      <c r="T13" s="385">
        <v>84</v>
      </c>
      <c r="U13" s="386">
        <v>52900.345238095237</v>
      </c>
      <c r="V13" s="313">
        <f t="shared" si="5"/>
        <v>4443629</v>
      </c>
      <c r="W13" s="308">
        <v>96</v>
      </c>
      <c r="X13" s="309">
        <v>44657.770833333336</v>
      </c>
      <c r="Y13" s="310">
        <f t="shared" si="6"/>
        <v>4287146</v>
      </c>
      <c r="Z13" s="368">
        <v>91</v>
      </c>
      <c r="AA13" s="369">
        <v>44451.109890109889</v>
      </c>
      <c r="AB13" s="313">
        <f t="shared" si="7"/>
        <v>4045051</v>
      </c>
      <c r="AC13" s="308"/>
      <c r="AD13" s="309"/>
      <c r="AE13" s="310">
        <f t="shared" si="8"/>
        <v>0</v>
      </c>
      <c r="AF13" s="385"/>
      <c r="AG13" s="386"/>
      <c r="AH13" s="313">
        <f t="shared" si="9"/>
        <v>0</v>
      </c>
      <c r="AI13" s="308"/>
      <c r="AJ13" s="309"/>
      <c r="AK13" s="310">
        <f t="shared" si="10"/>
        <v>0</v>
      </c>
      <c r="AL13" s="311"/>
      <c r="AM13" s="312"/>
      <c r="AN13" s="313">
        <f t="shared" si="11"/>
        <v>0</v>
      </c>
      <c r="AO13" s="308">
        <v>31</v>
      </c>
      <c r="AP13" s="309">
        <v>91847.419354838712</v>
      </c>
      <c r="AQ13" s="310">
        <f t="shared" si="12"/>
        <v>2329636.3140000002</v>
      </c>
      <c r="AR13" s="385">
        <v>29</v>
      </c>
      <c r="AS13" s="386">
        <v>93331.758620689652</v>
      </c>
      <c r="AT13" s="313">
        <f t="shared" si="13"/>
        <v>2214557.3022000003</v>
      </c>
      <c r="AU13" s="308">
        <v>1</v>
      </c>
      <c r="AV13" s="309">
        <v>68495</v>
      </c>
      <c r="AW13" s="310">
        <f t="shared" si="14"/>
        <v>56042.609000000004</v>
      </c>
      <c r="AX13" s="385">
        <v>1</v>
      </c>
      <c r="AY13" s="386">
        <v>71000</v>
      </c>
      <c r="AZ13" s="313">
        <f t="shared" si="15"/>
        <v>58092.200000000004</v>
      </c>
      <c r="BA13" s="308"/>
      <c r="BB13" s="309"/>
      <c r="BC13" s="310">
        <f t="shared" si="16"/>
        <v>0</v>
      </c>
      <c r="BD13" s="385">
        <v>1</v>
      </c>
      <c r="BE13" s="386">
        <v>85113</v>
      </c>
      <c r="BF13" s="313">
        <f t="shared" si="17"/>
        <v>69639.456600000005</v>
      </c>
      <c r="BG13" s="308">
        <v>2</v>
      </c>
      <c r="BH13" s="309">
        <v>82747.5</v>
      </c>
      <c r="BI13" s="310">
        <f t="shared" si="18"/>
        <v>135408.00900000002</v>
      </c>
      <c r="BJ13" s="385">
        <v>1</v>
      </c>
      <c r="BK13" s="386">
        <v>88382</v>
      </c>
      <c r="BL13" s="313">
        <f t="shared" si="19"/>
        <v>72314.152400000006</v>
      </c>
      <c r="BM13" s="308"/>
      <c r="BN13" s="309"/>
      <c r="BO13" s="310">
        <f t="shared" si="20"/>
        <v>0</v>
      </c>
      <c r="BP13" s="385"/>
      <c r="BQ13" s="386"/>
      <c r="BR13" s="313">
        <f t="shared" si="21"/>
        <v>0</v>
      </c>
      <c r="BS13" s="308"/>
      <c r="BT13" s="309"/>
      <c r="BU13" s="310">
        <f t="shared" si="22"/>
        <v>0</v>
      </c>
      <c r="BV13" s="311"/>
      <c r="BW13" s="312"/>
      <c r="BX13" s="313">
        <f t="shared" si="23"/>
        <v>0</v>
      </c>
      <c r="BY13" s="290"/>
    </row>
    <row r="14" spans="1:80">
      <c r="A14" s="324" t="s">
        <v>432</v>
      </c>
      <c r="B14" s="322" t="s">
        <v>796</v>
      </c>
      <c r="C14" s="321">
        <v>102368</v>
      </c>
      <c r="D14" s="445">
        <v>3</v>
      </c>
      <c r="E14" s="308">
        <v>39</v>
      </c>
      <c r="F14" s="309">
        <v>70259.666666666672</v>
      </c>
      <c r="G14" s="310">
        <f t="shared" si="0"/>
        <v>2740127</v>
      </c>
      <c r="H14" s="385">
        <v>42</v>
      </c>
      <c r="I14" s="386">
        <v>73918.523809523816</v>
      </c>
      <c r="J14" s="313">
        <f t="shared" si="1"/>
        <v>3104578.0000000005</v>
      </c>
      <c r="K14" s="308">
        <v>58</v>
      </c>
      <c r="L14" s="309">
        <v>60078.241379310348</v>
      </c>
      <c r="M14" s="310">
        <f t="shared" si="2"/>
        <v>3484538</v>
      </c>
      <c r="N14" s="385">
        <v>71</v>
      </c>
      <c r="O14" s="386">
        <v>61462.366197183095</v>
      </c>
      <c r="P14" s="313">
        <f t="shared" si="3"/>
        <v>4363828</v>
      </c>
      <c r="Q14" s="308">
        <v>111</v>
      </c>
      <c r="R14" s="309">
        <v>52933.369369369371</v>
      </c>
      <c r="S14" s="310">
        <f t="shared" si="4"/>
        <v>5875604</v>
      </c>
      <c r="T14" s="385">
        <v>98</v>
      </c>
      <c r="U14" s="386">
        <v>53346.571428571428</v>
      </c>
      <c r="V14" s="313">
        <f t="shared" si="5"/>
        <v>5227964</v>
      </c>
      <c r="W14" s="308">
        <v>9</v>
      </c>
      <c r="X14" s="309">
        <v>42750.111111111109</v>
      </c>
      <c r="Y14" s="310">
        <f t="shared" si="6"/>
        <v>384751</v>
      </c>
      <c r="Z14" s="368">
        <v>8</v>
      </c>
      <c r="AA14" s="369">
        <v>43728</v>
      </c>
      <c r="AB14" s="313">
        <f t="shared" si="7"/>
        <v>349824</v>
      </c>
      <c r="AC14" s="308">
        <v>26</v>
      </c>
      <c r="AD14" s="309">
        <v>36340</v>
      </c>
      <c r="AE14" s="310">
        <f t="shared" si="8"/>
        <v>944840</v>
      </c>
      <c r="AF14" s="385">
        <v>26</v>
      </c>
      <c r="AG14" s="386">
        <v>38383.153846153844</v>
      </c>
      <c r="AH14" s="313">
        <f t="shared" si="9"/>
        <v>997962</v>
      </c>
      <c r="AI14" s="308"/>
      <c r="AJ14" s="309"/>
      <c r="AK14" s="310">
        <f t="shared" si="10"/>
        <v>0</v>
      </c>
      <c r="AL14" s="311"/>
      <c r="AM14" s="312"/>
      <c r="AN14" s="313">
        <f t="shared" si="11"/>
        <v>0</v>
      </c>
      <c r="AO14" s="308">
        <v>30</v>
      </c>
      <c r="AP14" s="309">
        <v>88352.433333333334</v>
      </c>
      <c r="AQ14" s="310">
        <f t="shared" si="12"/>
        <v>2168698.8286000001</v>
      </c>
      <c r="AR14" s="385">
        <v>29</v>
      </c>
      <c r="AS14" s="386">
        <v>91791.034482758623</v>
      </c>
      <c r="AT14" s="313">
        <f t="shared" si="13"/>
        <v>2177999.3080000002</v>
      </c>
      <c r="AU14" s="308">
        <v>35</v>
      </c>
      <c r="AV14" s="309">
        <v>74917.485714285707</v>
      </c>
      <c r="AW14" s="310">
        <f t="shared" si="14"/>
        <v>2145412.0383999995</v>
      </c>
      <c r="AX14" s="385">
        <v>34</v>
      </c>
      <c r="AY14" s="386">
        <v>77801.705882352937</v>
      </c>
      <c r="AZ14" s="313">
        <f t="shared" si="15"/>
        <v>2164350.0956000001</v>
      </c>
      <c r="BA14" s="308">
        <v>24</v>
      </c>
      <c r="BB14" s="309">
        <v>60247.708333333336</v>
      </c>
      <c r="BC14" s="310">
        <f t="shared" si="16"/>
        <v>1183072.199</v>
      </c>
      <c r="BD14" s="385">
        <v>28</v>
      </c>
      <c r="BE14" s="386">
        <v>62350.035714285717</v>
      </c>
      <c r="BF14" s="313">
        <f t="shared" si="17"/>
        <v>1428414.3782000002</v>
      </c>
      <c r="BG14" s="308">
        <v>10</v>
      </c>
      <c r="BH14" s="309">
        <v>47426</v>
      </c>
      <c r="BI14" s="310">
        <f t="shared" si="18"/>
        <v>388039.53200000001</v>
      </c>
      <c r="BJ14" s="385">
        <v>7</v>
      </c>
      <c r="BK14" s="386">
        <v>48661.571428571428</v>
      </c>
      <c r="BL14" s="313">
        <f t="shared" si="19"/>
        <v>278704.28419999999</v>
      </c>
      <c r="BM14" s="308">
        <v>7</v>
      </c>
      <c r="BN14" s="309">
        <v>43143.857142857145</v>
      </c>
      <c r="BO14" s="310">
        <f t="shared" si="20"/>
        <v>247102.1274</v>
      </c>
      <c r="BP14" s="385">
        <v>8</v>
      </c>
      <c r="BQ14" s="386">
        <v>42745.875</v>
      </c>
      <c r="BR14" s="313">
        <f t="shared" si="21"/>
        <v>279797.39939999999</v>
      </c>
      <c r="BS14" s="308"/>
      <c r="BT14" s="309"/>
      <c r="BU14" s="310">
        <f t="shared" si="22"/>
        <v>0</v>
      </c>
      <c r="BV14" s="311"/>
      <c r="BW14" s="312"/>
      <c r="BX14" s="313">
        <f t="shared" si="23"/>
        <v>0</v>
      </c>
      <c r="BY14" s="290"/>
    </row>
    <row r="15" spans="1:80">
      <c r="A15" s="324" t="s">
        <v>432</v>
      </c>
      <c r="B15" s="322" t="s">
        <v>797</v>
      </c>
      <c r="C15" s="321">
        <v>102094</v>
      </c>
      <c r="D15" s="445">
        <v>3</v>
      </c>
      <c r="E15" s="308">
        <v>66</v>
      </c>
      <c r="F15" s="309">
        <v>90010.727272727279</v>
      </c>
      <c r="G15" s="310">
        <f t="shared" si="0"/>
        <v>5940708</v>
      </c>
      <c r="H15" s="385">
        <v>72</v>
      </c>
      <c r="I15" s="386">
        <v>90232.819444444438</v>
      </c>
      <c r="J15" s="313">
        <f t="shared" si="1"/>
        <v>6496763</v>
      </c>
      <c r="K15" s="308">
        <v>78</v>
      </c>
      <c r="L15" s="309">
        <v>68191.935897435891</v>
      </c>
      <c r="M15" s="310">
        <f t="shared" si="2"/>
        <v>5318970.9999999991</v>
      </c>
      <c r="N15" s="385">
        <v>77</v>
      </c>
      <c r="O15" s="386">
        <v>67411.610389610389</v>
      </c>
      <c r="P15" s="313">
        <f t="shared" si="3"/>
        <v>5190694</v>
      </c>
      <c r="Q15" s="308">
        <v>115</v>
      </c>
      <c r="R15" s="309">
        <v>54718.782608695656</v>
      </c>
      <c r="S15" s="310">
        <f t="shared" si="4"/>
        <v>6292660</v>
      </c>
      <c r="T15" s="385">
        <v>123</v>
      </c>
      <c r="U15" s="386">
        <v>56095.83739837398</v>
      </c>
      <c r="V15" s="313">
        <f t="shared" si="5"/>
        <v>6899788</v>
      </c>
      <c r="W15" s="308">
        <v>64</v>
      </c>
      <c r="X15" s="309">
        <v>46230.46875</v>
      </c>
      <c r="Y15" s="310">
        <f t="shared" si="6"/>
        <v>2958750</v>
      </c>
      <c r="Z15" s="368">
        <v>79</v>
      </c>
      <c r="AA15" s="369">
        <v>45468.177215189877</v>
      </c>
      <c r="AB15" s="313">
        <f t="shared" si="7"/>
        <v>3591986.0000000005</v>
      </c>
      <c r="AC15" s="308">
        <v>2</v>
      </c>
      <c r="AD15" s="309">
        <v>56440.5</v>
      </c>
      <c r="AE15" s="310">
        <f t="shared" si="8"/>
        <v>112881</v>
      </c>
      <c r="AF15" s="385">
        <v>1</v>
      </c>
      <c r="AG15" s="386">
        <v>47881</v>
      </c>
      <c r="AH15" s="313">
        <f t="shared" si="9"/>
        <v>47881</v>
      </c>
      <c r="AI15" s="308"/>
      <c r="AJ15" s="309"/>
      <c r="AK15" s="310">
        <f t="shared" si="10"/>
        <v>0</v>
      </c>
      <c r="AL15" s="311"/>
      <c r="AM15" s="312"/>
      <c r="AN15" s="313">
        <f t="shared" si="11"/>
        <v>0</v>
      </c>
      <c r="AO15" s="308">
        <v>52</v>
      </c>
      <c r="AP15" s="309">
        <v>97625.711538461532</v>
      </c>
      <c r="AQ15" s="310">
        <f t="shared" si="12"/>
        <v>4153622.5734000001</v>
      </c>
      <c r="AR15" s="385">
        <v>40</v>
      </c>
      <c r="AS15" s="386">
        <v>102412.52499999999</v>
      </c>
      <c r="AT15" s="313">
        <f t="shared" si="13"/>
        <v>3351757.1182000004</v>
      </c>
      <c r="AU15" s="308">
        <v>36</v>
      </c>
      <c r="AV15" s="309">
        <v>82032.722222222219</v>
      </c>
      <c r="AW15" s="310">
        <f t="shared" si="14"/>
        <v>2416290.2396</v>
      </c>
      <c r="AX15" s="385">
        <v>29</v>
      </c>
      <c r="AY15" s="386">
        <v>86117.448275862072</v>
      </c>
      <c r="AZ15" s="313">
        <f t="shared" si="15"/>
        <v>2043377.5892</v>
      </c>
      <c r="BA15" s="308">
        <v>57</v>
      </c>
      <c r="BB15" s="309">
        <v>72642.263157894733</v>
      </c>
      <c r="BC15" s="310">
        <f t="shared" si="16"/>
        <v>3387846.2838000003</v>
      </c>
      <c r="BD15" s="385">
        <v>52</v>
      </c>
      <c r="BE15" s="386">
        <v>75404.25</v>
      </c>
      <c r="BF15" s="313">
        <f t="shared" si="17"/>
        <v>3208179.3822000003</v>
      </c>
      <c r="BG15" s="308">
        <v>56</v>
      </c>
      <c r="BH15" s="309">
        <v>57977.464285714283</v>
      </c>
      <c r="BI15" s="310">
        <f t="shared" si="18"/>
        <v>2656481.0316000003</v>
      </c>
      <c r="BJ15" s="385">
        <v>61</v>
      </c>
      <c r="BK15" s="386">
        <v>56098</v>
      </c>
      <c r="BL15" s="313">
        <f t="shared" si="19"/>
        <v>2799862.3996000001</v>
      </c>
      <c r="BM15" s="308">
        <v>1</v>
      </c>
      <c r="BN15" s="309">
        <v>44386</v>
      </c>
      <c r="BO15" s="310">
        <f t="shared" si="20"/>
        <v>36316.625200000002</v>
      </c>
      <c r="BP15" s="385">
        <v>1</v>
      </c>
      <c r="BQ15" s="386">
        <v>67156</v>
      </c>
      <c r="BR15" s="313">
        <f t="shared" si="21"/>
        <v>54947.039199999999</v>
      </c>
      <c r="BS15" s="308"/>
      <c r="BT15" s="309"/>
      <c r="BU15" s="310">
        <f t="shared" si="22"/>
        <v>0</v>
      </c>
      <c r="BV15" s="311"/>
      <c r="BW15" s="312"/>
      <c r="BX15" s="313">
        <f t="shared" si="23"/>
        <v>0</v>
      </c>
      <c r="BY15" s="290"/>
    </row>
    <row r="16" spans="1:80">
      <c r="A16" s="324" t="s">
        <v>432</v>
      </c>
      <c r="B16" s="395" t="s">
        <v>798</v>
      </c>
      <c r="C16" s="321">
        <v>100724</v>
      </c>
      <c r="D16" s="445">
        <v>4</v>
      </c>
      <c r="E16" s="308">
        <v>53</v>
      </c>
      <c r="F16" s="309">
        <v>83854.415094339623</v>
      </c>
      <c r="G16" s="310">
        <f t="shared" si="0"/>
        <v>4444284</v>
      </c>
      <c r="H16" s="385">
        <v>57</v>
      </c>
      <c r="I16" s="386">
        <v>81244.438596491222</v>
      </c>
      <c r="J16" s="313">
        <f t="shared" si="1"/>
        <v>4630933</v>
      </c>
      <c r="K16" s="308">
        <v>59</v>
      </c>
      <c r="L16" s="309">
        <v>64859.830508474573</v>
      </c>
      <c r="M16" s="310">
        <f t="shared" si="2"/>
        <v>3826730</v>
      </c>
      <c r="N16" s="385">
        <v>55</v>
      </c>
      <c r="O16" s="386">
        <v>64036.4</v>
      </c>
      <c r="P16" s="313">
        <f t="shared" si="3"/>
        <v>3522002</v>
      </c>
      <c r="Q16" s="308">
        <v>64</v>
      </c>
      <c r="R16" s="309">
        <v>54525.28125</v>
      </c>
      <c r="S16" s="310">
        <f t="shared" si="4"/>
        <v>3489618</v>
      </c>
      <c r="T16" s="385">
        <v>62</v>
      </c>
      <c r="U16" s="386">
        <v>53824.016129032258</v>
      </c>
      <c r="V16" s="313">
        <f t="shared" si="5"/>
        <v>3337089</v>
      </c>
      <c r="W16" s="308">
        <v>57</v>
      </c>
      <c r="X16" s="309">
        <v>43679.807017543862</v>
      </c>
      <c r="Y16" s="310">
        <f t="shared" si="6"/>
        <v>2489749</v>
      </c>
      <c r="Z16" s="368">
        <v>55</v>
      </c>
      <c r="AA16" s="369">
        <v>43794.127272727274</v>
      </c>
      <c r="AB16" s="313">
        <f t="shared" si="7"/>
        <v>2408677</v>
      </c>
      <c r="AC16" s="308"/>
      <c r="AD16" s="309"/>
      <c r="AE16" s="310">
        <f t="shared" si="8"/>
        <v>0</v>
      </c>
      <c r="AF16" s="392"/>
      <c r="AG16" s="386"/>
      <c r="AH16" s="313">
        <f t="shared" si="9"/>
        <v>0</v>
      </c>
      <c r="AI16" s="308"/>
      <c r="AJ16" s="309"/>
      <c r="AK16" s="310">
        <f t="shared" si="10"/>
        <v>0</v>
      </c>
      <c r="AL16" s="311"/>
      <c r="AM16" s="312"/>
      <c r="AN16" s="313">
        <f t="shared" si="11"/>
        <v>0</v>
      </c>
      <c r="AO16" s="308">
        <v>1</v>
      </c>
      <c r="AP16" s="309">
        <v>114645</v>
      </c>
      <c r="AQ16" s="310">
        <f t="shared" si="12"/>
        <v>93802.539000000004</v>
      </c>
      <c r="AR16" s="385">
        <v>3</v>
      </c>
      <c r="AS16" s="386">
        <v>93112.666666666672</v>
      </c>
      <c r="AT16" s="313">
        <f t="shared" si="13"/>
        <v>228554.35160000002</v>
      </c>
      <c r="AU16" s="308">
        <v>2</v>
      </c>
      <c r="AV16" s="309">
        <v>78490</v>
      </c>
      <c r="AW16" s="310">
        <f t="shared" si="14"/>
        <v>128441.03600000001</v>
      </c>
      <c r="AX16" s="385">
        <v>4</v>
      </c>
      <c r="AY16" s="386">
        <v>84922.5</v>
      </c>
      <c r="AZ16" s="313">
        <f t="shared" si="15"/>
        <v>277934.35800000001</v>
      </c>
      <c r="BA16" s="308">
        <v>2</v>
      </c>
      <c r="BB16" s="309">
        <v>52325</v>
      </c>
      <c r="BC16" s="310">
        <f t="shared" si="16"/>
        <v>85624.63</v>
      </c>
      <c r="BD16" s="385">
        <v>3</v>
      </c>
      <c r="BE16" s="386">
        <v>54913</v>
      </c>
      <c r="BF16" s="313">
        <f t="shared" si="17"/>
        <v>134789.4498</v>
      </c>
      <c r="BG16" s="308">
        <v>1</v>
      </c>
      <c r="BH16" s="309">
        <v>48851</v>
      </c>
      <c r="BI16" s="310">
        <f t="shared" si="18"/>
        <v>39969.888200000001</v>
      </c>
      <c r="BJ16" s="385">
        <v>4</v>
      </c>
      <c r="BK16" s="386">
        <v>48427</v>
      </c>
      <c r="BL16" s="313">
        <f t="shared" si="19"/>
        <v>158491.88560000001</v>
      </c>
      <c r="BM16" s="308"/>
      <c r="BN16" s="309"/>
      <c r="BO16" s="310">
        <f t="shared" si="20"/>
        <v>0</v>
      </c>
      <c r="BP16" s="392"/>
      <c r="BQ16" s="74"/>
      <c r="BR16" s="313">
        <f t="shared" si="21"/>
        <v>0</v>
      </c>
      <c r="BS16" s="308"/>
      <c r="BT16" s="309"/>
      <c r="BU16" s="310">
        <f t="shared" si="22"/>
        <v>0</v>
      </c>
      <c r="BV16" s="311"/>
      <c r="BW16" s="312"/>
      <c r="BX16" s="313">
        <f t="shared" si="23"/>
        <v>0</v>
      </c>
      <c r="BY16" s="290"/>
    </row>
    <row r="17" spans="1:77">
      <c r="A17" s="324" t="s">
        <v>432</v>
      </c>
      <c r="B17" s="322" t="s">
        <v>799</v>
      </c>
      <c r="C17" s="321">
        <v>100830</v>
      </c>
      <c r="D17" s="445">
        <v>4</v>
      </c>
      <c r="E17" s="308">
        <v>39</v>
      </c>
      <c r="F17" s="309">
        <v>81221.282051282047</v>
      </c>
      <c r="G17" s="310">
        <f t="shared" si="0"/>
        <v>3167630</v>
      </c>
      <c r="H17" s="385">
        <v>37</v>
      </c>
      <c r="I17" s="386">
        <v>78562.972972972973</v>
      </c>
      <c r="J17" s="313">
        <f t="shared" si="1"/>
        <v>2906830</v>
      </c>
      <c r="K17" s="308">
        <v>42</v>
      </c>
      <c r="L17" s="309">
        <v>67167.380952380947</v>
      </c>
      <c r="M17" s="310">
        <f t="shared" si="2"/>
        <v>2821030</v>
      </c>
      <c r="N17" s="385">
        <v>45</v>
      </c>
      <c r="O17" s="386">
        <v>66771.777777777781</v>
      </c>
      <c r="P17" s="313">
        <f t="shared" si="3"/>
        <v>3004730</v>
      </c>
      <c r="Q17" s="308">
        <v>61</v>
      </c>
      <c r="R17" s="309">
        <v>54596.229508196724</v>
      </c>
      <c r="S17" s="310">
        <f t="shared" si="4"/>
        <v>3330370</v>
      </c>
      <c r="T17" s="385">
        <v>55</v>
      </c>
      <c r="U17" s="386">
        <v>52760.727272727272</v>
      </c>
      <c r="V17" s="313">
        <f t="shared" si="5"/>
        <v>2901840</v>
      </c>
      <c r="W17" s="308">
        <v>11</v>
      </c>
      <c r="X17" s="309">
        <v>43656.36363636364</v>
      </c>
      <c r="Y17" s="310">
        <f t="shared" si="6"/>
        <v>480220.00000000006</v>
      </c>
      <c r="Z17" s="368">
        <v>11</v>
      </c>
      <c r="AA17" s="369">
        <v>42546.63636363636</v>
      </c>
      <c r="AB17" s="313">
        <f t="shared" si="7"/>
        <v>468012.99999999994</v>
      </c>
      <c r="AC17" s="308">
        <v>4</v>
      </c>
      <c r="AD17" s="309">
        <v>22036.25</v>
      </c>
      <c r="AE17" s="310">
        <f t="shared" si="8"/>
        <v>88145</v>
      </c>
      <c r="AF17" s="385">
        <v>2</v>
      </c>
      <c r="AG17" s="386">
        <v>87970</v>
      </c>
      <c r="AH17" s="313">
        <f t="shared" si="9"/>
        <v>175940</v>
      </c>
      <c r="AI17" s="308"/>
      <c r="AJ17" s="309"/>
      <c r="AK17" s="310">
        <f t="shared" si="10"/>
        <v>0</v>
      </c>
      <c r="AL17" s="311"/>
      <c r="AM17" s="312"/>
      <c r="AN17" s="313">
        <f t="shared" si="11"/>
        <v>0</v>
      </c>
      <c r="AO17" s="308">
        <v>1</v>
      </c>
      <c r="AP17" s="309">
        <v>146320</v>
      </c>
      <c r="AQ17" s="310">
        <f t="shared" si="12"/>
        <v>119719.024</v>
      </c>
      <c r="AR17" s="385">
        <v>10</v>
      </c>
      <c r="AS17" s="386">
        <v>99647</v>
      </c>
      <c r="AT17" s="313">
        <f t="shared" si="13"/>
        <v>815311.75400000007</v>
      </c>
      <c r="AU17" s="308"/>
      <c r="AV17" s="309"/>
      <c r="AW17" s="310">
        <f t="shared" si="14"/>
        <v>0</v>
      </c>
      <c r="AX17" s="385">
        <v>9</v>
      </c>
      <c r="AY17" s="386">
        <v>93750</v>
      </c>
      <c r="AZ17" s="313">
        <f t="shared" si="15"/>
        <v>690356.25</v>
      </c>
      <c r="BA17" s="308"/>
      <c r="BB17" s="309"/>
      <c r="BC17" s="310">
        <f t="shared" si="16"/>
        <v>0</v>
      </c>
      <c r="BD17" s="385">
        <v>3</v>
      </c>
      <c r="BE17" s="386">
        <v>60816</v>
      </c>
      <c r="BF17" s="313">
        <f t="shared" si="17"/>
        <v>149278.95360000001</v>
      </c>
      <c r="BG17" s="308">
        <v>3</v>
      </c>
      <c r="BH17" s="309">
        <v>63703.333333333336</v>
      </c>
      <c r="BI17" s="310">
        <f t="shared" si="18"/>
        <v>156366.20200000002</v>
      </c>
      <c r="BJ17" s="385">
        <v>3</v>
      </c>
      <c r="BK17" s="386">
        <v>65036.666666666664</v>
      </c>
      <c r="BL17" s="313">
        <f t="shared" si="19"/>
        <v>159639.00200000001</v>
      </c>
      <c r="BM17" s="308">
        <v>4</v>
      </c>
      <c r="BN17" s="309">
        <v>83165</v>
      </c>
      <c r="BO17" s="310">
        <f t="shared" si="20"/>
        <v>272182.41200000001</v>
      </c>
      <c r="BP17" s="385">
        <v>1</v>
      </c>
      <c r="BQ17" s="386">
        <v>146320</v>
      </c>
      <c r="BR17" s="313">
        <f t="shared" si="21"/>
        <v>119719.024</v>
      </c>
      <c r="BS17" s="308"/>
      <c r="BT17" s="309"/>
      <c r="BU17" s="310">
        <f t="shared" si="22"/>
        <v>0</v>
      </c>
      <c r="BV17" s="311"/>
      <c r="BW17" s="312"/>
      <c r="BX17" s="313">
        <f t="shared" si="23"/>
        <v>0</v>
      </c>
      <c r="BY17" s="290"/>
    </row>
    <row r="18" spans="1:77">
      <c r="A18" s="324" t="s">
        <v>432</v>
      </c>
      <c r="B18" s="322" t="s">
        <v>800</v>
      </c>
      <c r="C18" s="321">
        <v>101879</v>
      </c>
      <c r="D18" s="445">
        <v>4</v>
      </c>
      <c r="E18" s="308">
        <v>63</v>
      </c>
      <c r="F18" s="309">
        <v>76428</v>
      </c>
      <c r="G18" s="310">
        <f t="shared" si="0"/>
        <v>4814964</v>
      </c>
      <c r="H18" s="385">
        <v>67</v>
      </c>
      <c r="I18" s="386">
        <v>76377.746268656716</v>
      </c>
      <c r="J18" s="313">
        <f t="shared" si="1"/>
        <v>5117309</v>
      </c>
      <c r="K18" s="308">
        <v>59</v>
      </c>
      <c r="L18" s="309">
        <v>66158.779661016946</v>
      </c>
      <c r="M18" s="310">
        <f t="shared" si="2"/>
        <v>3903368</v>
      </c>
      <c r="N18" s="385">
        <v>55</v>
      </c>
      <c r="O18" s="386">
        <v>66188.872727272726</v>
      </c>
      <c r="P18" s="313">
        <f t="shared" si="3"/>
        <v>3640388</v>
      </c>
      <c r="Q18" s="308">
        <v>72</v>
      </c>
      <c r="R18" s="309">
        <v>54726.736111111109</v>
      </c>
      <c r="S18" s="310">
        <f t="shared" si="4"/>
        <v>3940325</v>
      </c>
      <c r="T18" s="385">
        <v>79</v>
      </c>
      <c r="U18" s="386">
        <v>52825.189873417723</v>
      </c>
      <c r="V18" s="313">
        <f t="shared" si="5"/>
        <v>4173190</v>
      </c>
      <c r="W18" s="308">
        <v>30</v>
      </c>
      <c r="X18" s="309">
        <v>47527.466666666667</v>
      </c>
      <c r="Y18" s="310">
        <f t="shared" si="6"/>
        <v>1425824</v>
      </c>
      <c r="Z18" s="368">
        <v>32</v>
      </c>
      <c r="AA18" s="369">
        <v>46288.875</v>
      </c>
      <c r="AB18" s="313">
        <f t="shared" si="7"/>
        <v>1481244</v>
      </c>
      <c r="AC18" s="308"/>
      <c r="AD18" s="309"/>
      <c r="AE18" s="310">
        <f t="shared" si="8"/>
        <v>0</v>
      </c>
      <c r="AF18" s="392"/>
      <c r="AG18" s="386"/>
      <c r="AH18" s="313">
        <f t="shared" si="9"/>
        <v>0</v>
      </c>
      <c r="AI18" s="308"/>
      <c r="AJ18" s="309"/>
      <c r="AK18" s="310">
        <f t="shared" si="10"/>
        <v>0</v>
      </c>
      <c r="AL18" s="311"/>
      <c r="AM18" s="312"/>
      <c r="AN18" s="313">
        <f t="shared" si="11"/>
        <v>0</v>
      </c>
      <c r="AO18" s="308">
        <v>3</v>
      </c>
      <c r="AP18" s="309">
        <v>92172.666666666672</v>
      </c>
      <c r="AQ18" s="310">
        <f t="shared" si="12"/>
        <v>226247.0276</v>
      </c>
      <c r="AR18" s="385">
        <v>5</v>
      </c>
      <c r="AS18" s="386">
        <v>91721.8</v>
      </c>
      <c r="AT18" s="313">
        <f t="shared" si="13"/>
        <v>375233.88380000001</v>
      </c>
      <c r="AU18" s="308">
        <v>1</v>
      </c>
      <c r="AV18" s="309">
        <v>87647</v>
      </c>
      <c r="AW18" s="310">
        <f t="shared" si="14"/>
        <v>71712.775399999999</v>
      </c>
      <c r="AX18" s="311"/>
      <c r="AY18" s="312"/>
      <c r="AZ18" s="313">
        <f t="shared" si="15"/>
        <v>0</v>
      </c>
      <c r="BA18" s="308">
        <v>2</v>
      </c>
      <c r="BB18" s="309">
        <v>69122.5</v>
      </c>
      <c r="BC18" s="310">
        <f t="shared" si="16"/>
        <v>113112.05900000001</v>
      </c>
      <c r="BD18" s="385">
        <v>4</v>
      </c>
      <c r="BE18" s="386">
        <v>66254.75</v>
      </c>
      <c r="BF18" s="313">
        <f t="shared" si="17"/>
        <v>216838.54580000002</v>
      </c>
      <c r="BG18" s="308">
        <v>1</v>
      </c>
      <c r="BH18" s="309">
        <v>66300</v>
      </c>
      <c r="BI18" s="310">
        <f t="shared" si="18"/>
        <v>54246.66</v>
      </c>
      <c r="BJ18" s="385"/>
      <c r="BK18" s="386"/>
      <c r="BL18" s="313">
        <f t="shared" si="19"/>
        <v>0</v>
      </c>
      <c r="BM18" s="308"/>
      <c r="BN18" s="309"/>
      <c r="BO18" s="310">
        <f t="shared" si="20"/>
        <v>0</v>
      </c>
      <c r="BP18" s="385">
        <v>0</v>
      </c>
      <c r="BQ18" s="386"/>
      <c r="BR18" s="313">
        <f t="shared" si="21"/>
        <v>0</v>
      </c>
      <c r="BS18" s="308"/>
      <c r="BT18" s="309"/>
      <c r="BU18" s="310">
        <f t="shared" si="22"/>
        <v>0</v>
      </c>
      <c r="BV18" s="311"/>
      <c r="BW18" s="312"/>
      <c r="BX18" s="313">
        <f t="shared" si="23"/>
        <v>0</v>
      </c>
      <c r="BY18" s="290"/>
    </row>
    <row r="19" spans="1:77">
      <c r="A19" s="324" t="s">
        <v>432</v>
      </c>
      <c r="B19" s="322" t="s">
        <v>801</v>
      </c>
      <c r="C19" s="321">
        <v>101709</v>
      </c>
      <c r="D19" s="445">
        <v>5</v>
      </c>
      <c r="E19" s="308">
        <v>34</v>
      </c>
      <c r="F19" s="309">
        <v>75152.647058823524</v>
      </c>
      <c r="G19" s="310">
        <f t="shared" si="0"/>
        <v>2555190</v>
      </c>
      <c r="H19" s="385">
        <v>33</v>
      </c>
      <c r="I19" s="386">
        <v>78610.606060606064</v>
      </c>
      <c r="J19" s="313">
        <f t="shared" si="1"/>
        <v>2594150</v>
      </c>
      <c r="K19" s="308">
        <v>37</v>
      </c>
      <c r="L19" s="309">
        <v>60906.891891891893</v>
      </c>
      <c r="M19" s="310">
        <f t="shared" si="2"/>
        <v>2253555</v>
      </c>
      <c r="N19" s="385">
        <v>38</v>
      </c>
      <c r="O19" s="386">
        <v>64100.92105263158</v>
      </c>
      <c r="P19" s="313">
        <f t="shared" si="3"/>
        <v>2435835</v>
      </c>
      <c r="Q19" s="308">
        <v>47</v>
      </c>
      <c r="R19" s="309">
        <v>49005.851063829788</v>
      </c>
      <c r="S19" s="310">
        <f t="shared" si="4"/>
        <v>2303275</v>
      </c>
      <c r="T19" s="385">
        <v>49</v>
      </c>
      <c r="U19" s="386">
        <v>51384.244897959186</v>
      </c>
      <c r="V19" s="313">
        <f t="shared" si="5"/>
        <v>2517828</v>
      </c>
      <c r="W19" s="308">
        <v>18</v>
      </c>
      <c r="X19" s="309">
        <v>38315.444444444445</v>
      </c>
      <c r="Y19" s="310">
        <f t="shared" si="6"/>
        <v>689678</v>
      </c>
      <c r="Z19" s="368">
        <v>18</v>
      </c>
      <c r="AA19" s="369">
        <v>38559.5</v>
      </c>
      <c r="AB19" s="313">
        <f t="shared" si="7"/>
        <v>694071</v>
      </c>
      <c r="AC19" s="308"/>
      <c r="AD19" s="309"/>
      <c r="AE19" s="310">
        <f t="shared" si="8"/>
        <v>0</v>
      </c>
      <c r="AF19" s="392"/>
      <c r="AG19" s="386"/>
      <c r="AH19" s="313">
        <f t="shared" si="9"/>
        <v>0</v>
      </c>
      <c r="AI19" s="308"/>
      <c r="AJ19" s="309"/>
      <c r="AK19" s="310">
        <f t="shared" si="10"/>
        <v>0</v>
      </c>
      <c r="AL19" s="311"/>
      <c r="AM19" s="312"/>
      <c r="AN19" s="313">
        <f t="shared" si="11"/>
        <v>0</v>
      </c>
      <c r="AO19" s="308"/>
      <c r="AP19" s="309"/>
      <c r="AQ19" s="310">
        <f t="shared" si="12"/>
        <v>0</v>
      </c>
      <c r="AR19" s="385"/>
      <c r="AS19" s="386"/>
      <c r="AT19" s="313">
        <f t="shared" si="13"/>
        <v>0</v>
      </c>
      <c r="AU19" s="308"/>
      <c r="AV19" s="309"/>
      <c r="AW19" s="310">
        <f t="shared" si="14"/>
        <v>0</v>
      </c>
      <c r="AX19" s="311"/>
      <c r="AY19" s="312"/>
      <c r="AZ19" s="313">
        <f t="shared" si="15"/>
        <v>0</v>
      </c>
      <c r="BA19" s="308"/>
      <c r="BB19" s="309"/>
      <c r="BC19" s="310">
        <f t="shared" si="16"/>
        <v>0</v>
      </c>
      <c r="BD19" s="311"/>
      <c r="BE19" s="312"/>
      <c r="BF19" s="313">
        <f t="shared" si="17"/>
        <v>0</v>
      </c>
      <c r="BG19" s="308"/>
      <c r="BH19" s="309"/>
      <c r="BI19" s="310">
        <f t="shared" si="18"/>
        <v>0</v>
      </c>
      <c r="BJ19" s="385"/>
      <c r="BK19" s="386"/>
      <c r="BL19" s="313">
        <f t="shared" si="19"/>
        <v>0</v>
      </c>
      <c r="BM19" s="308"/>
      <c r="BN19" s="309"/>
      <c r="BO19" s="310">
        <f t="shared" si="20"/>
        <v>0</v>
      </c>
      <c r="BP19" s="385"/>
      <c r="BQ19" s="386"/>
      <c r="BR19" s="313">
        <f t="shared" si="21"/>
        <v>0</v>
      </c>
      <c r="BS19" s="308"/>
      <c r="BT19" s="309"/>
      <c r="BU19" s="310">
        <f t="shared" si="22"/>
        <v>0</v>
      </c>
      <c r="BV19" s="311"/>
      <c r="BW19" s="312"/>
      <c r="BX19" s="313">
        <f t="shared" si="23"/>
        <v>0</v>
      </c>
      <c r="BY19" s="290"/>
    </row>
    <row r="20" spans="1:77">
      <c r="A20" s="324" t="s">
        <v>432</v>
      </c>
      <c r="B20" s="322" t="s">
        <v>802</v>
      </c>
      <c r="C20" s="321">
        <v>101587</v>
      </c>
      <c r="D20" s="445">
        <v>5</v>
      </c>
      <c r="E20" s="308">
        <v>18</v>
      </c>
      <c r="F20" s="309">
        <v>64138</v>
      </c>
      <c r="G20" s="310">
        <f t="shared" si="0"/>
        <v>1154484</v>
      </c>
      <c r="H20" s="385">
        <v>16</v>
      </c>
      <c r="I20" s="386">
        <v>67639.5</v>
      </c>
      <c r="J20" s="313">
        <f t="shared" si="1"/>
        <v>1082232</v>
      </c>
      <c r="K20" s="308">
        <v>25</v>
      </c>
      <c r="L20" s="309">
        <v>62476.4</v>
      </c>
      <c r="M20" s="310">
        <f t="shared" si="2"/>
        <v>1561910</v>
      </c>
      <c r="N20" s="385">
        <v>21</v>
      </c>
      <c r="O20" s="386">
        <v>61547.047619047618</v>
      </c>
      <c r="P20" s="313">
        <f t="shared" si="3"/>
        <v>1292488</v>
      </c>
      <c r="Q20" s="308">
        <v>33</v>
      </c>
      <c r="R20" s="309">
        <v>47201.63636363636</v>
      </c>
      <c r="S20" s="310">
        <f t="shared" si="4"/>
        <v>1557654</v>
      </c>
      <c r="T20" s="385">
        <v>43</v>
      </c>
      <c r="U20" s="386">
        <v>51200.604651162794</v>
      </c>
      <c r="V20" s="313">
        <f t="shared" si="5"/>
        <v>2201626</v>
      </c>
      <c r="W20" s="308">
        <v>5</v>
      </c>
      <c r="X20" s="309">
        <v>44113.8</v>
      </c>
      <c r="Y20" s="310">
        <f t="shared" si="6"/>
        <v>220569</v>
      </c>
      <c r="Z20" s="368">
        <v>10</v>
      </c>
      <c r="AA20" s="369">
        <v>40704.5</v>
      </c>
      <c r="AB20" s="313">
        <f t="shared" si="7"/>
        <v>407045</v>
      </c>
      <c r="AC20" s="308">
        <v>11</v>
      </c>
      <c r="AD20" s="309">
        <v>32680.909090909092</v>
      </c>
      <c r="AE20" s="310">
        <f t="shared" si="8"/>
        <v>359490</v>
      </c>
      <c r="AF20" s="385">
        <v>7</v>
      </c>
      <c r="AG20" s="386">
        <v>31300.142857142859</v>
      </c>
      <c r="AH20" s="313">
        <f t="shared" si="9"/>
        <v>219101</v>
      </c>
      <c r="AI20" s="308"/>
      <c r="AJ20" s="309"/>
      <c r="AK20" s="310">
        <f t="shared" si="10"/>
        <v>0</v>
      </c>
      <c r="AL20" s="311"/>
      <c r="AM20" s="312"/>
      <c r="AN20" s="313">
        <f t="shared" si="11"/>
        <v>0</v>
      </c>
      <c r="AO20" s="308"/>
      <c r="AP20" s="309"/>
      <c r="AQ20" s="310">
        <f t="shared" si="12"/>
        <v>0</v>
      </c>
      <c r="AR20" s="385"/>
      <c r="AS20" s="386"/>
      <c r="AT20" s="313">
        <f t="shared" si="13"/>
        <v>0</v>
      </c>
      <c r="AU20" s="308"/>
      <c r="AV20" s="309"/>
      <c r="AW20" s="310">
        <f t="shared" si="14"/>
        <v>0</v>
      </c>
      <c r="AX20" s="311"/>
      <c r="AY20" s="312"/>
      <c r="AZ20" s="313">
        <f t="shared" si="15"/>
        <v>0</v>
      </c>
      <c r="BA20" s="308"/>
      <c r="BB20" s="309"/>
      <c r="BC20" s="310">
        <f t="shared" si="16"/>
        <v>0</v>
      </c>
      <c r="BD20" s="311"/>
      <c r="BE20" s="312"/>
      <c r="BF20" s="313">
        <f t="shared" si="17"/>
        <v>0</v>
      </c>
      <c r="BG20" s="308"/>
      <c r="BH20" s="309"/>
      <c r="BI20" s="310">
        <f t="shared" si="18"/>
        <v>0</v>
      </c>
      <c r="BJ20" s="385"/>
      <c r="BK20" s="386"/>
      <c r="BL20" s="313">
        <f t="shared" si="19"/>
        <v>0</v>
      </c>
      <c r="BM20" s="308"/>
      <c r="BN20" s="309"/>
      <c r="BO20" s="310">
        <f t="shared" si="20"/>
        <v>0</v>
      </c>
      <c r="BP20" s="385">
        <v>6</v>
      </c>
      <c r="BQ20" s="386">
        <v>28263</v>
      </c>
      <c r="BR20" s="313">
        <f t="shared" si="21"/>
        <v>138748.71960000001</v>
      </c>
      <c r="BS20" s="308"/>
      <c r="BT20" s="309"/>
      <c r="BU20" s="310">
        <f t="shared" si="22"/>
        <v>0</v>
      </c>
      <c r="BV20" s="311"/>
      <c r="BW20" s="312"/>
      <c r="BX20" s="313">
        <f t="shared" si="23"/>
        <v>0</v>
      </c>
      <c r="BY20" s="290"/>
    </row>
    <row r="21" spans="1:77">
      <c r="A21" s="324" t="s">
        <v>432</v>
      </c>
      <c r="B21" s="322" t="s">
        <v>803</v>
      </c>
      <c r="C21" s="321">
        <v>100812</v>
      </c>
      <c r="D21" s="445">
        <v>6</v>
      </c>
      <c r="E21" s="308">
        <v>20</v>
      </c>
      <c r="F21" s="309">
        <v>83262.5</v>
      </c>
      <c r="G21" s="310">
        <f t="shared" si="0"/>
        <v>1665250</v>
      </c>
      <c r="H21" s="385">
        <v>18</v>
      </c>
      <c r="I21" s="386">
        <v>84069.111111111109</v>
      </c>
      <c r="J21" s="313">
        <f t="shared" si="1"/>
        <v>1513244</v>
      </c>
      <c r="K21" s="308">
        <v>21</v>
      </c>
      <c r="L21" s="309">
        <v>68274.047619047618</v>
      </c>
      <c r="M21" s="310">
        <f t="shared" si="2"/>
        <v>1433755</v>
      </c>
      <c r="N21" s="385">
        <v>20</v>
      </c>
      <c r="O21" s="386">
        <v>72068</v>
      </c>
      <c r="P21" s="313">
        <f t="shared" si="3"/>
        <v>1441360</v>
      </c>
      <c r="Q21" s="308">
        <v>38</v>
      </c>
      <c r="R21" s="309">
        <v>59697.684210526313</v>
      </c>
      <c r="S21" s="310">
        <f t="shared" si="4"/>
        <v>2268512</v>
      </c>
      <c r="T21" s="385">
        <v>36</v>
      </c>
      <c r="U21" s="386">
        <v>58922.166666666664</v>
      </c>
      <c r="V21" s="313">
        <f t="shared" si="5"/>
        <v>2121198</v>
      </c>
      <c r="W21" s="308">
        <v>3</v>
      </c>
      <c r="X21" s="309">
        <v>43317.333333333336</v>
      </c>
      <c r="Y21" s="310">
        <f t="shared" si="6"/>
        <v>129952</v>
      </c>
      <c r="Z21" s="368">
        <v>1</v>
      </c>
      <c r="AA21" s="369">
        <v>59858</v>
      </c>
      <c r="AB21" s="313">
        <f t="shared" si="7"/>
        <v>59858</v>
      </c>
      <c r="AC21" s="308"/>
      <c r="AD21" s="309"/>
      <c r="AE21" s="310">
        <f t="shared" si="8"/>
        <v>0</v>
      </c>
      <c r="AF21" s="385">
        <v>3</v>
      </c>
      <c r="AG21" s="386">
        <v>65257.333333333336</v>
      </c>
      <c r="AH21" s="313">
        <f t="shared" si="9"/>
        <v>195772</v>
      </c>
      <c r="AI21" s="308"/>
      <c r="AJ21" s="309"/>
      <c r="AK21" s="310">
        <f t="shared" si="10"/>
        <v>0</v>
      </c>
      <c r="AL21" s="311"/>
      <c r="AM21" s="312"/>
      <c r="AN21" s="313">
        <f t="shared" si="11"/>
        <v>0</v>
      </c>
      <c r="AO21" s="308">
        <v>2</v>
      </c>
      <c r="AP21" s="309">
        <v>108820</v>
      </c>
      <c r="AQ21" s="310">
        <f t="shared" si="12"/>
        <v>178073.04800000001</v>
      </c>
      <c r="AR21" s="385">
        <v>3</v>
      </c>
      <c r="AS21" s="386">
        <v>101906</v>
      </c>
      <c r="AT21" s="313">
        <f t="shared" si="13"/>
        <v>250138.4676</v>
      </c>
      <c r="AU21" s="308"/>
      <c r="AV21" s="309"/>
      <c r="AW21" s="310">
        <f t="shared" si="14"/>
        <v>0</v>
      </c>
      <c r="AX21" s="311"/>
      <c r="AY21" s="312"/>
      <c r="AZ21" s="313">
        <f t="shared" si="15"/>
        <v>0</v>
      </c>
      <c r="BA21" s="308"/>
      <c r="BB21" s="309"/>
      <c r="BC21" s="310">
        <f t="shared" si="16"/>
        <v>0</v>
      </c>
      <c r="BD21" s="311"/>
      <c r="BE21" s="312"/>
      <c r="BF21" s="313">
        <f t="shared" si="17"/>
        <v>0</v>
      </c>
      <c r="BG21" s="308">
        <v>2</v>
      </c>
      <c r="BH21" s="309">
        <v>66633</v>
      </c>
      <c r="BI21" s="310">
        <f t="shared" si="18"/>
        <v>109038.2412</v>
      </c>
      <c r="BJ21" s="385">
        <v>2</v>
      </c>
      <c r="BK21" s="386">
        <v>35547</v>
      </c>
      <c r="BL21" s="313">
        <f t="shared" si="19"/>
        <v>58169.110800000002</v>
      </c>
      <c r="BM21" s="308"/>
      <c r="BN21" s="309"/>
      <c r="BO21" s="310">
        <f t="shared" si="20"/>
        <v>0</v>
      </c>
      <c r="BP21" s="311"/>
      <c r="BQ21" s="312"/>
      <c r="BR21" s="313">
        <f t="shared" si="21"/>
        <v>0</v>
      </c>
      <c r="BS21" s="308"/>
      <c r="BT21" s="309"/>
      <c r="BU21" s="310">
        <f t="shared" si="22"/>
        <v>0</v>
      </c>
      <c r="BV21" s="311"/>
      <c r="BW21" s="312"/>
      <c r="BX21" s="313">
        <f t="shared" si="23"/>
        <v>0</v>
      </c>
      <c r="BY21" s="290"/>
    </row>
    <row r="22" spans="1:77">
      <c r="A22" s="324" t="s">
        <v>432</v>
      </c>
      <c r="B22" s="322" t="s">
        <v>804</v>
      </c>
      <c r="C22" s="321">
        <v>101505</v>
      </c>
      <c r="D22" s="445">
        <v>8</v>
      </c>
      <c r="E22" s="308"/>
      <c r="F22" s="309"/>
      <c r="G22" s="310">
        <f t="shared" si="0"/>
        <v>0</v>
      </c>
      <c r="H22" s="311"/>
      <c r="I22" s="312"/>
      <c r="J22" s="313">
        <f t="shared" si="1"/>
        <v>0</v>
      </c>
      <c r="K22" s="308"/>
      <c r="L22" s="309"/>
      <c r="M22" s="310">
        <f t="shared" si="2"/>
        <v>0</v>
      </c>
      <c r="N22" s="311"/>
      <c r="O22" s="312"/>
      <c r="P22" s="313">
        <f t="shared" si="3"/>
        <v>0</v>
      </c>
      <c r="Q22" s="308"/>
      <c r="R22" s="309"/>
      <c r="S22" s="310">
        <f t="shared" si="4"/>
        <v>0</v>
      </c>
      <c r="T22" s="311"/>
      <c r="U22" s="312"/>
      <c r="V22" s="313">
        <f t="shared" si="5"/>
        <v>0</v>
      </c>
      <c r="W22" s="308"/>
      <c r="X22" s="309"/>
      <c r="Y22" s="310">
        <f t="shared" si="6"/>
        <v>0</v>
      </c>
      <c r="Z22" s="368"/>
      <c r="AA22" s="369"/>
      <c r="AB22" s="313">
        <f t="shared" si="7"/>
        <v>0</v>
      </c>
      <c r="AC22" s="308"/>
      <c r="AD22" s="309"/>
      <c r="AE22" s="310">
        <f t="shared" si="8"/>
        <v>0</v>
      </c>
      <c r="AF22" s="311"/>
      <c r="AG22" s="312"/>
      <c r="AH22" s="313">
        <f t="shared" si="9"/>
        <v>0</v>
      </c>
      <c r="AI22" s="308">
        <v>135</v>
      </c>
      <c r="AJ22" s="309">
        <v>51193.925925925927</v>
      </c>
      <c r="AK22" s="310">
        <f t="shared" si="10"/>
        <v>6911180</v>
      </c>
      <c r="AL22" s="385">
        <v>136</v>
      </c>
      <c r="AM22" s="386">
        <v>52469.38970588235</v>
      </c>
      <c r="AN22" s="313">
        <f t="shared" si="11"/>
        <v>7135837</v>
      </c>
      <c r="AO22" s="308"/>
      <c r="AP22" s="309"/>
      <c r="AQ22" s="310">
        <f t="shared" si="12"/>
        <v>0</v>
      </c>
      <c r="AR22" s="311"/>
      <c r="AS22" s="312"/>
      <c r="AT22" s="313">
        <f t="shared" si="13"/>
        <v>0</v>
      </c>
      <c r="AU22" s="308"/>
      <c r="AV22" s="309"/>
      <c r="AW22" s="310">
        <f t="shared" si="14"/>
        <v>0</v>
      </c>
      <c r="AX22" s="311"/>
      <c r="AY22" s="312"/>
      <c r="AZ22" s="313">
        <f t="shared" si="15"/>
        <v>0</v>
      </c>
      <c r="BA22" s="308"/>
      <c r="BB22" s="309"/>
      <c r="BC22" s="310">
        <f t="shared" si="16"/>
        <v>0</v>
      </c>
      <c r="BD22" s="311"/>
      <c r="BE22" s="312"/>
      <c r="BF22" s="313">
        <f t="shared" si="17"/>
        <v>0</v>
      </c>
      <c r="BG22" s="308"/>
      <c r="BH22" s="309"/>
      <c r="BI22" s="310">
        <f t="shared" si="18"/>
        <v>0</v>
      </c>
      <c r="BJ22" s="311"/>
      <c r="BK22" s="312"/>
      <c r="BL22" s="313">
        <f t="shared" si="19"/>
        <v>0</v>
      </c>
      <c r="BM22" s="308"/>
      <c r="BN22" s="309"/>
      <c r="BO22" s="310">
        <f t="shared" si="20"/>
        <v>0</v>
      </c>
      <c r="BP22" s="311"/>
      <c r="BQ22" s="312">
        <f>+BQ21/6</f>
        <v>0</v>
      </c>
      <c r="BR22" s="313">
        <f t="shared" si="21"/>
        <v>0</v>
      </c>
      <c r="BS22" s="308">
        <v>15</v>
      </c>
      <c r="BT22" s="309">
        <v>65673.066666666666</v>
      </c>
      <c r="BU22" s="310">
        <f t="shared" si="22"/>
        <v>806005.54720000003</v>
      </c>
      <c r="BV22" s="385">
        <v>16</v>
      </c>
      <c r="BW22" s="386">
        <v>63871.6875</v>
      </c>
      <c r="BX22" s="313">
        <f t="shared" si="23"/>
        <v>836157.03540000005</v>
      </c>
      <c r="BY22" s="290"/>
    </row>
    <row r="23" spans="1:77">
      <c r="A23" s="324" t="s">
        <v>432</v>
      </c>
      <c r="B23" s="322" t="s">
        <v>805</v>
      </c>
      <c r="C23" s="321">
        <v>101514</v>
      </c>
      <c r="D23" s="445">
        <v>8</v>
      </c>
      <c r="E23" s="308"/>
      <c r="F23" s="309"/>
      <c r="G23" s="310">
        <f t="shared" si="0"/>
        <v>0</v>
      </c>
      <c r="H23" s="311"/>
      <c r="I23" s="312"/>
      <c r="J23" s="313">
        <f t="shared" si="1"/>
        <v>0</v>
      </c>
      <c r="K23" s="308"/>
      <c r="L23" s="309"/>
      <c r="M23" s="310">
        <f t="shared" si="2"/>
        <v>0</v>
      </c>
      <c r="N23" s="311"/>
      <c r="O23" s="312"/>
      <c r="P23" s="313">
        <f t="shared" si="3"/>
        <v>0</v>
      </c>
      <c r="Q23" s="308"/>
      <c r="R23" s="309"/>
      <c r="S23" s="310">
        <f t="shared" si="4"/>
        <v>0</v>
      </c>
      <c r="T23" s="311"/>
      <c r="U23" s="312"/>
      <c r="V23" s="313">
        <f t="shared" si="5"/>
        <v>0</v>
      </c>
      <c r="W23" s="308"/>
      <c r="X23" s="309"/>
      <c r="Y23" s="310">
        <f t="shared" si="6"/>
        <v>0</v>
      </c>
      <c r="Z23" s="368"/>
      <c r="AA23" s="369"/>
      <c r="AB23" s="313">
        <f t="shared" si="7"/>
        <v>0</v>
      </c>
      <c r="AC23" s="308"/>
      <c r="AD23" s="309"/>
      <c r="AE23" s="310">
        <f t="shared" si="8"/>
        <v>0</v>
      </c>
      <c r="AF23" s="311"/>
      <c r="AG23" s="312"/>
      <c r="AH23" s="313">
        <f t="shared" si="9"/>
        <v>0</v>
      </c>
      <c r="AI23" s="308">
        <v>120</v>
      </c>
      <c r="AJ23" s="309">
        <v>56593.616666666669</v>
      </c>
      <c r="AK23" s="310">
        <f t="shared" si="10"/>
        <v>6791234</v>
      </c>
      <c r="AL23" s="385">
        <v>140</v>
      </c>
      <c r="AM23" s="386">
        <v>54483.5</v>
      </c>
      <c r="AN23" s="313">
        <f t="shared" si="11"/>
        <v>7627690</v>
      </c>
      <c r="AO23" s="308"/>
      <c r="AP23" s="309"/>
      <c r="AQ23" s="310">
        <f t="shared" si="12"/>
        <v>0</v>
      </c>
      <c r="AR23" s="311"/>
      <c r="AS23" s="312"/>
      <c r="AT23" s="313">
        <f t="shared" si="13"/>
        <v>0</v>
      </c>
      <c r="AU23" s="308"/>
      <c r="AV23" s="309"/>
      <c r="AW23" s="310">
        <f t="shared" si="14"/>
        <v>0</v>
      </c>
      <c r="AX23" s="311"/>
      <c r="AY23" s="312"/>
      <c r="AZ23" s="313">
        <f t="shared" si="15"/>
        <v>0</v>
      </c>
      <c r="BA23" s="308"/>
      <c r="BB23" s="309"/>
      <c r="BC23" s="310">
        <f t="shared" si="16"/>
        <v>0</v>
      </c>
      <c r="BD23" s="311"/>
      <c r="BE23" s="312"/>
      <c r="BF23" s="313">
        <f t="shared" si="17"/>
        <v>0</v>
      </c>
      <c r="BG23" s="308"/>
      <c r="BH23" s="309"/>
      <c r="BI23" s="310">
        <f t="shared" si="18"/>
        <v>0</v>
      </c>
      <c r="BJ23" s="311"/>
      <c r="BK23" s="312"/>
      <c r="BL23" s="313">
        <f t="shared" si="19"/>
        <v>0</v>
      </c>
      <c r="BM23" s="308"/>
      <c r="BN23" s="309"/>
      <c r="BO23" s="310">
        <f t="shared" si="20"/>
        <v>0</v>
      </c>
      <c r="BP23" s="311"/>
      <c r="BQ23" s="312"/>
      <c r="BR23" s="313">
        <f t="shared" si="21"/>
        <v>0</v>
      </c>
      <c r="BS23" s="308"/>
      <c r="BT23" s="309"/>
      <c r="BU23" s="310">
        <f t="shared" si="22"/>
        <v>0</v>
      </c>
      <c r="BV23" s="385"/>
      <c r="BW23" s="386"/>
      <c r="BX23" s="313">
        <f t="shared" si="23"/>
        <v>0</v>
      </c>
      <c r="BY23" s="290"/>
    </row>
    <row r="24" spans="1:77">
      <c r="A24" s="324" t="s">
        <v>432</v>
      </c>
      <c r="B24" s="322" t="s">
        <v>806</v>
      </c>
      <c r="C24" s="321">
        <v>102429</v>
      </c>
      <c r="D24" s="445">
        <v>9</v>
      </c>
      <c r="E24" s="308"/>
      <c r="F24" s="309"/>
      <c r="G24" s="310">
        <f t="shared" si="0"/>
        <v>0</v>
      </c>
      <c r="H24" s="311"/>
      <c r="I24" s="312"/>
      <c r="J24" s="313">
        <f t="shared" si="1"/>
        <v>0</v>
      </c>
      <c r="K24" s="308"/>
      <c r="L24" s="309"/>
      <c r="M24" s="310">
        <f t="shared" si="2"/>
        <v>0</v>
      </c>
      <c r="N24" s="311"/>
      <c r="O24" s="312"/>
      <c r="P24" s="313">
        <f t="shared" si="3"/>
        <v>0</v>
      </c>
      <c r="Q24" s="308"/>
      <c r="R24" s="309"/>
      <c r="S24" s="310">
        <f t="shared" si="4"/>
        <v>0</v>
      </c>
      <c r="T24" s="311"/>
      <c r="U24" s="312"/>
      <c r="V24" s="313">
        <f t="shared" si="5"/>
        <v>0</v>
      </c>
      <c r="W24" s="308"/>
      <c r="X24" s="309"/>
      <c r="Y24" s="310">
        <f t="shared" si="6"/>
        <v>0</v>
      </c>
      <c r="Z24" s="368"/>
      <c r="AA24" s="369"/>
      <c r="AB24" s="313">
        <f t="shared" si="7"/>
        <v>0</v>
      </c>
      <c r="AC24" s="308"/>
      <c r="AD24" s="309"/>
      <c r="AE24" s="310">
        <f t="shared" si="8"/>
        <v>0</v>
      </c>
      <c r="AF24" s="311"/>
      <c r="AG24" s="312"/>
      <c r="AH24" s="313">
        <f t="shared" si="9"/>
        <v>0</v>
      </c>
      <c r="AI24" s="308">
        <v>115</v>
      </c>
      <c r="AJ24" s="309">
        <v>54010.6</v>
      </c>
      <c r="AK24" s="310">
        <f t="shared" si="10"/>
        <v>6211219</v>
      </c>
      <c r="AL24" s="385">
        <v>120</v>
      </c>
      <c r="AM24" s="386">
        <v>54418.583333333336</v>
      </c>
      <c r="AN24" s="313">
        <f t="shared" si="11"/>
        <v>6530230</v>
      </c>
      <c r="AO24" s="308"/>
      <c r="AP24" s="309"/>
      <c r="AQ24" s="310">
        <f t="shared" si="12"/>
        <v>0</v>
      </c>
      <c r="AR24" s="311"/>
      <c r="AS24" s="312"/>
      <c r="AT24" s="313">
        <f t="shared" si="13"/>
        <v>0</v>
      </c>
      <c r="AU24" s="308"/>
      <c r="AV24" s="309"/>
      <c r="AW24" s="310">
        <f t="shared" si="14"/>
        <v>0</v>
      </c>
      <c r="AX24" s="311"/>
      <c r="AY24" s="312"/>
      <c r="AZ24" s="313">
        <f t="shared" si="15"/>
        <v>0</v>
      </c>
      <c r="BA24" s="308"/>
      <c r="BB24" s="309"/>
      <c r="BC24" s="310">
        <f t="shared" si="16"/>
        <v>0</v>
      </c>
      <c r="BD24" s="311"/>
      <c r="BE24" s="312"/>
      <c r="BF24" s="313">
        <f t="shared" si="17"/>
        <v>0</v>
      </c>
      <c r="BG24" s="308"/>
      <c r="BH24" s="309"/>
      <c r="BI24" s="310">
        <f t="shared" si="18"/>
        <v>0</v>
      </c>
      <c r="BJ24" s="311"/>
      <c r="BK24" s="312"/>
      <c r="BL24" s="313">
        <f t="shared" si="19"/>
        <v>0</v>
      </c>
      <c r="BM24" s="308"/>
      <c r="BN24" s="309"/>
      <c r="BO24" s="310">
        <f t="shared" si="20"/>
        <v>0</v>
      </c>
      <c r="BP24" s="311"/>
      <c r="BQ24" s="312"/>
      <c r="BR24" s="313">
        <f t="shared" si="21"/>
        <v>0</v>
      </c>
      <c r="BS24" s="308"/>
      <c r="BT24" s="309"/>
      <c r="BU24" s="310">
        <f t="shared" si="22"/>
        <v>0</v>
      </c>
      <c r="BV24" s="385"/>
      <c r="BW24" s="386"/>
      <c r="BX24" s="313">
        <f t="shared" si="23"/>
        <v>0</v>
      </c>
      <c r="BY24" s="290"/>
    </row>
    <row r="25" spans="1:77">
      <c r="A25" s="324" t="s">
        <v>432</v>
      </c>
      <c r="B25" s="396" t="s">
        <v>807</v>
      </c>
      <c r="C25" s="321">
        <v>102030</v>
      </c>
      <c r="D25" s="445">
        <v>9</v>
      </c>
      <c r="E25" s="308"/>
      <c r="F25" s="309"/>
      <c r="G25" s="310">
        <f t="shared" si="0"/>
        <v>0</v>
      </c>
      <c r="H25" s="311"/>
      <c r="I25" s="312"/>
      <c r="J25" s="313">
        <f t="shared" si="1"/>
        <v>0</v>
      </c>
      <c r="K25" s="308"/>
      <c r="L25" s="309"/>
      <c r="M25" s="310">
        <f t="shared" si="2"/>
        <v>0</v>
      </c>
      <c r="N25" s="311"/>
      <c r="O25" s="312"/>
      <c r="P25" s="313">
        <f t="shared" si="3"/>
        <v>0</v>
      </c>
      <c r="Q25" s="308"/>
      <c r="R25" s="309"/>
      <c r="S25" s="310">
        <f t="shared" si="4"/>
        <v>0</v>
      </c>
      <c r="T25" s="311"/>
      <c r="U25" s="312"/>
      <c r="V25" s="313">
        <f t="shared" si="5"/>
        <v>0</v>
      </c>
      <c r="W25" s="308"/>
      <c r="X25" s="309"/>
      <c r="Y25" s="310">
        <f t="shared" si="6"/>
        <v>0</v>
      </c>
      <c r="Z25" s="387"/>
      <c r="AA25" s="388"/>
      <c r="AB25" s="313">
        <f t="shared" si="7"/>
        <v>0</v>
      </c>
      <c r="AC25" s="308"/>
      <c r="AD25" s="309"/>
      <c r="AE25" s="310">
        <f t="shared" si="8"/>
        <v>0</v>
      </c>
      <c r="AF25" s="311"/>
      <c r="AG25" s="312"/>
      <c r="AH25" s="313">
        <f t="shared" si="9"/>
        <v>0</v>
      </c>
      <c r="AI25" s="308">
        <v>110</v>
      </c>
      <c r="AJ25" s="309">
        <v>52491.8</v>
      </c>
      <c r="AK25" s="310">
        <f t="shared" si="10"/>
        <v>5774098</v>
      </c>
      <c r="AL25" s="385">
        <v>93</v>
      </c>
      <c r="AM25" s="386">
        <v>53051.849462365593</v>
      </c>
      <c r="AN25" s="313">
        <f t="shared" si="11"/>
        <v>4933822</v>
      </c>
      <c r="AO25" s="308"/>
      <c r="AP25" s="309"/>
      <c r="AQ25" s="310">
        <f t="shared" si="12"/>
        <v>0</v>
      </c>
      <c r="AR25" s="311"/>
      <c r="AS25" s="312"/>
      <c r="AT25" s="313">
        <f t="shared" si="13"/>
        <v>0</v>
      </c>
      <c r="AU25" s="308"/>
      <c r="AV25" s="309"/>
      <c r="AW25" s="310">
        <f t="shared" si="14"/>
        <v>0</v>
      </c>
      <c r="AX25" s="311"/>
      <c r="AY25" s="312"/>
      <c r="AZ25" s="313">
        <f t="shared" si="15"/>
        <v>0</v>
      </c>
      <c r="BA25" s="308"/>
      <c r="BB25" s="309"/>
      <c r="BC25" s="310">
        <f t="shared" si="16"/>
        <v>0</v>
      </c>
      <c r="BD25" s="311"/>
      <c r="BE25" s="312"/>
      <c r="BF25" s="313">
        <f t="shared" si="17"/>
        <v>0</v>
      </c>
      <c r="BG25" s="308"/>
      <c r="BH25" s="309"/>
      <c r="BI25" s="310">
        <f t="shared" si="18"/>
        <v>0</v>
      </c>
      <c r="BJ25" s="311"/>
      <c r="BK25" s="312"/>
      <c r="BL25" s="313">
        <f t="shared" si="19"/>
        <v>0</v>
      </c>
      <c r="BM25" s="308"/>
      <c r="BN25" s="309"/>
      <c r="BO25" s="310">
        <f t="shared" si="20"/>
        <v>0</v>
      </c>
      <c r="BP25" s="311"/>
      <c r="BQ25" s="312"/>
      <c r="BR25" s="313">
        <f t="shared" si="21"/>
        <v>0</v>
      </c>
      <c r="BS25" s="308">
        <v>2</v>
      </c>
      <c r="BT25" s="309">
        <v>57219.5</v>
      </c>
      <c r="BU25" s="310">
        <f t="shared" si="22"/>
        <v>93633.98980000001</v>
      </c>
      <c r="BV25" s="385">
        <v>6</v>
      </c>
      <c r="BW25" s="386">
        <v>46157.166666666664</v>
      </c>
      <c r="BX25" s="313">
        <f t="shared" si="23"/>
        <v>226594.76260000002</v>
      </c>
      <c r="BY25" s="290"/>
    </row>
    <row r="26" spans="1:77">
      <c r="A26" s="324" t="s">
        <v>432</v>
      </c>
      <c r="B26" s="322" t="s">
        <v>808</v>
      </c>
      <c r="C26" s="321">
        <v>101240</v>
      </c>
      <c r="D26" s="445">
        <v>9</v>
      </c>
      <c r="E26" s="308"/>
      <c r="F26" s="309"/>
      <c r="G26" s="310">
        <f t="shared" si="0"/>
        <v>0</v>
      </c>
      <c r="H26" s="311"/>
      <c r="I26" s="312"/>
      <c r="J26" s="313">
        <f t="shared" si="1"/>
        <v>0</v>
      </c>
      <c r="K26" s="308"/>
      <c r="L26" s="309"/>
      <c r="M26" s="310">
        <f t="shared" si="2"/>
        <v>0</v>
      </c>
      <c r="N26" s="311"/>
      <c r="O26" s="312"/>
      <c r="P26" s="313">
        <f t="shared" si="3"/>
        <v>0</v>
      </c>
      <c r="Q26" s="308"/>
      <c r="R26" s="309"/>
      <c r="S26" s="310">
        <f t="shared" si="4"/>
        <v>0</v>
      </c>
      <c r="T26" s="311"/>
      <c r="U26" s="312"/>
      <c r="V26" s="313">
        <f t="shared" si="5"/>
        <v>0</v>
      </c>
      <c r="W26" s="308"/>
      <c r="X26" s="309"/>
      <c r="Y26" s="310">
        <f t="shared" si="6"/>
        <v>0</v>
      </c>
      <c r="Z26" s="311"/>
      <c r="AA26" s="312"/>
      <c r="AB26" s="313">
        <f t="shared" si="7"/>
        <v>0</v>
      </c>
      <c r="AC26" s="308"/>
      <c r="AD26" s="309"/>
      <c r="AE26" s="310">
        <f t="shared" si="8"/>
        <v>0</v>
      </c>
      <c r="AF26" s="311"/>
      <c r="AG26" s="312"/>
      <c r="AH26" s="313">
        <f t="shared" si="9"/>
        <v>0</v>
      </c>
      <c r="AI26" s="308">
        <v>146</v>
      </c>
      <c r="AJ26" s="309">
        <v>53738.636986301368</v>
      </c>
      <c r="AK26" s="310">
        <f t="shared" si="10"/>
        <v>7845841</v>
      </c>
      <c r="AL26" s="385">
        <v>150</v>
      </c>
      <c r="AM26" s="386">
        <v>53796.18</v>
      </c>
      <c r="AN26" s="313">
        <f t="shared" si="11"/>
        <v>8069427</v>
      </c>
      <c r="AO26" s="308"/>
      <c r="AP26" s="309"/>
      <c r="AQ26" s="310">
        <f t="shared" si="12"/>
        <v>0</v>
      </c>
      <c r="AR26" s="311"/>
      <c r="AS26" s="312"/>
      <c r="AT26" s="313">
        <f t="shared" si="13"/>
        <v>0</v>
      </c>
      <c r="AU26" s="308"/>
      <c r="AV26" s="309"/>
      <c r="AW26" s="310">
        <f t="shared" si="14"/>
        <v>0</v>
      </c>
      <c r="AX26" s="311"/>
      <c r="AY26" s="312"/>
      <c r="AZ26" s="313">
        <f t="shared" si="15"/>
        <v>0</v>
      </c>
      <c r="BA26" s="308"/>
      <c r="BB26" s="309"/>
      <c r="BC26" s="310">
        <f t="shared" si="16"/>
        <v>0</v>
      </c>
      <c r="BD26" s="311"/>
      <c r="BE26" s="312"/>
      <c r="BF26" s="313">
        <f t="shared" si="17"/>
        <v>0</v>
      </c>
      <c r="BG26" s="308"/>
      <c r="BH26" s="309"/>
      <c r="BI26" s="310">
        <f t="shared" si="18"/>
        <v>0</v>
      </c>
      <c r="BJ26" s="311"/>
      <c r="BK26" s="312"/>
      <c r="BL26" s="313">
        <f t="shared" si="19"/>
        <v>0</v>
      </c>
      <c r="BM26" s="308"/>
      <c r="BN26" s="309"/>
      <c r="BO26" s="310">
        <f t="shared" si="20"/>
        <v>0</v>
      </c>
      <c r="BP26" s="311"/>
      <c r="BQ26" s="312"/>
      <c r="BR26" s="313">
        <f t="shared" si="21"/>
        <v>0</v>
      </c>
      <c r="BS26" s="308"/>
      <c r="BT26" s="309"/>
      <c r="BU26" s="310">
        <f t="shared" si="22"/>
        <v>0</v>
      </c>
      <c r="BV26" s="385"/>
      <c r="BW26" s="386"/>
      <c r="BX26" s="313">
        <f t="shared" si="23"/>
        <v>0</v>
      </c>
      <c r="BY26" s="290"/>
    </row>
    <row r="27" spans="1:77">
      <c r="A27" s="324" t="s">
        <v>432</v>
      </c>
      <c r="B27" s="322" t="s">
        <v>809</v>
      </c>
      <c r="C27" s="321">
        <v>101286</v>
      </c>
      <c r="D27" s="445">
        <v>9</v>
      </c>
      <c r="E27" s="308"/>
      <c r="F27" s="309"/>
      <c r="G27" s="310">
        <f t="shared" si="0"/>
        <v>0</v>
      </c>
      <c r="H27" s="311"/>
      <c r="I27" s="312"/>
      <c r="J27" s="313">
        <f t="shared" si="1"/>
        <v>0</v>
      </c>
      <c r="K27" s="308"/>
      <c r="L27" s="309"/>
      <c r="M27" s="310">
        <f t="shared" si="2"/>
        <v>0</v>
      </c>
      <c r="N27" s="311"/>
      <c r="O27" s="312"/>
      <c r="P27" s="313">
        <f t="shared" si="3"/>
        <v>0</v>
      </c>
      <c r="Q27" s="308"/>
      <c r="R27" s="309"/>
      <c r="S27" s="310">
        <f t="shared" si="4"/>
        <v>0</v>
      </c>
      <c r="T27" s="311"/>
      <c r="U27" s="312"/>
      <c r="V27" s="313">
        <f t="shared" si="5"/>
        <v>0</v>
      </c>
      <c r="W27" s="308"/>
      <c r="X27" s="309"/>
      <c r="Y27" s="310">
        <f t="shared" si="6"/>
        <v>0</v>
      </c>
      <c r="Z27" s="311"/>
      <c r="AA27" s="312"/>
      <c r="AB27" s="313">
        <f t="shared" si="7"/>
        <v>0</v>
      </c>
      <c r="AC27" s="308"/>
      <c r="AD27" s="309"/>
      <c r="AE27" s="310">
        <f t="shared" si="8"/>
        <v>0</v>
      </c>
      <c r="AF27" s="311"/>
      <c r="AG27" s="312"/>
      <c r="AH27" s="313">
        <f t="shared" si="9"/>
        <v>0</v>
      </c>
      <c r="AI27" s="308">
        <v>124</v>
      </c>
      <c r="AJ27" s="309">
        <v>51706.290322580644</v>
      </c>
      <c r="AK27" s="310">
        <f t="shared" si="10"/>
        <v>6411580</v>
      </c>
      <c r="AL27" s="385">
        <v>123</v>
      </c>
      <c r="AM27" s="386">
        <v>51732.601626016258</v>
      </c>
      <c r="AN27" s="313">
        <f t="shared" si="11"/>
        <v>6363110</v>
      </c>
      <c r="AO27" s="308"/>
      <c r="AP27" s="309"/>
      <c r="AQ27" s="310">
        <f t="shared" si="12"/>
        <v>0</v>
      </c>
      <c r="AR27" s="311"/>
      <c r="AS27" s="312"/>
      <c r="AT27" s="313">
        <f t="shared" si="13"/>
        <v>0</v>
      </c>
      <c r="AU27" s="308"/>
      <c r="AV27" s="309"/>
      <c r="AW27" s="310">
        <f t="shared" si="14"/>
        <v>0</v>
      </c>
      <c r="AX27" s="311"/>
      <c r="AY27" s="312"/>
      <c r="AZ27" s="313">
        <f t="shared" si="15"/>
        <v>0</v>
      </c>
      <c r="BA27" s="308"/>
      <c r="BB27" s="309"/>
      <c r="BC27" s="310">
        <f t="shared" si="16"/>
        <v>0</v>
      </c>
      <c r="BD27" s="311"/>
      <c r="BE27" s="312"/>
      <c r="BF27" s="313">
        <f t="shared" si="17"/>
        <v>0</v>
      </c>
      <c r="BG27" s="308"/>
      <c r="BH27" s="309"/>
      <c r="BI27" s="310">
        <f t="shared" si="18"/>
        <v>0</v>
      </c>
      <c r="BJ27" s="311"/>
      <c r="BK27" s="312"/>
      <c r="BL27" s="313">
        <f t="shared" si="19"/>
        <v>0</v>
      </c>
      <c r="BM27" s="308"/>
      <c r="BN27" s="309"/>
      <c r="BO27" s="310">
        <f t="shared" si="20"/>
        <v>0</v>
      </c>
      <c r="BP27" s="311"/>
      <c r="BQ27" s="312"/>
      <c r="BR27" s="313">
        <f t="shared" si="21"/>
        <v>0</v>
      </c>
      <c r="BS27" s="308">
        <v>2</v>
      </c>
      <c r="BT27" s="309">
        <v>61925.5</v>
      </c>
      <c r="BU27" s="310">
        <f t="shared" si="22"/>
        <v>101334.8882</v>
      </c>
      <c r="BV27" s="385">
        <v>2</v>
      </c>
      <c r="BW27" s="386">
        <v>61925.5</v>
      </c>
      <c r="BX27" s="313">
        <f t="shared" si="23"/>
        <v>101334.8882</v>
      </c>
      <c r="BY27" s="290"/>
    </row>
    <row r="28" spans="1:77">
      <c r="A28" s="324" t="s">
        <v>432</v>
      </c>
      <c r="B28" s="322" t="s">
        <v>810</v>
      </c>
      <c r="C28" s="321">
        <v>101161</v>
      </c>
      <c r="D28" s="445">
        <v>9</v>
      </c>
      <c r="E28" s="308"/>
      <c r="F28" s="309"/>
      <c r="G28" s="310">
        <f t="shared" si="0"/>
        <v>0</v>
      </c>
      <c r="H28" s="311"/>
      <c r="I28" s="312"/>
      <c r="J28" s="313">
        <f t="shared" si="1"/>
        <v>0</v>
      </c>
      <c r="K28" s="308"/>
      <c r="L28" s="309"/>
      <c r="M28" s="310">
        <f t="shared" si="2"/>
        <v>0</v>
      </c>
      <c r="N28" s="311"/>
      <c r="O28" s="312"/>
      <c r="P28" s="313">
        <f t="shared" si="3"/>
        <v>0</v>
      </c>
      <c r="Q28" s="308"/>
      <c r="R28" s="309"/>
      <c r="S28" s="310">
        <f t="shared" si="4"/>
        <v>0</v>
      </c>
      <c r="T28" s="311"/>
      <c r="U28" s="312"/>
      <c r="V28" s="313">
        <f t="shared" si="5"/>
        <v>0</v>
      </c>
      <c r="W28" s="308"/>
      <c r="X28" s="309"/>
      <c r="Y28" s="310">
        <f t="shared" si="6"/>
        <v>0</v>
      </c>
      <c r="Z28" s="311"/>
      <c r="AA28" s="312"/>
      <c r="AB28" s="313">
        <f t="shared" si="7"/>
        <v>0</v>
      </c>
      <c r="AC28" s="308"/>
      <c r="AD28" s="309"/>
      <c r="AE28" s="310">
        <f t="shared" si="8"/>
        <v>0</v>
      </c>
      <c r="AF28" s="311"/>
      <c r="AG28" s="312"/>
      <c r="AH28" s="313">
        <f t="shared" si="9"/>
        <v>0</v>
      </c>
      <c r="AI28" s="308">
        <v>57</v>
      </c>
      <c r="AJ28" s="309">
        <v>51864.333333333336</v>
      </c>
      <c r="AK28" s="310">
        <f t="shared" si="10"/>
        <v>2956267</v>
      </c>
      <c r="AL28" s="385">
        <v>59</v>
      </c>
      <c r="AM28" s="386">
        <v>54371.508474576272</v>
      </c>
      <c r="AN28" s="313">
        <f t="shared" si="11"/>
        <v>3207919</v>
      </c>
      <c r="AO28" s="308"/>
      <c r="AP28" s="309"/>
      <c r="AQ28" s="310">
        <f t="shared" si="12"/>
        <v>0</v>
      </c>
      <c r="AR28" s="311"/>
      <c r="AS28" s="312"/>
      <c r="AT28" s="313">
        <f t="shared" si="13"/>
        <v>0</v>
      </c>
      <c r="AU28" s="308"/>
      <c r="AV28" s="309"/>
      <c r="AW28" s="310">
        <f t="shared" si="14"/>
        <v>0</v>
      </c>
      <c r="AX28" s="311"/>
      <c r="AY28" s="312"/>
      <c r="AZ28" s="313">
        <f t="shared" si="15"/>
        <v>0</v>
      </c>
      <c r="BA28" s="308"/>
      <c r="BB28" s="309"/>
      <c r="BC28" s="310">
        <f t="shared" si="16"/>
        <v>0</v>
      </c>
      <c r="BD28" s="311"/>
      <c r="BE28" s="312"/>
      <c r="BF28" s="313">
        <f t="shared" si="17"/>
        <v>0</v>
      </c>
      <c r="BG28" s="308"/>
      <c r="BH28" s="309"/>
      <c r="BI28" s="310">
        <f t="shared" si="18"/>
        <v>0</v>
      </c>
      <c r="BJ28" s="311"/>
      <c r="BK28" s="312"/>
      <c r="BL28" s="313">
        <f t="shared" si="19"/>
        <v>0</v>
      </c>
      <c r="BM28" s="308"/>
      <c r="BN28" s="309"/>
      <c r="BO28" s="310">
        <f t="shared" si="20"/>
        <v>0</v>
      </c>
      <c r="BP28" s="311"/>
      <c r="BQ28" s="312"/>
      <c r="BR28" s="313">
        <f t="shared" si="21"/>
        <v>0</v>
      </c>
      <c r="BS28" s="308">
        <v>12</v>
      </c>
      <c r="BT28" s="309">
        <v>77930.5</v>
      </c>
      <c r="BU28" s="310">
        <f t="shared" si="22"/>
        <v>765152.82120000001</v>
      </c>
      <c r="BV28" s="385">
        <v>11</v>
      </c>
      <c r="BW28" s="386">
        <v>77309.272727272721</v>
      </c>
      <c r="BX28" s="313">
        <f t="shared" si="23"/>
        <v>695798.91639999999</v>
      </c>
      <c r="BY28" s="290"/>
    </row>
    <row r="29" spans="1:77">
      <c r="A29" s="324" t="s">
        <v>432</v>
      </c>
      <c r="B29" s="322" t="s">
        <v>811</v>
      </c>
      <c r="C29" s="321">
        <v>101569</v>
      </c>
      <c r="D29" s="445">
        <v>9</v>
      </c>
      <c r="E29" s="308"/>
      <c r="F29" s="309"/>
      <c r="G29" s="310">
        <f t="shared" si="0"/>
        <v>0</v>
      </c>
      <c r="H29" s="311"/>
      <c r="I29" s="312"/>
      <c r="J29" s="313">
        <f t="shared" si="1"/>
        <v>0</v>
      </c>
      <c r="K29" s="308"/>
      <c r="L29" s="309"/>
      <c r="M29" s="310">
        <f t="shared" si="2"/>
        <v>0</v>
      </c>
      <c r="N29" s="311"/>
      <c r="O29" s="312"/>
      <c r="P29" s="313">
        <f t="shared" si="3"/>
        <v>0</v>
      </c>
      <c r="Q29" s="308"/>
      <c r="R29" s="309"/>
      <c r="S29" s="310">
        <f t="shared" si="4"/>
        <v>0</v>
      </c>
      <c r="T29" s="311"/>
      <c r="U29" s="312"/>
      <c r="V29" s="313">
        <f t="shared" si="5"/>
        <v>0</v>
      </c>
      <c r="W29" s="308"/>
      <c r="X29" s="309"/>
      <c r="Y29" s="310">
        <f t="shared" si="6"/>
        <v>0</v>
      </c>
      <c r="Z29" s="311"/>
      <c r="AA29" s="312"/>
      <c r="AB29" s="313">
        <f t="shared" si="7"/>
        <v>0</v>
      </c>
      <c r="AC29" s="308"/>
      <c r="AD29" s="309"/>
      <c r="AE29" s="310">
        <f t="shared" si="8"/>
        <v>0</v>
      </c>
      <c r="AF29" s="311"/>
      <c r="AG29" s="312"/>
      <c r="AH29" s="313">
        <f t="shared" si="9"/>
        <v>0</v>
      </c>
      <c r="AI29" s="308">
        <v>96</v>
      </c>
      <c r="AJ29" s="309">
        <v>52788.833333333336</v>
      </c>
      <c r="AK29" s="310">
        <f t="shared" si="10"/>
        <v>5067728</v>
      </c>
      <c r="AL29" s="385">
        <v>96</v>
      </c>
      <c r="AM29" s="386">
        <v>53480.177083333336</v>
      </c>
      <c r="AN29" s="313">
        <f t="shared" si="11"/>
        <v>5134097</v>
      </c>
      <c r="AO29" s="308"/>
      <c r="AP29" s="309"/>
      <c r="AQ29" s="310">
        <f t="shared" si="12"/>
        <v>0</v>
      </c>
      <c r="AR29" s="311"/>
      <c r="AS29" s="312"/>
      <c r="AT29" s="313">
        <f t="shared" si="13"/>
        <v>0</v>
      </c>
      <c r="AU29" s="308"/>
      <c r="AV29" s="309"/>
      <c r="AW29" s="310">
        <f t="shared" si="14"/>
        <v>0</v>
      </c>
      <c r="AX29" s="311"/>
      <c r="AY29" s="312"/>
      <c r="AZ29" s="313">
        <f t="shared" si="15"/>
        <v>0</v>
      </c>
      <c r="BA29" s="308"/>
      <c r="BB29" s="309"/>
      <c r="BC29" s="310">
        <f t="shared" si="16"/>
        <v>0</v>
      </c>
      <c r="BD29" s="311"/>
      <c r="BE29" s="312"/>
      <c r="BF29" s="313">
        <f t="shared" si="17"/>
        <v>0</v>
      </c>
      <c r="BG29" s="308"/>
      <c r="BH29" s="309"/>
      <c r="BI29" s="310">
        <f t="shared" si="18"/>
        <v>0</v>
      </c>
      <c r="BJ29" s="311"/>
      <c r="BK29" s="312"/>
      <c r="BL29" s="313">
        <f t="shared" si="19"/>
        <v>0</v>
      </c>
      <c r="BM29" s="308"/>
      <c r="BN29" s="309"/>
      <c r="BO29" s="310">
        <f t="shared" si="20"/>
        <v>0</v>
      </c>
      <c r="BP29" s="311"/>
      <c r="BQ29" s="312"/>
      <c r="BR29" s="313">
        <f t="shared" si="21"/>
        <v>0</v>
      </c>
      <c r="BS29" s="308"/>
      <c r="BT29" s="309"/>
      <c r="BU29" s="310">
        <f t="shared" si="22"/>
        <v>0</v>
      </c>
      <c r="BV29" s="385"/>
      <c r="BW29" s="386"/>
      <c r="BX29" s="313">
        <f t="shared" si="23"/>
        <v>0</v>
      </c>
      <c r="BY29" s="290"/>
    </row>
    <row r="30" spans="1:77">
      <c r="A30" s="324" t="s">
        <v>432</v>
      </c>
      <c r="B30" s="322" t="s">
        <v>812</v>
      </c>
      <c r="C30" s="321">
        <v>101736</v>
      </c>
      <c r="D30" s="445">
        <v>9</v>
      </c>
      <c r="E30" s="308"/>
      <c r="F30" s="309"/>
      <c r="G30" s="310">
        <f t="shared" si="0"/>
        <v>0</v>
      </c>
      <c r="H30" s="311"/>
      <c r="I30" s="312"/>
      <c r="J30" s="313">
        <f t="shared" si="1"/>
        <v>0</v>
      </c>
      <c r="K30" s="308"/>
      <c r="L30" s="309"/>
      <c r="M30" s="310">
        <f t="shared" si="2"/>
        <v>0</v>
      </c>
      <c r="N30" s="311"/>
      <c r="O30" s="312"/>
      <c r="P30" s="313">
        <f t="shared" si="3"/>
        <v>0</v>
      </c>
      <c r="Q30" s="308"/>
      <c r="R30" s="309"/>
      <c r="S30" s="310">
        <f t="shared" si="4"/>
        <v>0</v>
      </c>
      <c r="T30" s="311"/>
      <c r="U30" s="312"/>
      <c r="V30" s="313">
        <f t="shared" si="5"/>
        <v>0</v>
      </c>
      <c r="W30" s="308"/>
      <c r="X30" s="309"/>
      <c r="Y30" s="310">
        <f t="shared" si="6"/>
        <v>0</v>
      </c>
      <c r="Z30" s="311"/>
      <c r="AA30" s="312"/>
      <c r="AB30" s="313">
        <f t="shared" si="7"/>
        <v>0</v>
      </c>
      <c r="AC30" s="308"/>
      <c r="AD30" s="309"/>
      <c r="AE30" s="310">
        <f t="shared" si="8"/>
        <v>0</v>
      </c>
      <c r="AF30" s="311"/>
      <c r="AG30" s="312"/>
      <c r="AH30" s="313">
        <f t="shared" si="9"/>
        <v>0</v>
      </c>
      <c r="AI30" s="308">
        <v>84</v>
      </c>
      <c r="AJ30" s="309">
        <v>53484.857142857145</v>
      </c>
      <c r="AK30" s="310">
        <f t="shared" si="10"/>
        <v>4492728</v>
      </c>
      <c r="AL30" s="385">
        <v>92</v>
      </c>
      <c r="AM30" s="386">
        <v>52451.065217391304</v>
      </c>
      <c r="AN30" s="313">
        <f t="shared" si="11"/>
        <v>4825498</v>
      </c>
      <c r="AO30" s="308"/>
      <c r="AP30" s="309"/>
      <c r="AQ30" s="310">
        <f t="shared" si="12"/>
        <v>0</v>
      </c>
      <c r="AR30" s="311"/>
      <c r="AS30" s="312"/>
      <c r="AT30" s="313">
        <f t="shared" si="13"/>
        <v>0</v>
      </c>
      <c r="AU30" s="308"/>
      <c r="AV30" s="309"/>
      <c r="AW30" s="310">
        <f t="shared" si="14"/>
        <v>0</v>
      </c>
      <c r="AX30" s="311"/>
      <c r="AY30" s="312"/>
      <c r="AZ30" s="313">
        <f t="shared" si="15"/>
        <v>0</v>
      </c>
      <c r="BA30" s="308"/>
      <c r="BB30" s="309"/>
      <c r="BC30" s="310">
        <f t="shared" si="16"/>
        <v>0</v>
      </c>
      <c r="BD30" s="311"/>
      <c r="BE30" s="312"/>
      <c r="BF30" s="313">
        <f t="shared" si="17"/>
        <v>0</v>
      </c>
      <c r="BG30" s="308"/>
      <c r="BH30" s="309"/>
      <c r="BI30" s="310">
        <f t="shared" si="18"/>
        <v>0</v>
      </c>
      <c r="BJ30" s="311"/>
      <c r="BK30" s="312"/>
      <c r="BL30" s="313">
        <f t="shared" si="19"/>
        <v>0</v>
      </c>
      <c r="BM30" s="308"/>
      <c r="BN30" s="309"/>
      <c r="BO30" s="310">
        <f t="shared" si="20"/>
        <v>0</v>
      </c>
      <c r="BP30" s="311"/>
      <c r="BQ30" s="312"/>
      <c r="BR30" s="313">
        <f t="shared" si="21"/>
        <v>0</v>
      </c>
      <c r="BS30" s="308">
        <v>1</v>
      </c>
      <c r="BT30" s="309">
        <v>62524</v>
      </c>
      <c r="BU30" s="310">
        <f t="shared" si="22"/>
        <v>51157.1368</v>
      </c>
      <c r="BV30" s="385"/>
      <c r="BW30" s="386"/>
      <c r="BX30" s="313">
        <f t="shared" si="23"/>
        <v>0</v>
      </c>
      <c r="BY30" s="290"/>
    </row>
    <row r="31" spans="1:77">
      <c r="A31" s="324" t="s">
        <v>432</v>
      </c>
      <c r="B31" s="322" t="s">
        <v>813</v>
      </c>
      <c r="C31" s="321">
        <v>102067</v>
      </c>
      <c r="D31" s="445">
        <v>9</v>
      </c>
      <c r="E31" s="308"/>
      <c r="F31" s="309"/>
      <c r="G31" s="310">
        <f t="shared" si="0"/>
        <v>0</v>
      </c>
      <c r="H31" s="311"/>
      <c r="I31" s="312"/>
      <c r="J31" s="313">
        <f t="shared" si="1"/>
        <v>0</v>
      </c>
      <c r="K31" s="308"/>
      <c r="L31" s="309"/>
      <c r="M31" s="310">
        <f t="shared" si="2"/>
        <v>0</v>
      </c>
      <c r="N31" s="311"/>
      <c r="O31" s="312"/>
      <c r="P31" s="313">
        <f t="shared" si="3"/>
        <v>0</v>
      </c>
      <c r="Q31" s="308"/>
      <c r="R31" s="309"/>
      <c r="S31" s="310">
        <f t="shared" si="4"/>
        <v>0</v>
      </c>
      <c r="T31" s="311"/>
      <c r="U31" s="312"/>
      <c r="V31" s="313">
        <f t="shared" si="5"/>
        <v>0</v>
      </c>
      <c r="W31" s="308"/>
      <c r="X31" s="309"/>
      <c r="Y31" s="310">
        <f t="shared" si="6"/>
        <v>0</v>
      </c>
      <c r="Z31" s="311"/>
      <c r="AA31" s="312"/>
      <c r="AB31" s="313">
        <f t="shared" si="7"/>
        <v>0</v>
      </c>
      <c r="AC31" s="308"/>
      <c r="AD31" s="309"/>
      <c r="AE31" s="310">
        <f t="shared" si="8"/>
        <v>0</v>
      </c>
      <c r="AF31" s="311"/>
      <c r="AG31" s="312"/>
      <c r="AH31" s="313">
        <f t="shared" si="9"/>
        <v>0</v>
      </c>
      <c r="AI31" s="308">
        <v>74</v>
      </c>
      <c r="AJ31" s="309">
        <v>55104.810810810814</v>
      </c>
      <c r="AK31" s="310">
        <f t="shared" si="10"/>
        <v>4077756</v>
      </c>
      <c r="AL31" s="385">
        <v>81</v>
      </c>
      <c r="AM31" s="386">
        <v>54336.91358024691</v>
      </c>
      <c r="AN31" s="313">
        <f t="shared" si="11"/>
        <v>4401290</v>
      </c>
      <c r="AO31" s="308"/>
      <c r="AP31" s="309"/>
      <c r="AQ31" s="310">
        <f t="shared" si="12"/>
        <v>0</v>
      </c>
      <c r="AR31" s="311"/>
      <c r="AS31" s="312"/>
      <c r="AT31" s="313">
        <f t="shared" si="13"/>
        <v>0</v>
      </c>
      <c r="AU31" s="308"/>
      <c r="AV31" s="309"/>
      <c r="AW31" s="310">
        <f t="shared" si="14"/>
        <v>0</v>
      </c>
      <c r="AX31" s="311"/>
      <c r="AY31" s="312"/>
      <c r="AZ31" s="313">
        <f t="shared" si="15"/>
        <v>0</v>
      </c>
      <c r="BA31" s="308"/>
      <c r="BB31" s="309"/>
      <c r="BC31" s="310">
        <f t="shared" si="16"/>
        <v>0</v>
      </c>
      <c r="BD31" s="311"/>
      <c r="BE31" s="312"/>
      <c r="BF31" s="313">
        <f t="shared" si="17"/>
        <v>0</v>
      </c>
      <c r="BG31" s="308"/>
      <c r="BH31" s="309"/>
      <c r="BI31" s="310">
        <f t="shared" si="18"/>
        <v>0</v>
      </c>
      <c r="BJ31" s="311"/>
      <c r="BK31" s="312"/>
      <c r="BL31" s="313">
        <f t="shared" si="19"/>
        <v>0</v>
      </c>
      <c r="BM31" s="308"/>
      <c r="BN31" s="309"/>
      <c r="BO31" s="310">
        <f t="shared" si="20"/>
        <v>0</v>
      </c>
      <c r="BP31" s="311"/>
      <c r="BQ31" s="312"/>
      <c r="BR31" s="313">
        <f t="shared" si="21"/>
        <v>0</v>
      </c>
      <c r="BS31" s="308">
        <v>4</v>
      </c>
      <c r="BT31" s="309">
        <v>63376.25</v>
      </c>
      <c r="BU31" s="310">
        <f t="shared" si="22"/>
        <v>207417.791</v>
      </c>
      <c r="BV31" s="385"/>
      <c r="BW31" s="386"/>
      <c r="BX31" s="313">
        <f t="shared" si="23"/>
        <v>0</v>
      </c>
      <c r="BY31" s="290"/>
    </row>
    <row r="32" spans="1:77">
      <c r="A32" s="324" t="s">
        <v>432</v>
      </c>
      <c r="B32" s="322" t="s">
        <v>814</v>
      </c>
      <c r="C32" s="321">
        <v>251260</v>
      </c>
      <c r="D32" s="445">
        <v>9</v>
      </c>
      <c r="E32" s="308"/>
      <c r="F32" s="309"/>
      <c r="G32" s="310">
        <f t="shared" si="0"/>
        <v>0</v>
      </c>
      <c r="H32" s="311"/>
      <c r="I32" s="312"/>
      <c r="J32" s="313">
        <f t="shared" si="1"/>
        <v>0</v>
      </c>
      <c r="K32" s="308"/>
      <c r="L32" s="309"/>
      <c r="M32" s="310">
        <f t="shared" si="2"/>
        <v>0</v>
      </c>
      <c r="N32" s="311"/>
      <c r="O32" s="312"/>
      <c r="P32" s="313">
        <f t="shared" si="3"/>
        <v>0</v>
      </c>
      <c r="Q32" s="308"/>
      <c r="R32" s="309"/>
      <c r="S32" s="310">
        <f t="shared" si="4"/>
        <v>0</v>
      </c>
      <c r="T32" s="311"/>
      <c r="U32" s="312"/>
      <c r="V32" s="313">
        <f t="shared" si="5"/>
        <v>0</v>
      </c>
      <c r="W32" s="308"/>
      <c r="X32" s="309"/>
      <c r="Y32" s="310">
        <f t="shared" si="6"/>
        <v>0</v>
      </c>
      <c r="Z32" s="311"/>
      <c r="AA32" s="312"/>
      <c r="AB32" s="313">
        <f t="shared" si="7"/>
        <v>0</v>
      </c>
      <c r="AC32" s="308"/>
      <c r="AD32" s="309"/>
      <c r="AE32" s="310">
        <f t="shared" si="8"/>
        <v>0</v>
      </c>
      <c r="AF32" s="311"/>
      <c r="AG32" s="312"/>
      <c r="AH32" s="313">
        <f t="shared" si="9"/>
        <v>0</v>
      </c>
      <c r="AI32" s="308">
        <v>86</v>
      </c>
      <c r="AJ32" s="309">
        <v>51279.186046511626</v>
      </c>
      <c r="AK32" s="310">
        <f t="shared" si="10"/>
        <v>4410010</v>
      </c>
      <c r="AL32" s="385">
        <v>88</v>
      </c>
      <c r="AM32" s="386">
        <v>51725.965909090912</v>
      </c>
      <c r="AN32" s="313">
        <f t="shared" si="11"/>
        <v>4551885</v>
      </c>
      <c r="AO32" s="308"/>
      <c r="AP32" s="309"/>
      <c r="AQ32" s="310">
        <f t="shared" si="12"/>
        <v>0</v>
      </c>
      <c r="AR32" s="311"/>
      <c r="AS32" s="312"/>
      <c r="AT32" s="313">
        <f t="shared" si="13"/>
        <v>0</v>
      </c>
      <c r="AU32" s="308"/>
      <c r="AV32" s="309"/>
      <c r="AW32" s="310">
        <f t="shared" si="14"/>
        <v>0</v>
      </c>
      <c r="AX32" s="311"/>
      <c r="AY32" s="312"/>
      <c r="AZ32" s="313">
        <f t="shared" si="15"/>
        <v>0</v>
      </c>
      <c r="BA32" s="308"/>
      <c r="BB32" s="309"/>
      <c r="BC32" s="310">
        <f t="shared" si="16"/>
        <v>0</v>
      </c>
      <c r="BD32" s="311"/>
      <c r="BE32" s="312"/>
      <c r="BF32" s="313">
        <f t="shared" si="17"/>
        <v>0</v>
      </c>
      <c r="BG32" s="308"/>
      <c r="BH32" s="309"/>
      <c r="BI32" s="310">
        <f t="shared" si="18"/>
        <v>0</v>
      </c>
      <c r="BJ32" s="311"/>
      <c r="BK32" s="312"/>
      <c r="BL32" s="313">
        <f t="shared" si="19"/>
        <v>0</v>
      </c>
      <c r="BM32" s="308"/>
      <c r="BN32" s="309"/>
      <c r="BO32" s="310">
        <f t="shared" si="20"/>
        <v>0</v>
      </c>
      <c r="BP32" s="311"/>
      <c r="BQ32" s="312"/>
      <c r="BR32" s="313">
        <f t="shared" si="21"/>
        <v>0</v>
      </c>
      <c r="BS32" s="308"/>
      <c r="BT32" s="309"/>
      <c r="BU32" s="310">
        <f t="shared" si="22"/>
        <v>0</v>
      </c>
      <c r="BV32" s="385"/>
      <c r="BW32" s="386"/>
      <c r="BX32" s="313">
        <f t="shared" si="23"/>
        <v>0</v>
      </c>
      <c r="BY32" s="290"/>
    </row>
    <row r="33" spans="1:77">
      <c r="A33" s="324" t="s">
        <v>432</v>
      </c>
      <c r="B33" s="322" t="s">
        <v>815</v>
      </c>
      <c r="C33" s="321">
        <v>101295</v>
      </c>
      <c r="D33" s="445">
        <v>9</v>
      </c>
      <c r="E33" s="308"/>
      <c r="F33" s="309"/>
      <c r="G33" s="310">
        <f t="shared" si="0"/>
        <v>0</v>
      </c>
      <c r="H33" s="311"/>
      <c r="I33" s="312"/>
      <c r="J33" s="313">
        <f t="shared" si="1"/>
        <v>0</v>
      </c>
      <c r="K33" s="308"/>
      <c r="L33" s="309"/>
      <c r="M33" s="310">
        <f t="shared" si="2"/>
        <v>0</v>
      </c>
      <c r="N33" s="311"/>
      <c r="O33" s="312"/>
      <c r="P33" s="313">
        <f t="shared" si="3"/>
        <v>0</v>
      </c>
      <c r="Q33" s="308"/>
      <c r="R33" s="309"/>
      <c r="S33" s="310">
        <f t="shared" si="4"/>
        <v>0</v>
      </c>
      <c r="T33" s="311"/>
      <c r="U33" s="312"/>
      <c r="V33" s="313">
        <f t="shared" si="5"/>
        <v>0</v>
      </c>
      <c r="W33" s="308"/>
      <c r="X33" s="309"/>
      <c r="Y33" s="310">
        <f t="shared" si="6"/>
        <v>0</v>
      </c>
      <c r="Z33" s="311"/>
      <c r="AA33" s="312"/>
      <c r="AB33" s="313">
        <f t="shared" si="7"/>
        <v>0</v>
      </c>
      <c r="AC33" s="308"/>
      <c r="AD33" s="309"/>
      <c r="AE33" s="310">
        <f t="shared" si="8"/>
        <v>0</v>
      </c>
      <c r="AF33" s="311"/>
      <c r="AG33" s="312"/>
      <c r="AH33" s="313">
        <f t="shared" si="9"/>
        <v>0</v>
      </c>
      <c r="AI33" s="308">
        <v>117</v>
      </c>
      <c r="AJ33" s="309">
        <v>52773.025641025641</v>
      </c>
      <c r="AK33" s="310">
        <f t="shared" si="10"/>
        <v>6174444</v>
      </c>
      <c r="AL33" s="385">
        <v>123</v>
      </c>
      <c r="AM33" s="386">
        <v>51992.642276422761</v>
      </c>
      <c r="AN33" s="313">
        <f t="shared" si="11"/>
        <v>6395095</v>
      </c>
      <c r="AO33" s="308"/>
      <c r="AP33" s="309"/>
      <c r="AQ33" s="310">
        <f t="shared" si="12"/>
        <v>0</v>
      </c>
      <c r="AR33" s="311"/>
      <c r="AS33" s="312"/>
      <c r="AT33" s="313">
        <f t="shared" si="13"/>
        <v>0</v>
      </c>
      <c r="AU33" s="308"/>
      <c r="AV33" s="309"/>
      <c r="AW33" s="310">
        <f t="shared" si="14"/>
        <v>0</v>
      </c>
      <c r="AX33" s="311"/>
      <c r="AY33" s="312"/>
      <c r="AZ33" s="313">
        <f t="shared" si="15"/>
        <v>0</v>
      </c>
      <c r="BA33" s="308"/>
      <c r="BB33" s="309"/>
      <c r="BC33" s="310">
        <f t="shared" si="16"/>
        <v>0</v>
      </c>
      <c r="BD33" s="311"/>
      <c r="BE33" s="312"/>
      <c r="BF33" s="313">
        <f t="shared" si="17"/>
        <v>0</v>
      </c>
      <c r="BG33" s="308"/>
      <c r="BH33" s="309"/>
      <c r="BI33" s="310">
        <f t="shared" si="18"/>
        <v>0</v>
      </c>
      <c r="BJ33" s="311"/>
      <c r="BK33" s="312"/>
      <c r="BL33" s="313">
        <f t="shared" si="19"/>
        <v>0</v>
      </c>
      <c r="BM33" s="308"/>
      <c r="BN33" s="309"/>
      <c r="BO33" s="310">
        <f t="shared" si="20"/>
        <v>0</v>
      </c>
      <c r="BP33" s="311"/>
      <c r="BQ33" s="312"/>
      <c r="BR33" s="313">
        <f t="shared" si="21"/>
        <v>0</v>
      </c>
      <c r="BS33" s="308"/>
      <c r="BT33" s="309"/>
      <c r="BU33" s="310">
        <f t="shared" si="22"/>
        <v>0</v>
      </c>
      <c r="BV33" s="385"/>
      <c r="BW33" s="386"/>
      <c r="BX33" s="313">
        <f t="shared" si="23"/>
        <v>0</v>
      </c>
      <c r="BY33" s="290"/>
    </row>
    <row r="34" spans="1:77">
      <c r="A34" s="324" t="s">
        <v>432</v>
      </c>
      <c r="B34" s="322" t="s">
        <v>816</v>
      </c>
      <c r="C34" s="321">
        <v>101949</v>
      </c>
      <c r="D34" s="445">
        <v>10</v>
      </c>
      <c r="E34" s="308"/>
      <c r="F34" s="309"/>
      <c r="G34" s="310">
        <f t="shared" si="0"/>
        <v>0</v>
      </c>
      <c r="H34" s="311"/>
      <c r="I34" s="312"/>
      <c r="J34" s="313">
        <f t="shared" si="1"/>
        <v>0</v>
      </c>
      <c r="K34" s="308"/>
      <c r="L34" s="309"/>
      <c r="M34" s="310">
        <f t="shared" si="2"/>
        <v>0</v>
      </c>
      <c r="N34" s="311"/>
      <c r="O34" s="312"/>
      <c r="P34" s="313">
        <f t="shared" si="3"/>
        <v>0</v>
      </c>
      <c r="Q34" s="308"/>
      <c r="R34" s="309"/>
      <c r="S34" s="310">
        <f t="shared" si="4"/>
        <v>0</v>
      </c>
      <c r="T34" s="311"/>
      <c r="U34" s="312"/>
      <c r="V34" s="313">
        <f t="shared" si="5"/>
        <v>0</v>
      </c>
      <c r="W34" s="308"/>
      <c r="X34" s="309"/>
      <c r="Y34" s="310">
        <f t="shared" si="6"/>
        <v>0</v>
      </c>
      <c r="Z34" s="311"/>
      <c r="AA34" s="312"/>
      <c r="AB34" s="313">
        <f t="shared" si="7"/>
        <v>0</v>
      </c>
      <c r="AC34" s="308"/>
      <c r="AD34" s="309"/>
      <c r="AE34" s="310">
        <f t="shared" si="8"/>
        <v>0</v>
      </c>
      <c r="AF34" s="311"/>
      <c r="AG34" s="312"/>
      <c r="AH34" s="313">
        <f t="shared" si="9"/>
        <v>0</v>
      </c>
      <c r="AI34" s="308">
        <v>38</v>
      </c>
      <c r="AJ34" s="309">
        <v>51761.026315789473</v>
      </c>
      <c r="AK34" s="310">
        <f t="shared" si="10"/>
        <v>1966919</v>
      </c>
      <c r="AL34" s="385">
        <v>37</v>
      </c>
      <c r="AM34" s="386">
        <v>52329.135135135133</v>
      </c>
      <c r="AN34" s="313">
        <f t="shared" si="11"/>
        <v>1936178</v>
      </c>
      <c r="AO34" s="308"/>
      <c r="AP34" s="309"/>
      <c r="AQ34" s="310">
        <f t="shared" si="12"/>
        <v>0</v>
      </c>
      <c r="AR34" s="311"/>
      <c r="AS34" s="312"/>
      <c r="AT34" s="313">
        <f t="shared" si="13"/>
        <v>0</v>
      </c>
      <c r="AU34" s="308"/>
      <c r="AV34" s="309"/>
      <c r="AW34" s="310">
        <f t="shared" si="14"/>
        <v>0</v>
      </c>
      <c r="AX34" s="311"/>
      <c r="AY34" s="312"/>
      <c r="AZ34" s="313">
        <f t="shared" si="15"/>
        <v>0</v>
      </c>
      <c r="BA34" s="308"/>
      <c r="BB34" s="309"/>
      <c r="BC34" s="310">
        <f t="shared" si="16"/>
        <v>0</v>
      </c>
      <c r="BD34" s="311"/>
      <c r="BE34" s="312"/>
      <c r="BF34" s="313">
        <f t="shared" si="17"/>
        <v>0</v>
      </c>
      <c r="BG34" s="308"/>
      <c r="BH34" s="309"/>
      <c r="BI34" s="310">
        <f t="shared" si="18"/>
        <v>0</v>
      </c>
      <c r="BJ34" s="311"/>
      <c r="BK34" s="312"/>
      <c r="BL34" s="313">
        <f t="shared" si="19"/>
        <v>0</v>
      </c>
      <c r="BM34" s="308"/>
      <c r="BN34" s="309"/>
      <c r="BO34" s="310">
        <f t="shared" si="20"/>
        <v>0</v>
      </c>
      <c r="BP34" s="311"/>
      <c r="BQ34" s="312"/>
      <c r="BR34" s="313">
        <f t="shared" si="21"/>
        <v>0</v>
      </c>
      <c r="BS34" s="308">
        <v>20</v>
      </c>
      <c r="BT34" s="309">
        <v>43933.599999999999</v>
      </c>
      <c r="BU34" s="310">
        <f t="shared" si="22"/>
        <v>718929.43040000007</v>
      </c>
      <c r="BV34" s="385">
        <v>21</v>
      </c>
      <c r="BW34" s="386">
        <v>46974.857142857145</v>
      </c>
      <c r="BX34" s="313">
        <f t="shared" si="23"/>
        <v>807131.39040000003</v>
      </c>
      <c r="BY34" s="290"/>
    </row>
    <row r="35" spans="1:77">
      <c r="A35" s="324" t="s">
        <v>432</v>
      </c>
      <c r="B35" s="322" t="s">
        <v>817</v>
      </c>
      <c r="C35" s="321">
        <v>100760</v>
      </c>
      <c r="D35" s="445">
        <v>10</v>
      </c>
      <c r="E35" s="308"/>
      <c r="F35" s="309"/>
      <c r="G35" s="310">
        <f t="shared" si="0"/>
        <v>0</v>
      </c>
      <c r="H35" s="311"/>
      <c r="I35" s="312"/>
      <c r="J35" s="313">
        <f t="shared" si="1"/>
        <v>0</v>
      </c>
      <c r="K35" s="308"/>
      <c r="L35" s="309"/>
      <c r="M35" s="310">
        <f t="shared" si="2"/>
        <v>0</v>
      </c>
      <c r="N35" s="311"/>
      <c r="O35" s="312"/>
      <c r="P35" s="313">
        <f t="shared" si="3"/>
        <v>0</v>
      </c>
      <c r="Q35" s="308"/>
      <c r="R35" s="309"/>
      <c r="S35" s="310">
        <f t="shared" si="4"/>
        <v>0</v>
      </c>
      <c r="T35" s="311"/>
      <c r="U35" s="312"/>
      <c r="V35" s="313">
        <f t="shared" si="5"/>
        <v>0</v>
      </c>
      <c r="W35" s="308"/>
      <c r="X35" s="309"/>
      <c r="Y35" s="310">
        <f t="shared" si="6"/>
        <v>0</v>
      </c>
      <c r="Z35" s="311"/>
      <c r="AA35" s="312"/>
      <c r="AB35" s="313">
        <f t="shared" si="7"/>
        <v>0</v>
      </c>
      <c r="AC35" s="308"/>
      <c r="AD35" s="309"/>
      <c r="AE35" s="310">
        <f t="shared" si="8"/>
        <v>0</v>
      </c>
      <c r="AF35" s="311"/>
      <c r="AG35" s="312"/>
      <c r="AH35" s="313">
        <f t="shared" si="9"/>
        <v>0</v>
      </c>
      <c r="AI35" s="308">
        <v>60</v>
      </c>
      <c r="AJ35" s="309">
        <v>52557.26666666667</v>
      </c>
      <c r="AK35" s="310">
        <f t="shared" si="10"/>
        <v>3153436</v>
      </c>
      <c r="AL35" s="385">
        <v>57</v>
      </c>
      <c r="AM35" s="386">
        <v>54774.894736842107</v>
      </c>
      <c r="AN35" s="313">
        <f t="shared" si="11"/>
        <v>3122169</v>
      </c>
      <c r="AO35" s="308"/>
      <c r="AP35" s="309"/>
      <c r="AQ35" s="310">
        <f t="shared" si="12"/>
        <v>0</v>
      </c>
      <c r="AR35" s="311"/>
      <c r="AS35" s="312"/>
      <c r="AT35" s="313">
        <f t="shared" si="13"/>
        <v>0</v>
      </c>
      <c r="AU35" s="308"/>
      <c r="AV35" s="309"/>
      <c r="AW35" s="310">
        <f t="shared" si="14"/>
        <v>0</v>
      </c>
      <c r="AX35" s="311"/>
      <c r="AY35" s="312"/>
      <c r="AZ35" s="313">
        <f t="shared" si="15"/>
        <v>0</v>
      </c>
      <c r="BA35" s="308"/>
      <c r="BB35" s="309"/>
      <c r="BC35" s="310">
        <f t="shared" si="16"/>
        <v>0</v>
      </c>
      <c r="BD35" s="311"/>
      <c r="BE35" s="312"/>
      <c r="BF35" s="313">
        <f t="shared" si="17"/>
        <v>0</v>
      </c>
      <c r="BG35" s="308"/>
      <c r="BH35" s="309"/>
      <c r="BI35" s="310">
        <f t="shared" si="18"/>
        <v>0</v>
      </c>
      <c r="BJ35" s="311"/>
      <c r="BK35" s="312"/>
      <c r="BL35" s="313">
        <f t="shared" si="19"/>
        <v>0</v>
      </c>
      <c r="BM35" s="308"/>
      <c r="BN35" s="309"/>
      <c r="BO35" s="310">
        <f t="shared" si="20"/>
        <v>0</v>
      </c>
      <c r="BP35" s="311"/>
      <c r="BQ35" s="312"/>
      <c r="BR35" s="313">
        <f t="shared" si="21"/>
        <v>0</v>
      </c>
      <c r="BS35" s="308"/>
      <c r="BT35" s="309"/>
      <c r="BU35" s="310">
        <f t="shared" si="22"/>
        <v>0</v>
      </c>
      <c r="BV35" s="385"/>
      <c r="BW35" s="386"/>
      <c r="BX35" s="313">
        <f t="shared" si="23"/>
        <v>0</v>
      </c>
      <c r="BY35" s="290"/>
    </row>
    <row r="36" spans="1:77">
      <c r="A36" s="324" t="s">
        <v>432</v>
      </c>
      <c r="B36" s="322" t="s">
        <v>818</v>
      </c>
      <c r="C36" s="321">
        <v>101028</v>
      </c>
      <c r="D36" s="445">
        <v>10</v>
      </c>
      <c r="E36" s="308"/>
      <c r="F36" s="309"/>
      <c r="G36" s="310">
        <f t="shared" si="0"/>
        <v>0</v>
      </c>
      <c r="H36" s="311"/>
      <c r="I36" s="312"/>
      <c r="J36" s="313">
        <f t="shared" si="1"/>
        <v>0</v>
      </c>
      <c r="K36" s="308"/>
      <c r="L36" s="309"/>
      <c r="M36" s="310">
        <f t="shared" si="2"/>
        <v>0</v>
      </c>
      <c r="N36" s="311"/>
      <c r="O36" s="312"/>
      <c r="P36" s="313">
        <f t="shared" si="3"/>
        <v>0</v>
      </c>
      <c r="Q36" s="308"/>
      <c r="R36" s="309"/>
      <c r="S36" s="310">
        <f t="shared" si="4"/>
        <v>0</v>
      </c>
      <c r="T36" s="311"/>
      <c r="U36" s="312"/>
      <c r="V36" s="313">
        <f t="shared" si="5"/>
        <v>0</v>
      </c>
      <c r="W36" s="308"/>
      <c r="X36" s="309"/>
      <c r="Y36" s="310">
        <f t="shared" si="6"/>
        <v>0</v>
      </c>
      <c r="Z36" s="311"/>
      <c r="AA36" s="312"/>
      <c r="AB36" s="313">
        <f t="shared" si="7"/>
        <v>0</v>
      </c>
      <c r="AC36" s="308"/>
      <c r="AD36" s="309"/>
      <c r="AE36" s="310">
        <f t="shared" si="8"/>
        <v>0</v>
      </c>
      <c r="AF36" s="311"/>
      <c r="AG36" s="312"/>
      <c r="AH36" s="313">
        <f t="shared" si="9"/>
        <v>0</v>
      </c>
      <c r="AI36" s="308">
        <v>33</v>
      </c>
      <c r="AJ36" s="309">
        <v>52256.878787878784</v>
      </c>
      <c r="AK36" s="310">
        <f t="shared" si="10"/>
        <v>1724477</v>
      </c>
      <c r="AL36" s="385">
        <v>31</v>
      </c>
      <c r="AM36" s="386">
        <v>54890.870967741932</v>
      </c>
      <c r="AN36" s="313">
        <f t="shared" si="11"/>
        <v>1701617</v>
      </c>
      <c r="AO36" s="308"/>
      <c r="AP36" s="309"/>
      <c r="AQ36" s="310">
        <f t="shared" si="12"/>
        <v>0</v>
      </c>
      <c r="AR36" s="311"/>
      <c r="AS36" s="312"/>
      <c r="AT36" s="313">
        <f t="shared" si="13"/>
        <v>0</v>
      </c>
      <c r="AU36" s="308"/>
      <c r="AV36" s="309"/>
      <c r="AW36" s="310">
        <f t="shared" si="14"/>
        <v>0</v>
      </c>
      <c r="AX36" s="311"/>
      <c r="AY36" s="312"/>
      <c r="AZ36" s="313">
        <f t="shared" si="15"/>
        <v>0</v>
      </c>
      <c r="BA36" s="308"/>
      <c r="BB36" s="309"/>
      <c r="BC36" s="310">
        <f t="shared" si="16"/>
        <v>0</v>
      </c>
      <c r="BD36" s="311"/>
      <c r="BE36" s="312"/>
      <c r="BF36" s="313">
        <f t="shared" si="17"/>
        <v>0</v>
      </c>
      <c r="BG36" s="308"/>
      <c r="BH36" s="309"/>
      <c r="BI36" s="310">
        <f t="shared" si="18"/>
        <v>0</v>
      </c>
      <c r="BJ36" s="311"/>
      <c r="BK36" s="312"/>
      <c r="BL36" s="313">
        <f t="shared" si="19"/>
        <v>0</v>
      </c>
      <c r="BM36" s="308"/>
      <c r="BN36" s="309"/>
      <c r="BO36" s="310">
        <f t="shared" si="20"/>
        <v>0</v>
      </c>
      <c r="BP36" s="311"/>
      <c r="BQ36" s="312"/>
      <c r="BR36" s="313">
        <f t="shared" si="21"/>
        <v>0</v>
      </c>
      <c r="BS36" s="308"/>
      <c r="BT36" s="309"/>
      <c r="BU36" s="310">
        <f t="shared" si="22"/>
        <v>0</v>
      </c>
      <c r="BV36" s="385"/>
      <c r="BW36" s="386"/>
      <c r="BX36" s="313">
        <f t="shared" si="23"/>
        <v>0</v>
      </c>
      <c r="BY36" s="290"/>
    </row>
    <row r="37" spans="1:77">
      <c r="A37" s="324" t="s">
        <v>432</v>
      </c>
      <c r="B37" s="322" t="s">
        <v>819</v>
      </c>
      <c r="C37" s="321">
        <v>101143</v>
      </c>
      <c r="D37" s="445">
        <v>10</v>
      </c>
      <c r="E37" s="308"/>
      <c r="F37" s="309"/>
      <c r="G37" s="310">
        <f t="shared" si="0"/>
        <v>0</v>
      </c>
      <c r="H37" s="311"/>
      <c r="I37" s="312"/>
      <c r="J37" s="313">
        <f t="shared" si="1"/>
        <v>0</v>
      </c>
      <c r="K37" s="308"/>
      <c r="L37" s="309"/>
      <c r="M37" s="310">
        <f t="shared" si="2"/>
        <v>0</v>
      </c>
      <c r="N37" s="311"/>
      <c r="O37" s="312"/>
      <c r="P37" s="313">
        <f t="shared" si="3"/>
        <v>0</v>
      </c>
      <c r="Q37" s="308"/>
      <c r="R37" s="309"/>
      <c r="S37" s="310">
        <f t="shared" si="4"/>
        <v>0</v>
      </c>
      <c r="T37" s="311"/>
      <c r="U37" s="312"/>
      <c r="V37" s="313">
        <f t="shared" si="5"/>
        <v>0</v>
      </c>
      <c r="W37" s="308"/>
      <c r="X37" s="309"/>
      <c r="Y37" s="310">
        <f t="shared" si="6"/>
        <v>0</v>
      </c>
      <c r="Z37" s="311"/>
      <c r="AA37" s="312"/>
      <c r="AB37" s="313">
        <f t="shared" si="7"/>
        <v>0</v>
      </c>
      <c r="AC37" s="308"/>
      <c r="AD37" s="309"/>
      <c r="AE37" s="310">
        <f t="shared" si="8"/>
        <v>0</v>
      </c>
      <c r="AF37" s="311"/>
      <c r="AG37" s="312"/>
      <c r="AH37" s="313">
        <f t="shared" si="9"/>
        <v>0</v>
      </c>
      <c r="AI37" s="308">
        <v>55</v>
      </c>
      <c r="AJ37" s="309">
        <v>58716.781818181815</v>
      </c>
      <c r="AK37" s="310">
        <f t="shared" si="10"/>
        <v>3229423</v>
      </c>
      <c r="AL37" s="385">
        <v>62</v>
      </c>
      <c r="AM37" s="386">
        <v>51593.758064516129</v>
      </c>
      <c r="AN37" s="313">
        <f t="shared" si="11"/>
        <v>3198813</v>
      </c>
      <c r="AO37" s="308"/>
      <c r="AP37" s="309"/>
      <c r="AQ37" s="310">
        <f t="shared" si="12"/>
        <v>0</v>
      </c>
      <c r="AR37" s="311"/>
      <c r="AS37" s="312"/>
      <c r="AT37" s="313">
        <f t="shared" si="13"/>
        <v>0</v>
      </c>
      <c r="AU37" s="308"/>
      <c r="AV37" s="309"/>
      <c r="AW37" s="310">
        <f t="shared" si="14"/>
        <v>0</v>
      </c>
      <c r="AX37" s="311"/>
      <c r="AY37" s="312"/>
      <c r="AZ37" s="313">
        <f t="shared" si="15"/>
        <v>0</v>
      </c>
      <c r="BA37" s="308"/>
      <c r="BB37" s="309"/>
      <c r="BC37" s="310">
        <f t="shared" si="16"/>
        <v>0</v>
      </c>
      <c r="BD37" s="311"/>
      <c r="BE37" s="312"/>
      <c r="BF37" s="313">
        <f t="shared" si="17"/>
        <v>0</v>
      </c>
      <c r="BG37" s="308"/>
      <c r="BH37" s="309"/>
      <c r="BI37" s="310">
        <f t="shared" si="18"/>
        <v>0</v>
      </c>
      <c r="BJ37" s="311"/>
      <c r="BK37" s="312"/>
      <c r="BL37" s="313">
        <f t="shared" si="19"/>
        <v>0</v>
      </c>
      <c r="BM37" s="308"/>
      <c r="BN37" s="309"/>
      <c r="BO37" s="310">
        <f t="shared" si="20"/>
        <v>0</v>
      </c>
      <c r="BP37" s="311"/>
      <c r="BQ37" s="312"/>
      <c r="BR37" s="313">
        <f t="shared" si="21"/>
        <v>0</v>
      </c>
      <c r="BS37" s="308">
        <v>3</v>
      </c>
      <c r="BT37" s="309">
        <v>40721.666666666664</v>
      </c>
      <c r="BU37" s="310">
        <f t="shared" si="22"/>
        <v>99955.403000000006</v>
      </c>
      <c r="BV37" s="385"/>
      <c r="BW37" s="386"/>
      <c r="BX37" s="313">
        <f t="shared" si="23"/>
        <v>0</v>
      </c>
      <c r="BY37" s="290"/>
    </row>
    <row r="38" spans="1:77">
      <c r="A38" s="324" t="s">
        <v>432</v>
      </c>
      <c r="B38" s="322" t="s">
        <v>820</v>
      </c>
      <c r="C38" s="321">
        <v>101301</v>
      </c>
      <c r="D38" s="445">
        <v>10</v>
      </c>
      <c r="E38" s="308"/>
      <c r="F38" s="309"/>
      <c r="G38" s="310">
        <f t="shared" si="0"/>
        <v>0</v>
      </c>
      <c r="H38" s="311"/>
      <c r="I38" s="312"/>
      <c r="J38" s="313">
        <f t="shared" si="1"/>
        <v>0</v>
      </c>
      <c r="K38" s="308"/>
      <c r="L38" s="309"/>
      <c r="M38" s="310">
        <f t="shared" si="2"/>
        <v>0</v>
      </c>
      <c r="N38" s="311"/>
      <c r="O38" s="312"/>
      <c r="P38" s="313">
        <f t="shared" si="3"/>
        <v>0</v>
      </c>
      <c r="Q38" s="308"/>
      <c r="R38" s="309"/>
      <c r="S38" s="310">
        <f t="shared" si="4"/>
        <v>0</v>
      </c>
      <c r="T38" s="311"/>
      <c r="U38" s="312"/>
      <c r="V38" s="313">
        <f t="shared" si="5"/>
        <v>0</v>
      </c>
      <c r="W38" s="308"/>
      <c r="X38" s="309"/>
      <c r="Y38" s="310">
        <f t="shared" si="6"/>
        <v>0</v>
      </c>
      <c r="Z38" s="311"/>
      <c r="AA38" s="312"/>
      <c r="AB38" s="313">
        <f t="shared" si="7"/>
        <v>0</v>
      </c>
      <c r="AC38" s="308"/>
      <c r="AD38" s="309"/>
      <c r="AE38" s="310">
        <f t="shared" si="8"/>
        <v>0</v>
      </c>
      <c r="AF38" s="311"/>
      <c r="AG38" s="312"/>
      <c r="AH38" s="313">
        <f t="shared" si="9"/>
        <v>0</v>
      </c>
      <c r="AI38" s="308">
        <v>40</v>
      </c>
      <c r="AJ38" s="309">
        <v>52404.800000000003</v>
      </c>
      <c r="AK38" s="310">
        <f t="shared" si="10"/>
        <v>2096192</v>
      </c>
      <c r="AL38" s="385">
        <v>45</v>
      </c>
      <c r="AM38" s="386">
        <v>51234.400000000001</v>
      </c>
      <c r="AN38" s="313">
        <f t="shared" si="11"/>
        <v>2305548</v>
      </c>
      <c r="AO38" s="308"/>
      <c r="AP38" s="309"/>
      <c r="AQ38" s="310">
        <f t="shared" si="12"/>
        <v>0</v>
      </c>
      <c r="AR38" s="311"/>
      <c r="AS38" s="312"/>
      <c r="AT38" s="313">
        <f t="shared" si="13"/>
        <v>0</v>
      </c>
      <c r="AU38" s="308"/>
      <c r="AV38" s="309"/>
      <c r="AW38" s="310">
        <f t="shared" si="14"/>
        <v>0</v>
      </c>
      <c r="AX38" s="311"/>
      <c r="AY38" s="312"/>
      <c r="AZ38" s="313">
        <f t="shared" si="15"/>
        <v>0</v>
      </c>
      <c r="BA38" s="308"/>
      <c r="BB38" s="309"/>
      <c r="BC38" s="310">
        <f t="shared" si="16"/>
        <v>0</v>
      </c>
      <c r="BD38" s="311"/>
      <c r="BE38" s="312"/>
      <c r="BF38" s="313">
        <f t="shared" si="17"/>
        <v>0</v>
      </c>
      <c r="BG38" s="308"/>
      <c r="BH38" s="309"/>
      <c r="BI38" s="310">
        <f t="shared" si="18"/>
        <v>0</v>
      </c>
      <c r="BJ38" s="311"/>
      <c r="BK38" s="312"/>
      <c r="BL38" s="313">
        <f t="shared" si="19"/>
        <v>0</v>
      </c>
      <c r="BM38" s="308"/>
      <c r="BN38" s="309"/>
      <c r="BO38" s="310">
        <f t="shared" si="20"/>
        <v>0</v>
      </c>
      <c r="BP38" s="311"/>
      <c r="BQ38" s="312"/>
      <c r="BR38" s="313">
        <f t="shared" si="21"/>
        <v>0</v>
      </c>
      <c r="BS38" s="308"/>
      <c r="BT38" s="309"/>
      <c r="BU38" s="310">
        <f t="shared" si="22"/>
        <v>0</v>
      </c>
      <c r="BV38" s="385"/>
      <c r="BW38" s="386"/>
      <c r="BX38" s="313">
        <f t="shared" si="23"/>
        <v>0</v>
      </c>
      <c r="BY38" s="290"/>
    </row>
    <row r="39" spans="1:77">
      <c r="A39" s="324" t="s">
        <v>432</v>
      </c>
      <c r="B39" s="322" t="s">
        <v>821</v>
      </c>
      <c r="C39" s="321">
        <v>101499</v>
      </c>
      <c r="D39" s="445">
        <v>10</v>
      </c>
      <c r="E39" s="308"/>
      <c r="F39" s="309"/>
      <c r="G39" s="310">
        <f t="shared" si="0"/>
        <v>0</v>
      </c>
      <c r="H39" s="311"/>
      <c r="I39" s="312"/>
      <c r="J39" s="313">
        <f t="shared" si="1"/>
        <v>0</v>
      </c>
      <c r="K39" s="308"/>
      <c r="L39" s="309"/>
      <c r="M39" s="310">
        <f t="shared" si="2"/>
        <v>0</v>
      </c>
      <c r="N39" s="311"/>
      <c r="O39" s="312"/>
      <c r="P39" s="313">
        <f t="shared" si="3"/>
        <v>0</v>
      </c>
      <c r="Q39" s="308"/>
      <c r="R39" s="309"/>
      <c r="S39" s="310">
        <f t="shared" si="4"/>
        <v>0</v>
      </c>
      <c r="T39" s="311"/>
      <c r="U39" s="312"/>
      <c r="V39" s="313">
        <f t="shared" si="5"/>
        <v>0</v>
      </c>
      <c r="W39" s="308"/>
      <c r="X39" s="309"/>
      <c r="Y39" s="310">
        <f t="shared" si="6"/>
        <v>0</v>
      </c>
      <c r="Z39" s="311"/>
      <c r="AA39" s="312"/>
      <c r="AB39" s="313">
        <f t="shared" si="7"/>
        <v>0</v>
      </c>
      <c r="AC39" s="308"/>
      <c r="AD39" s="309"/>
      <c r="AE39" s="310">
        <f t="shared" si="8"/>
        <v>0</v>
      </c>
      <c r="AF39" s="311"/>
      <c r="AG39" s="312"/>
      <c r="AH39" s="313">
        <f t="shared" si="9"/>
        <v>0</v>
      </c>
      <c r="AI39" s="308">
        <v>39</v>
      </c>
      <c r="AJ39" s="309">
        <v>53384.307692307695</v>
      </c>
      <c r="AK39" s="310">
        <f t="shared" si="10"/>
        <v>2081988</v>
      </c>
      <c r="AL39" s="385">
        <v>37</v>
      </c>
      <c r="AM39" s="386">
        <v>52106.486486486487</v>
      </c>
      <c r="AN39" s="313">
        <f t="shared" si="11"/>
        <v>1927940</v>
      </c>
      <c r="AO39" s="308"/>
      <c r="AP39" s="309"/>
      <c r="AQ39" s="310">
        <f t="shared" si="12"/>
        <v>0</v>
      </c>
      <c r="AR39" s="311"/>
      <c r="AS39" s="312"/>
      <c r="AT39" s="313">
        <f t="shared" si="13"/>
        <v>0</v>
      </c>
      <c r="AU39" s="308"/>
      <c r="AV39" s="309"/>
      <c r="AW39" s="310">
        <f t="shared" si="14"/>
        <v>0</v>
      </c>
      <c r="AX39" s="311"/>
      <c r="AY39" s="312"/>
      <c r="AZ39" s="313">
        <f t="shared" si="15"/>
        <v>0</v>
      </c>
      <c r="BA39" s="308"/>
      <c r="BB39" s="309"/>
      <c r="BC39" s="310">
        <f t="shared" si="16"/>
        <v>0</v>
      </c>
      <c r="BD39" s="311"/>
      <c r="BE39" s="312"/>
      <c r="BF39" s="313">
        <f t="shared" si="17"/>
        <v>0</v>
      </c>
      <c r="BG39" s="308"/>
      <c r="BH39" s="309"/>
      <c r="BI39" s="310">
        <f t="shared" si="18"/>
        <v>0</v>
      </c>
      <c r="BJ39" s="311"/>
      <c r="BK39" s="312"/>
      <c r="BL39" s="313">
        <f t="shared" si="19"/>
        <v>0</v>
      </c>
      <c r="BM39" s="308"/>
      <c r="BN39" s="309"/>
      <c r="BO39" s="310">
        <f t="shared" si="20"/>
        <v>0</v>
      </c>
      <c r="BP39" s="311"/>
      <c r="BQ39" s="312"/>
      <c r="BR39" s="313">
        <f t="shared" si="21"/>
        <v>0</v>
      </c>
      <c r="BS39" s="308">
        <v>3</v>
      </c>
      <c r="BT39" s="309">
        <v>79758.666666666672</v>
      </c>
      <c r="BU39" s="310">
        <f t="shared" si="22"/>
        <v>195775.6232</v>
      </c>
      <c r="BV39" s="385">
        <v>4</v>
      </c>
      <c r="BW39" s="386">
        <v>77185.5</v>
      </c>
      <c r="BX39" s="313">
        <f t="shared" si="23"/>
        <v>252612.70440000002</v>
      </c>
      <c r="BY39" s="290"/>
    </row>
    <row r="40" spans="1:77">
      <c r="A40" s="324" t="s">
        <v>432</v>
      </c>
      <c r="B40" s="322" t="s">
        <v>822</v>
      </c>
      <c r="C40" s="321">
        <v>101602</v>
      </c>
      <c r="D40" s="445">
        <v>10</v>
      </c>
      <c r="E40" s="308"/>
      <c r="F40" s="309"/>
      <c r="G40" s="310">
        <f t="shared" si="0"/>
        <v>0</v>
      </c>
      <c r="H40" s="311"/>
      <c r="I40" s="312"/>
      <c r="J40" s="313">
        <f t="shared" si="1"/>
        <v>0</v>
      </c>
      <c r="K40" s="308"/>
      <c r="L40" s="309"/>
      <c r="M40" s="310">
        <f t="shared" si="2"/>
        <v>0</v>
      </c>
      <c r="N40" s="311"/>
      <c r="O40" s="312"/>
      <c r="P40" s="313">
        <f t="shared" si="3"/>
        <v>0</v>
      </c>
      <c r="Q40" s="308"/>
      <c r="R40" s="309"/>
      <c r="S40" s="310">
        <f t="shared" si="4"/>
        <v>0</v>
      </c>
      <c r="T40" s="311"/>
      <c r="U40" s="312"/>
      <c r="V40" s="313">
        <f t="shared" si="5"/>
        <v>0</v>
      </c>
      <c r="W40" s="308"/>
      <c r="X40" s="309"/>
      <c r="Y40" s="310">
        <f t="shared" si="6"/>
        <v>0</v>
      </c>
      <c r="Z40" s="311"/>
      <c r="AA40" s="312"/>
      <c r="AB40" s="313">
        <f t="shared" si="7"/>
        <v>0</v>
      </c>
      <c r="AC40" s="308"/>
      <c r="AD40" s="309"/>
      <c r="AE40" s="310">
        <f t="shared" si="8"/>
        <v>0</v>
      </c>
      <c r="AF40" s="311"/>
      <c r="AG40" s="312"/>
      <c r="AH40" s="313">
        <f t="shared" si="9"/>
        <v>0</v>
      </c>
      <c r="AI40" s="308">
        <v>53</v>
      </c>
      <c r="AJ40" s="309">
        <v>52609.792452830188</v>
      </c>
      <c r="AK40" s="310">
        <f t="shared" si="10"/>
        <v>2788319</v>
      </c>
      <c r="AL40" s="385">
        <v>51</v>
      </c>
      <c r="AM40" s="386">
        <v>51954.156862745098</v>
      </c>
      <c r="AN40" s="313">
        <f t="shared" si="11"/>
        <v>2649662</v>
      </c>
      <c r="AO40" s="308"/>
      <c r="AP40" s="309"/>
      <c r="AQ40" s="310">
        <f t="shared" si="12"/>
        <v>0</v>
      </c>
      <c r="AR40" s="311"/>
      <c r="AS40" s="312"/>
      <c r="AT40" s="313">
        <f t="shared" si="13"/>
        <v>0</v>
      </c>
      <c r="AU40" s="308"/>
      <c r="AV40" s="309"/>
      <c r="AW40" s="310">
        <f t="shared" si="14"/>
        <v>0</v>
      </c>
      <c r="AX40" s="311"/>
      <c r="AY40" s="312"/>
      <c r="AZ40" s="313">
        <f t="shared" si="15"/>
        <v>0</v>
      </c>
      <c r="BA40" s="308"/>
      <c r="BB40" s="309"/>
      <c r="BC40" s="310">
        <f t="shared" si="16"/>
        <v>0</v>
      </c>
      <c r="BD40" s="311"/>
      <c r="BE40" s="312"/>
      <c r="BF40" s="313">
        <f t="shared" si="17"/>
        <v>0</v>
      </c>
      <c r="BG40" s="308"/>
      <c r="BH40" s="309"/>
      <c r="BI40" s="310">
        <f t="shared" si="18"/>
        <v>0</v>
      </c>
      <c r="BJ40" s="311"/>
      <c r="BK40" s="312"/>
      <c r="BL40" s="313">
        <f t="shared" si="19"/>
        <v>0</v>
      </c>
      <c r="BM40" s="308"/>
      <c r="BN40" s="309"/>
      <c r="BO40" s="310">
        <f t="shared" si="20"/>
        <v>0</v>
      </c>
      <c r="BP40" s="311"/>
      <c r="BQ40" s="312"/>
      <c r="BR40" s="313">
        <f t="shared" si="21"/>
        <v>0</v>
      </c>
      <c r="BS40" s="308"/>
      <c r="BT40" s="309"/>
      <c r="BU40" s="310">
        <f t="shared" si="22"/>
        <v>0</v>
      </c>
      <c r="BV40" s="385"/>
      <c r="BW40" s="386"/>
      <c r="BX40" s="313">
        <f t="shared" si="23"/>
        <v>0</v>
      </c>
      <c r="BY40" s="290"/>
    </row>
    <row r="41" spans="1:77">
      <c r="A41" s="324" t="s">
        <v>432</v>
      </c>
      <c r="B41" s="396" t="s">
        <v>823</v>
      </c>
      <c r="C41" s="321">
        <v>101897</v>
      </c>
      <c r="D41" s="445">
        <v>10</v>
      </c>
      <c r="E41" s="308"/>
      <c r="F41" s="309"/>
      <c r="G41" s="310">
        <f t="shared" si="0"/>
        <v>0</v>
      </c>
      <c r="H41" s="311"/>
      <c r="I41" s="312"/>
      <c r="J41" s="313">
        <f t="shared" si="1"/>
        <v>0</v>
      </c>
      <c r="K41" s="308"/>
      <c r="L41" s="309"/>
      <c r="M41" s="310">
        <f t="shared" si="2"/>
        <v>0</v>
      </c>
      <c r="N41" s="311"/>
      <c r="O41" s="312"/>
      <c r="P41" s="313">
        <f t="shared" si="3"/>
        <v>0</v>
      </c>
      <c r="Q41" s="308"/>
      <c r="R41" s="309"/>
      <c r="S41" s="310">
        <f t="shared" si="4"/>
        <v>0</v>
      </c>
      <c r="T41" s="311"/>
      <c r="U41" s="312"/>
      <c r="V41" s="313">
        <f t="shared" si="5"/>
        <v>0</v>
      </c>
      <c r="W41" s="308"/>
      <c r="X41" s="309"/>
      <c r="Y41" s="310">
        <f t="shared" si="6"/>
        <v>0</v>
      </c>
      <c r="Z41" s="311"/>
      <c r="AA41" s="312"/>
      <c r="AB41" s="313">
        <f t="shared" si="7"/>
        <v>0</v>
      </c>
      <c r="AC41" s="308"/>
      <c r="AD41" s="309"/>
      <c r="AE41" s="310">
        <f t="shared" si="8"/>
        <v>0</v>
      </c>
      <c r="AF41" s="311"/>
      <c r="AG41" s="312"/>
      <c r="AH41" s="313">
        <f t="shared" si="9"/>
        <v>0</v>
      </c>
      <c r="AI41" s="308">
        <v>38</v>
      </c>
      <c r="AJ41" s="309">
        <v>53757.868421052633</v>
      </c>
      <c r="AK41" s="310">
        <f t="shared" si="10"/>
        <v>2042799</v>
      </c>
      <c r="AL41" s="385">
        <v>40</v>
      </c>
      <c r="AM41" s="386">
        <v>53873.5</v>
      </c>
      <c r="AN41" s="313">
        <f t="shared" si="11"/>
        <v>2154940</v>
      </c>
      <c r="AO41" s="308"/>
      <c r="AP41" s="309"/>
      <c r="AQ41" s="310">
        <f t="shared" si="12"/>
        <v>0</v>
      </c>
      <c r="AR41" s="311"/>
      <c r="AS41" s="312"/>
      <c r="AT41" s="313">
        <f t="shared" si="13"/>
        <v>0</v>
      </c>
      <c r="AU41" s="308"/>
      <c r="AV41" s="309"/>
      <c r="AW41" s="310">
        <f t="shared" si="14"/>
        <v>0</v>
      </c>
      <c r="AX41" s="311"/>
      <c r="AY41" s="312"/>
      <c r="AZ41" s="313">
        <f t="shared" si="15"/>
        <v>0</v>
      </c>
      <c r="BA41" s="308"/>
      <c r="BB41" s="309"/>
      <c r="BC41" s="310">
        <f t="shared" si="16"/>
        <v>0</v>
      </c>
      <c r="BD41" s="311"/>
      <c r="BE41" s="312"/>
      <c r="BF41" s="313">
        <f t="shared" si="17"/>
        <v>0</v>
      </c>
      <c r="BG41" s="308"/>
      <c r="BH41" s="309"/>
      <c r="BI41" s="310">
        <f t="shared" si="18"/>
        <v>0</v>
      </c>
      <c r="BJ41" s="311"/>
      <c r="BK41" s="312"/>
      <c r="BL41" s="313">
        <f t="shared" si="19"/>
        <v>0</v>
      </c>
      <c r="BM41" s="308"/>
      <c r="BN41" s="309"/>
      <c r="BO41" s="310">
        <f t="shared" si="20"/>
        <v>0</v>
      </c>
      <c r="BP41" s="311"/>
      <c r="BQ41" s="312"/>
      <c r="BR41" s="313">
        <f t="shared" si="21"/>
        <v>0</v>
      </c>
      <c r="BS41" s="308">
        <v>5</v>
      </c>
      <c r="BT41" s="309">
        <v>77663.399999999994</v>
      </c>
      <c r="BU41" s="310">
        <f t="shared" si="22"/>
        <v>317720.9694</v>
      </c>
      <c r="BV41" s="385">
        <v>6</v>
      </c>
      <c r="BW41" s="386">
        <v>82703.166666666672</v>
      </c>
      <c r="BX41" s="313">
        <f t="shared" si="23"/>
        <v>406006.38580000005</v>
      </c>
    </row>
    <row r="42" spans="1:77">
      <c r="A42" s="324" t="s">
        <v>432</v>
      </c>
      <c r="B42" s="322" t="s">
        <v>824</v>
      </c>
      <c r="C42" s="321">
        <v>102076</v>
      </c>
      <c r="D42" s="445">
        <v>10</v>
      </c>
      <c r="E42" s="308"/>
      <c r="F42" s="309"/>
      <c r="G42" s="310">
        <f t="shared" si="0"/>
        <v>0</v>
      </c>
      <c r="H42" s="311"/>
      <c r="I42" s="312"/>
      <c r="J42" s="313">
        <f t="shared" si="1"/>
        <v>0</v>
      </c>
      <c r="K42" s="308"/>
      <c r="L42" s="309"/>
      <c r="M42" s="310">
        <f t="shared" si="2"/>
        <v>0</v>
      </c>
      <c r="N42" s="311"/>
      <c r="O42" s="312"/>
      <c r="P42" s="313">
        <f t="shared" si="3"/>
        <v>0</v>
      </c>
      <c r="Q42" s="308"/>
      <c r="R42" s="309"/>
      <c r="S42" s="310">
        <f t="shared" si="4"/>
        <v>0</v>
      </c>
      <c r="T42" s="311"/>
      <c r="U42" s="312"/>
      <c r="V42" s="313">
        <f t="shared" si="5"/>
        <v>0</v>
      </c>
      <c r="W42" s="308"/>
      <c r="X42" s="309"/>
      <c r="Y42" s="310">
        <f t="shared" si="6"/>
        <v>0</v>
      </c>
      <c r="Z42" s="311"/>
      <c r="AA42" s="312"/>
      <c r="AB42" s="313">
        <f t="shared" si="7"/>
        <v>0</v>
      </c>
      <c r="AC42" s="308"/>
      <c r="AD42" s="309"/>
      <c r="AE42" s="310">
        <f t="shared" si="8"/>
        <v>0</v>
      </c>
      <c r="AF42" s="311"/>
      <c r="AG42" s="312"/>
      <c r="AH42" s="313">
        <f t="shared" si="9"/>
        <v>0</v>
      </c>
      <c r="AI42" s="308">
        <v>19</v>
      </c>
      <c r="AJ42" s="309">
        <v>55678.57894736842</v>
      </c>
      <c r="AK42" s="310">
        <f t="shared" si="10"/>
        <v>1057893</v>
      </c>
      <c r="AL42" s="385">
        <v>18</v>
      </c>
      <c r="AM42" s="386">
        <v>55192.777777777781</v>
      </c>
      <c r="AN42" s="313">
        <f t="shared" si="11"/>
        <v>993470</v>
      </c>
      <c r="AO42" s="308"/>
      <c r="AP42" s="309"/>
      <c r="AQ42" s="310">
        <f t="shared" si="12"/>
        <v>0</v>
      </c>
      <c r="AR42" s="311"/>
      <c r="AS42" s="312"/>
      <c r="AT42" s="313">
        <f t="shared" si="13"/>
        <v>0</v>
      </c>
      <c r="AU42" s="308"/>
      <c r="AV42" s="309"/>
      <c r="AW42" s="310">
        <f t="shared" si="14"/>
        <v>0</v>
      </c>
      <c r="AX42" s="311"/>
      <c r="AY42" s="312"/>
      <c r="AZ42" s="313">
        <f t="shared" si="15"/>
        <v>0</v>
      </c>
      <c r="BA42" s="308"/>
      <c r="BB42" s="309"/>
      <c r="BC42" s="310">
        <f t="shared" si="16"/>
        <v>0</v>
      </c>
      <c r="BD42" s="311"/>
      <c r="BE42" s="312"/>
      <c r="BF42" s="313">
        <f t="shared" si="17"/>
        <v>0</v>
      </c>
      <c r="BG42" s="308"/>
      <c r="BH42" s="309"/>
      <c r="BI42" s="310">
        <f t="shared" si="18"/>
        <v>0</v>
      </c>
      <c r="BJ42" s="311"/>
      <c r="BK42" s="312"/>
      <c r="BL42" s="313">
        <f t="shared" si="19"/>
        <v>0</v>
      </c>
      <c r="BM42" s="308"/>
      <c r="BN42" s="309"/>
      <c r="BO42" s="310">
        <f t="shared" si="20"/>
        <v>0</v>
      </c>
      <c r="BP42" s="311"/>
      <c r="BQ42" s="312"/>
      <c r="BR42" s="313">
        <f t="shared" si="21"/>
        <v>0</v>
      </c>
      <c r="BS42" s="308">
        <v>15</v>
      </c>
      <c r="BT42" s="309">
        <v>74345.8</v>
      </c>
      <c r="BU42" s="310">
        <f t="shared" si="22"/>
        <v>912446.00340000005</v>
      </c>
      <c r="BV42" s="385">
        <v>17</v>
      </c>
      <c r="BW42" s="386">
        <v>74570.823529411762</v>
      </c>
      <c r="BX42" s="313">
        <f t="shared" si="23"/>
        <v>1037235.4128</v>
      </c>
    </row>
    <row r="43" spans="1:77">
      <c r="A43" s="324" t="s">
        <v>432</v>
      </c>
      <c r="B43" s="322" t="s">
        <v>825</v>
      </c>
      <c r="C43" s="321">
        <v>102313</v>
      </c>
      <c r="D43" s="445">
        <v>12</v>
      </c>
      <c r="E43" s="308"/>
      <c r="F43" s="309"/>
      <c r="G43" s="310">
        <f t="shared" si="0"/>
        <v>0</v>
      </c>
      <c r="H43" s="311"/>
      <c r="I43" s="312"/>
      <c r="J43" s="313">
        <f t="shared" si="1"/>
        <v>0</v>
      </c>
      <c r="K43" s="308"/>
      <c r="L43" s="309"/>
      <c r="M43" s="310">
        <f t="shared" si="2"/>
        <v>0</v>
      </c>
      <c r="N43" s="311"/>
      <c r="O43" s="312"/>
      <c r="P43" s="313">
        <f t="shared" si="3"/>
        <v>0</v>
      </c>
      <c r="Q43" s="308"/>
      <c r="R43" s="309"/>
      <c r="S43" s="310">
        <f t="shared" si="4"/>
        <v>0</v>
      </c>
      <c r="T43" s="311"/>
      <c r="U43" s="312"/>
      <c r="V43" s="313">
        <f t="shared" si="5"/>
        <v>0</v>
      </c>
      <c r="W43" s="308"/>
      <c r="X43" s="309"/>
      <c r="Y43" s="310">
        <f t="shared" si="6"/>
        <v>0</v>
      </c>
      <c r="Z43" s="311"/>
      <c r="AA43" s="312"/>
      <c r="AB43" s="313">
        <f t="shared" si="7"/>
        <v>0</v>
      </c>
      <c r="AC43" s="308"/>
      <c r="AD43" s="309"/>
      <c r="AE43" s="310">
        <f t="shared" si="8"/>
        <v>0</v>
      </c>
      <c r="AF43" s="311"/>
      <c r="AG43" s="312"/>
      <c r="AH43" s="313">
        <f t="shared" si="9"/>
        <v>0</v>
      </c>
      <c r="AI43" s="308">
        <v>59</v>
      </c>
      <c r="AJ43" s="309">
        <v>52380.423728813563</v>
      </c>
      <c r="AK43" s="310">
        <f t="shared" si="10"/>
        <v>3090445</v>
      </c>
      <c r="AL43" s="385">
        <v>59</v>
      </c>
      <c r="AM43" s="386">
        <v>52848.08474576271</v>
      </c>
      <c r="AN43" s="313">
        <f t="shared" si="11"/>
        <v>3118037</v>
      </c>
      <c r="AO43" s="308"/>
      <c r="AP43" s="309"/>
      <c r="AQ43" s="310">
        <f t="shared" si="12"/>
        <v>0</v>
      </c>
      <c r="AR43" s="311"/>
      <c r="AS43" s="312"/>
      <c r="AT43" s="313">
        <f t="shared" si="13"/>
        <v>0</v>
      </c>
      <c r="AU43" s="308"/>
      <c r="AV43" s="309"/>
      <c r="AW43" s="310">
        <f t="shared" si="14"/>
        <v>0</v>
      </c>
      <c r="AX43" s="311"/>
      <c r="AY43" s="312"/>
      <c r="AZ43" s="313">
        <f t="shared" si="15"/>
        <v>0</v>
      </c>
      <c r="BA43" s="308"/>
      <c r="BB43" s="309"/>
      <c r="BC43" s="310">
        <f t="shared" si="16"/>
        <v>0</v>
      </c>
      <c r="BD43" s="311"/>
      <c r="BE43" s="312"/>
      <c r="BF43" s="313">
        <f t="shared" si="17"/>
        <v>0</v>
      </c>
      <c r="BG43" s="308"/>
      <c r="BH43" s="309"/>
      <c r="BI43" s="310">
        <f t="shared" si="18"/>
        <v>0</v>
      </c>
      <c r="BJ43" s="311"/>
      <c r="BK43" s="312"/>
      <c r="BL43" s="313">
        <f t="shared" si="19"/>
        <v>0</v>
      </c>
      <c r="BM43" s="308"/>
      <c r="BN43" s="309"/>
      <c r="BO43" s="310">
        <f t="shared" si="20"/>
        <v>0</v>
      </c>
      <c r="BP43" s="311"/>
      <c r="BQ43" s="312"/>
      <c r="BR43" s="313">
        <f t="shared" si="21"/>
        <v>0</v>
      </c>
      <c r="BS43" s="308">
        <v>7</v>
      </c>
      <c r="BT43" s="309">
        <v>86137.71428571429</v>
      </c>
      <c r="BU43" s="310">
        <f t="shared" si="22"/>
        <v>493345.14480000001</v>
      </c>
      <c r="BV43" s="385">
        <v>7</v>
      </c>
      <c r="BW43" s="386">
        <v>88165.142857142855</v>
      </c>
      <c r="BX43" s="313">
        <f t="shared" si="23"/>
        <v>504957.0392</v>
      </c>
    </row>
    <row r="44" spans="1:77">
      <c r="A44" s="324" t="s">
        <v>432</v>
      </c>
      <c r="B44" s="322" t="s">
        <v>826</v>
      </c>
      <c r="C44" s="321">
        <v>101462</v>
      </c>
      <c r="D44" s="445">
        <v>13</v>
      </c>
      <c r="E44" s="308"/>
      <c r="F44" s="309"/>
      <c r="G44" s="310">
        <f t="shared" si="0"/>
        <v>0</v>
      </c>
      <c r="H44" s="311"/>
      <c r="I44" s="312"/>
      <c r="J44" s="313">
        <f t="shared" si="1"/>
        <v>0</v>
      </c>
      <c r="K44" s="308"/>
      <c r="L44" s="309"/>
      <c r="M44" s="310">
        <f t="shared" si="2"/>
        <v>0</v>
      </c>
      <c r="N44" s="311"/>
      <c r="O44" s="312"/>
      <c r="P44" s="313">
        <f t="shared" si="3"/>
        <v>0</v>
      </c>
      <c r="Q44" s="308"/>
      <c r="R44" s="309"/>
      <c r="S44" s="310">
        <f t="shared" si="4"/>
        <v>0</v>
      </c>
      <c r="T44" s="311"/>
      <c r="U44" s="312"/>
      <c r="V44" s="313">
        <f t="shared" si="5"/>
        <v>0</v>
      </c>
      <c r="W44" s="308"/>
      <c r="X44" s="309"/>
      <c r="Y44" s="310">
        <f t="shared" si="6"/>
        <v>0</v>
      </c>
      <c r="Z44" s="311"/>
      <c r="AA44" s="312"/>
      <c r="AB44" s="313">
        <f t="shared" si="7"/>
        <v>0</v>
      </c>
      <c r="AC44" s="308"/>
      <c r="AD44" s="309"/>
      <c r="AE44" s="310">
        <f t="shared" si="8"/>
        <v>0</v>
      </c>
      <c r="AF44" s="311"/>
      <c r="AG44" s="312"/>
      <c r="AH44" s="313">
        <f t="shared" si="9"/>
        <v>0</v>
      </c>
      <c r="AI44" s="308">
        <v>25</v>
      </c>
      <c r="AJ44" s="309">
        <v>49659.24</v>
      </c>
      <c r="AK44" s="310">
        <f t="shared" si="10"/>
        <v>1241481</v>
      </c>
      <c r="AL44" s="385">
        <v>29</v>
      </c>
      <c r="AM44" s="386">
        <v>63521.413793103449</v>
      </c>
      <c r="AN44" s="313">
        <f t="shared" si="11"/>
        <v>1842121</v>
      </c>
      <c r="AO44" s="308"/>
      <c r="AP44" s="309"/>
      <c r="AQ44" s="310">
        <f t="shared" si="12"/>
        <v>0</v>
      </c>
      <c r="AR44" s="311"/>
      <c r="AS44" s="312"/>
      <c r="AT44" s="313">
        <f t="shared" si="13"/>
        <v>0</v>
      </c>
      <c r="AU44" s="308"/>
      <c r="AV44" s="309"/>
      <c r="AW44" s="310">
        <f t="shared" si="14"/>
        <v>0</v>
      </c>
      <c r="AX44" s="311"/>
      <c r="AY44" s="312"/>
      <c r="AZ44" s="313">
        <f t="shared" si="15"/>
        <v>0</v>
      </c>
      <c r="BA44" s="308"/>
      <c r="BB44" s="309"/>
      <c r="BC44" s="310">
        <f t="shared" si="16"/>
        <v>0</v>
      </c>
      <c r="BD44" s="311"/>
      <c r="BE44" s="312"/>
      <c r="BF44" s="313">
        <f t="shared" si="17"/>
        <v>0</v>
      </c>
      <c r="BG44" s="308"/>
      <c r="BH44" s="309"/>
      <c r="BI44" s="310">
        <f t="shared" si="18"/>
        <v>0</v>
      </c>
      <c r="BJ44" s="311"/>
      <c r="BK44" s="312"/>
      <c r="BL44" s="313">
        <f t="shared" si="19"/>
        <v>0</v>
      </c>
      <c r="BM44" s="308"/>
      <c r="BN44" s="309"/>
      <c r="BO44" s="310">
        <f t="shared" si="20"/>
        <v>0</v>
      </c>
      <c r="BP44" s="311"/>
      <c r="BQ44" s="312"/>
      <c r="BR44" s="313">
        <f t="shared" si="21"/>
        <v>0</v>
      </c>
      <c r="BS44" s="308"/>
      <c r="BT44" s="309"/>
      <c r="BU44" s="310">
        <f t="shared" si="22"/>
        <v>0</v>
      </c>
      <c r="BV44" s="385"/>
      <c r="BW44" s="386"/>
      <c r="BX44" s="313">
        <f t="shared" si="23"/>
        <v>0</v>
      </c>
    </row>
    <row r="45" spans="1:77">
      <c r="A45" s="324" t="s">
        <v>432</v>
      </c>
      <c r="B45" s="322" t="s">
        <v>827</v>
      </c>
      <c r="C45" s="321">
        <v>101471</v>
      </c>
      <c r="D45" s="445">
        <v>13</v>
      </c>
      <c r="E45" s="308"/>
      <c r="F45" s="309"/>
      <c r="G45" s="310">
        <f t="shared" si="0"/>
        <v>0</v>
      </c>
      <c r="H45" s="311"/>
      <c r="I45" s="312"/>
      <c r="J45" s="313">
        <f t="shared" si="1"/>
        <v>0</v>
      </c>
      <c r="K45" s="308"/>
      <c r="L45" s="309"/>
      <c r="M45" s="310">
        <f t="shared" si="2"/>
        <v>0</v>
      </c>
      <c r="N45" s="311"/>
      <c r="O45" s="312"/>
      <c r="P45" s="313">
        <f t="shared" si="3"/>
        <v>0</v>
      </c>
      <c r="Q45" s="308"/>
      <c r="R45" s="309"/>
      <c r="S45" s="310">
        <f t="shared" si="4"/>
        <v>0</v>
      </c>
      <c r="T45" s="311"/>
      <c r="U45" s="312"/>
      <c r="V45" s="313">
        <f t="shared" si="5"/>
        <v>0</v>
      </c>
      <c r="W45" s="308"/>
      <c r="X45" s="309"/>
      <c r="Y45" s="310">
        <f t="shared" si="6"/>
        <v>0</v>
      </c>
      <c r="Z45" s="311"/>
      <c r="AA45" s="312"/>
      <c r="AB45" s="313">
        <f t="shared" si="7"/>
        <v>0</v>
      </c>
      <c r="AC45" s="308"/>
      <c r="AD45" s="309"/>
      <c r="AE45" s="310">
        <f t="shared" si="8"/>
        <v>0</v>
      </c>
      <c r="AF45" s="311"/>
      <c r="AG45" s="312"/>
      <c r="AH45" s="313">
        <f t="shared" si="9"/>
        <v>0</v>
      </c>
      <c r="AI45" s="308">
        <v>16</v>
      </c>
      <c r="AJ45" s="309">
        <v>46068.0625</v>
      </c>
      <c r="AK45" s="310">
        <f t="shared" si="10"/>
        <v>737089</v>
      </c>
      <c r="AL45" s="385">
        <v>17</v>
      </c>
      <c r="AM45" s="386">
        <v>47717.058823529413</v>
      </c>
      <c r="AN45" s="313">
        <f t="shared" si="11"/>
        <v>811190</v>
      </c>
      <c r="AO45" s="308"/>
      <c r="AP45" s="309"/>
      <c r="AQ45" s="310">
        <f t="shared" si="12"/>
        <v>0</v>
      </c>
      <c r="AR45" s="311"/>
      <c r="AS45" s="312"/>
      <c r="AT45" s="313">
        <f t="shared" si="13"/>
        <v>0</v>
      </c>
      <c r="AU45" s="308"/>
      <c r="AV45" s="309"/>
      <c r="AW45" s="310">
        <f t="shared" si="14"/>
        <v>0</v>
      </c>
      <c r="AX45" s="311"/>
      <c r="AY45" s="312"/>
      <c r="AZ45" s="313">
        <f t="shared" si="15"/>
        <v>0</v>
      </c>
      <c r="BA45" s="308"/>
      <c r="BB45" s="309"/>
      <c r="BC45" s="310">
        <f t="shared" si="16"/>
        <v>0</v>
      </c>
      <c r="BD45" s="311"/>
      <c r="BE45" s="312"/>
      <c r="BF45" s="313">
        <f t="shared" si="17"/>
        <v>0</v>
      </c>
      <c r="BG45" s="308"/>
      <c r="BH45" s="309"/>
      <c r="BI45" s="310">
        <f t="shared" si="18"/>
        <v>0</v>
      </c>
      <c r="BJ45" s="311"/>
      <c r="BK45" s="312"/>
      <c r="BL45" s="313">
        <f t="shared" si="19"/>
        <v>0</v>
      </c>
      <c r="BM45" s="308"/>
      <c r="BN45" s="309"/>
      <c r="BO45" s="310">
        <f t="shared" si="20"/>
        <v>0</v>
      </c>
      <c r="BP45" s="311"/>
      <c r="BQ45" s="312"/>
      <c r="BR45" s="313">
        <f t="shared" si="21"/>
        <v>0</v>
      </c>
      <c r="BS45" s="308">
        <v>18</v>
      </c>
      <c r="BT45" s="309">
        <v>83973.111111111109</v>
      </c>
      <c r="BU45" s="310">
        <f t="shared" si="22"/>
        <v>1236722.3912</v>
      </c>
      <c r="BV45" s="385">
        <v>18</v>
      </c>
      <c r="BW45" s="386">
        <v>81712.444444444438</v>
      </c>
      <c r="BX45" s="313">
        <f t="shared" si="23"/>
        <v>1203428.1968</v>
      </c>
    </row>
    <row r="46" spans="1:77">
      <c r="A46" s="324" t="s">
        <v>432</v>
      </c>
      <c r="B46" s="322" t="s">
        <v>828</v>
      </c>
      <c r="C46" s="321">
        <v>101994</v>
      </c>
      <c r="D46" s="445">
        <v>13</v>
      </c>
      <c r="E46" s="308"/>
      <c r="F46" s="309"/>
      <c r="G46" s="310">
        <f t="shared" si="0"/>
        <v>0</v>
      </c>
      <c r="H46" s="311"/>
      <c r="I46" s="312"/>
      <c r="J46" s="313">
        <f t="shared" si="1"/>
        <v>0</v>
      </c>
      <c r="K46" s="308"/>
      <c r="L46" s="309"/>
      <c r="M46" s="310">
        <f t="shared" si="2"/>
        <v>0</v>
      </c>
      <c r="N46" s="311"/>
      <c r="O46" s="312"/>
      <c r="P46" s="313">
        <f t="shared" si="3"/>
        <v>0</v>
      </c>
      <c r="Q46" s="308"/>
      <c r="R46" s="309"/>
      <c r="S46" s="310">
        <f t="shared" si="4"/>
        <v>0</v>
      </c>
      <c r="T46" s="311"/>
      <c r="U46" s="312"/>
      <c r="V46" s="313">
        <f t="shared" si="5"/>
        <v>0</v>
      </c>
      <c r="W46" s="308"/>
      <c r="X46" s="309"/>
      <c r="Y46" s="310">
        <f t="shared" si="6"/>
        <v>0</v>
      </c>
      <c r="Z46" s="311"/>
      <c r="AA46" s="312"/>
      <c r="AB46" s="313">
        <f t="shared" si="7"/>
        <v>0</v>
      </c>
      <c r="AC46" s="308"/>
      <c r="AD46" s="309"/>
      <c r="AE46" s="310">
        <f t="shared" si="8"/>
        <v>0</v>
      </c>
      <c r="AF46" s="311"/>
      <c r="AG46" s="312"/>
      <c r="AH46" s="313">
        <f t="shared" si="9"/>
        <v>0</v>
      </c>
      <c r="AI46" s="308">
        <v>21</v>
      </c>
      <c r="AJ46" s="309">
        <v>50273.142857142855</v>
      </c>
      <c r="AK46" s="310">
        <f t="shared" si="10"/>
        <v>1055736</v>
      </c>
      <c r="AL46" s="385">
        <v>19</v>
      </c>
      <c r="AM46" s="386">
        <v>50639.052631578947</v>
      </c>
      <c r="AN46" s="313">
        <f t="shared" si="11"/>
        <v>962142</v>
      </c>
      <c r="AO46" s="308"/>
      <c r="AP46" s="309"/>
      <c r="AQ46" s="310">
        <f t="shared" si="12"/>
        <v>0</v>
      </c>
      <c r="AR46" s="311"/>
      <c r="AS46" s="312"/>
      <c r="AT46" s="313">
        <f t="shared" si="13"/>
        <v>0</v>
      </c>
      <c r="AU46" s="308"/>
      <c r="AV46" s="309"/>
      <c r="AW46" s="310">
        <f t="shared" si="14"/>
        <v>0</v>
      </c>
      <c r="AX46" s="311"/>
      <c r="AY46" s="312"/>
      <c r="AZ46" s="313">
        <f t="shared" si="15"/>
        <v>0</v>
      </c>
      <c r="BA46" s="308"/>
      <c r="BB46" s="309"/>
      <c r="BC46" s="310">
        <f t="shared" si="16"/>
        <v>0</v>
      </c>
      <c r="BD46" s="311"/>
      <c r="BE46" s="312"/>
      <c r="BF46" s="313">
        <f t="shared" si="17"/>
        <v>0</v>
      </c>
      <c r="BG46" s="308"/>
      <c r="BH46" s="309"/>
      <c r="BI46" s="310">
        <f t="shared" si="18"/>
        <v>0</v>
      </c>
      <c r="BJ46" s="311"/>
      <c r="BK46" s="312"/>
      <c r="BL46" s="313">
        <f t="shared" si="19"/>
        <v>0</v>
      </c>
      <c r="BM46" s="308"/>
      <c r="BN46" s="309"/>
      <c r="BO46" s="310">
        <f t="shared" si="20"/>
        <v>0</v>
      </c>
      <c r="BP46" s="311"/>
      <c r="BQ46" s="312"/>
      <c r="BR46" s="313">
        <f t="shared" si="21"/>
        <v>0</v>
      </c>
      <c r="BS46" s="308">
        <v>5</v>
      </c>
      <c r="BT46" s="309">
        <v>63547.199999999997</v>
      </c>
      <c r="BU46" s="310">
        <f t="shared" si="22"/>
        <v>259971.59520000001</v>
      </c>
      <c r="BV46" s="385">
        <v>6</v>
      </c>
      <c r="BW46" s="386">
        <v>53948.166666666664</v>
      </c>
      <c r="BX46" s="313">
        <f t="shared" si="23"/>
        <v>264842.33980000002</v>
      </c>
    </row>
    <row r="47" spans="1:77">
      <c r="A47" s="314" t="s">
        <v>441</v>
      </c>
      <c r="B47" s="315" t="s">
        <v>727</v>
      </c>
      <c r="C47" s="316">
        <v>106397</v>
      </c>
      <c r="D47" s="446">
        <v>1</v>
      </c>
      <c r="E47" s="308">
        <v>204</v>
      </c>
      <c r="F47" s="309">
        <v>100551</v>
      </c>
      <c r="G47" s="310">
        <f t="shared" si="0"/>
        <v>20512404</v>
      </c>
      <c r="H47" s="311">
        <v>211</v>
      </c>
      <c r="I47" s="312">
        <v>103195</v>
      </c>
      <c r="J47" s="313">
        <f t="shared" si="1"/>
        <v>21774145</v>
      </c>
      <c r="K47" s="308">
        <v>152</v>
      </c>
      <c r="L47" s="309">
        <v>73009</v>
      </c>
      <c r="M47" s="310">
        <f t="shared" si="2"/>
        <v>11097368</v>
      </c>
      <c r="N47" s="311">
        <v>150</v>
      </c>
      <c r="O47" s="312">
        <v>73928</v>
      </c>
      <c r="P47" s="313">
        <f t="shared" si="3"/>
        <v>11089200</v>
      </c>
      <c r="Q47" s="308">
        <v>127</v>
      </c>
      <c r="R47" s="309">
        <v>64792</v>
      </c>
      <c r="S47" s="310">
        <f t="shared" si="4"/>
        <v>8228584</v>
      </c>
      <c r="T47" s="311">
        <v>148.00065779856746</v>
      </c>
      <c r="U47" s="312">
        <v>68410</v>
      </c>
      <c r="V47" s="313">
        <f t="shared" si="5"/>
        <v>10124725</v>
      </c>
      <c r="W47" s="308">
        <v>71</v>
      </c>
      <c r="X47" s="309">
        <v>40707</v>
      </c>
      <c r="Y47" s="310">
        <f t="shared" si="6"/>
        <v>2890197</v>
      </c>
      <c r="Z47" s="311">
        <v>90</v>
      </c>
      <c r="AA47" s="312">
        <v>38816</v>
      </c>
      <c r="AB47" s="313">
        <f t="shared" si="7"/>
        <v>3493440</v>
      </c>
      <c r="AC47" s="308">
        <v>60</v>
      </c>
      <c r="AD47" s="309">
        <v>40378</v>
      </c>
      <c r="AE47" s="310">
        <f t="shared" si="8"/>
        <v>2422680</v>
      </c>
      <c r="AF47" s="311"/>
      <c r="AG47" s="312"/>
      <c r="AH47" s="313">
        <f t="shared" si="9"/>
        <v>0</v>
      </c>
      <c r="AI47" s="308"/>
      <c r="AJ47" s="309"/>
      <c r="AK47" s="310">
        <f t="shared" si="10"/>
        <v>0</v>
      </c>
      <c r="AL47" s="311"/>
      <c r="AM47" s="312"/>
      <c r="AN47" s="313">
        <f t="shared" si="11"/>
        <v>0</v>
      </c>
      <c r="AO47" s="308">
        <v>145</v>
      </c>
      <c r="AP47" s="309">
        <v>116675</v>
      </c>
      <c r="AQ47" s="310">
        <f t="shared" si="12"/>
        <v>13842205.325000001</v>
      </c>
      <c r="AR47" s="311">
        <v>140</v>
      </c>
      <c r="AS47" s="312">
        <v>122591</v>
      </c>
      <c r="AT47" s="313">
        <f t="shared" si="13"/>
        <v>14042553.868000001</v>
      </c>
      <c r="AU47" s="308">
        <v>67</v>
      </c>
      <c r="AV47" s="309">
        <v>84660</v>
      </c>
      <c r="AW47" s="310">
        <f t="shared" si="14"/>
        <v>4641010.4040000001</v>
      </c>
      <c r="AX47" s="311">
        <v>69</v>
      </c>
      <c r="AY47" s="312">
        <v>87790</v>
      </c>
      <c r="AZ47" s="313">
        <f t="shared" si="15"/>
        <v>4956254.682</v>
      </c>
      <c r="BA47" s="308">
        <v>8</v>
      </c>
      <c r="BB47" s="309">
        <v>78430</v>
      </c>
      <c r="BC47" s="310">
        <f t="shared" si="16"/>
        <v>513371.408</v>
      </c>
      <c r="BD47" s="311">
        <v>16</v>
      </c>
      <c r="BE47" s="312">
        <v>75813</v>
      </c>
      <c r="BF47" s="313">
        <f t="shared" si="17"/>
        <v>992483.14560000005</v>
      </c>
      <c r="BG47" s="308">
        <v>30</v>
      </c>
      <c r="BH47" s="309">
        <v>52707</v>
      </c>
      <c r="BI47" s="310">
        <f t="shared" si="18"/>
        <v>1293746.0220000001</v>
      </c>
      <c r="BJ47" s="311">
        <v>25</v>
      </c>
      <c r="BK47" s="312">
        <v>52908</v>
      </c>
      <c r="BL47" s="313">
        <f t="shared" si="19"/>
        <v>1082233.1400000001</v>
      </c>
      <c r="BM47" s="308">
        <v>10</v>
      </c>
      <c r="BN47" s="309">
        <v>55955</v>
      </c>
      <c r="BO47" s="310">
        <f t="shared" si="20"/>
        <v>457823.81</v>
      </c>
      <c r="BP47" s="311"/>
      <c r="BQ47" s="312"/>
      <c r="BR47" s="313">
        <f t="shared" si="21"/>
        <v>0</v>
      </c>
      <c r="BS47" s="308"/>
      <c r="BT47" s="309"/>
      <c r="BU47" s="310">
        <f t="shared" si="22"/>
        <v>0</v>
      </c>
      <c r="BV47" s="311"/>
      <c r="BW47" s="312"/>
      <c r="BX47" s="313">
        <f t="shared" si="23"/>
        <v>0</v>
      </c>
    </row>
    <row r="48" spans="1:77">
      <c r="A48" s="314" t="s">
        <v>441</v>
      </c>
      <c r="B48" s="315" t="s">
        <v>728</v>
      </c>
      <c r="C48" s="316">
        <v>106458</v>
      </c>
      <c r="D48" s="446">
        <v>3</v>
      </c>
      <c r="E48" s="308">
        <v>75</v>
      </c>
      <c r="F48" s="309">
        <v>72681</v>
      </c>
      <c r="G48" s="310">
        <f t="shared" si="0"/>
        <v>5451075</v>
      </c>
      <c r="H48" s="311">
        <v>75</v>
      </c>
      <c r="I48" s="312">
        <v>73739</v>
      </c>
      <c r="J48" s="313">
        <f t="shared" si="1"/>
        <v>5530425</v>
      </c>
      <c r="K48" s="308">
        <v>89</v>
      </c>
      <c r="L48" s="309">
        <v>58920</v>
      </c>
      <c r="M48" s="310">
        <f t="shared" si="2"/>
        <v>5243880</v>
      </c>
      <c r="N48" s="311">
        <v>97</v>
      </c>
      <c r="O48" s="312">
        <v>59975</v>
      </c>
      <c r="P48" s="313">
        <f t="shared" si="3"/>
        <v>5817575</v>
      </c>
      <c r="Q48" s="308">
        <v>136</v>
      </c>
      <c r="R48" s="309">
        <v>53100</v>
      </c>
      <c r="S48" s="310">
        <f t="shared" si="4"/>
        <v>7221600</v>
      </c>
      <c r="T48" s="311">
        <v>133.99981342935502</v>
      </c>
      <c r="U48" s="312">
        <v>53599</v>
      </c>
      <c r="V48" s="313">
        <f t="shared" si="5"/>
        <v>7182255.9999999991</v>
      </c>
      <c r="W48" s="308">
        <v>89</v>
      </c>
      <c r="X48" s="309">
        <v>37421</v>
      </c>
      <c r="Y48" s="310">
        <f t="shared" si="6"/>
        <v>3330469</v>
      </c>
      <c r="Z48" s="311">
        <v>93</v>
      </c>
      <c r="AA48" s="312">
        <v>37008</v>
      </c>
      <c r="AB48" s="313">
        <f t="shared" si="7"/>
        <v>3441744</v>
      </c>
      <c r="AC48" s="308">
        <v>31</v>
      </c>
      <c r="AD48" s="309">
        <v>37475</v>
      </c>
      <c r="AE48" s="310">
        <f t="shared" si="8"/>
        <v>1161725</v>
      </c>
      <c r="AF48" s="311"/>
      <c r="AG48" s="312"/>
      <c r="AH48" s="313">
        <f t="shared" si="9"/>
        <v>0</v>
      </c>
      <c r="AI48" s="308"/>
      <c r="AJ48" s="309"/>
      <c r="AK48" s="310">
        <f t="shared" si="10"/>
        <v>0</v>
      </c>
      <c r="AL48" s="311"/>
      <c r="AM48" s="312"/>
      <c r="AN48" s="313">
        <f t="shared" si="11"/>
        <v>0</v>
      </c>
      <c r="AO48" s="308">
        <v>21</v>
      </c>
      <c r="AP48" s="309">
        <v>101386</v>
      </c>
      <c r="AQ48" s="310">
        <f t="shared" si="12"/>
        <v>1742034.5292</v>
      </c>
      <c r="AR48" s="311">
        <v>19</v>
      </c>
      <c r="AS48" s="312">
        <v>99824</v>
      </c>
      <c r="AT48" s="313">
        <f t="shared" si="13"/>
        <v>1551843.9392000001</v>
      </c>
      <c r="AU48" s="308">
        <v>21</v>
      </c>
      <c r="AV48" s="309">
        <v>88457</v>
      </c>
      <c r="AW48" s="310">
        <f t="shared" si="14"/>
        <v>1519885.8654</v>
      </c>
      <c r="AX48" s="311">
        <v>18</v>
      </c>
      <c r="AY48" s="312">
        <v>86933</v>
      </c>
      <c r="AZ48" s="313">
        <f t="shared" si="15"/>
        <v>1280314.4508</v>
      </c>
      <c r="BA48" s="308">
        <v>15</v>
      </c>
      <c r="BB48" s="309">
        <v>64026</v>
      </c>
      <c r="BC48" s="310">
        <f t="shared" si="16"/>
        <v>785791.098</v>
      </c>
      <c r="BD48" s="311">
        <v>13</v>
      </c>
      <c r="BE48" s="312">
        <v>66030</v>
      </c>
      <c r="BF48" s="313">
        <f t="shared" si="17"/>
        <v>702334.69799999997</v>
      </c>
      <c r="BG48" s="308">
        <v>13</v>
      </c>
      <c r="BH48" s="309">
        <v>43233</v>
      </c>
      <c r="BI48" s="310">
        <f t="shared" si="18"/>
        <v>459852.12780000002</v>
      </c>
      <c r="BJ48" s="311">
        <v>12</v>
      </c>
      <c r="BK48" s="312">
        <v>41555</v>
      </c>
      <c r="BL48" s="313">
        <f t="shared" si="19"/>
        <v>408003.61200000002</v>
      </c>
      <c r="BM48" s="308">
        <v>0</v>
      </c>
      <c r="BN48" s="309">
        <v>0</v>
      </c>
      <c r="BO48" s="310">
        <f t="shared" si="20"/>
        <v>0</v>
      </c>
      <c r="BP48" s="311"/>
      <c r="BQ48" s="312"/>
      <c r="BR48" s="313">
        <f t="shared" si="21"/>
        <v>0</v>
      </c>
      <c r="BS48" s="308"/>
      <c r="BT48" s="309"/>
      <c r="BU48" s="310">
        <f t="shared" si="22"/>
        <v>0</v>
      </c>
      <c r="BV48" s="311"/>
      <c r="BW48" s="312"/>
      <c r="BX48" s="313">
        <f t="shared" si="23"/>
        <v>0</v>
      </c>
    </row>
    <row r="49" spans="1:76">
      <c r="A49" s="314" t="s">
        <v>441</v>
      </c>
      <c r="B49" s="315" t="s">
        <v>729</v>
      </c>
      <c r="C49" s="316">
        <v>106245</v>
      </c>
      <c r="D49" s="446">
        <v>3</v>
      </c>
      <c r="E49" s="308">
        <v>102</v>
      </c>
      <c r="F49" s="309">
        <v>84031</v>
      </c>
      <c r="G49" s="310">
        <f t="shared" si="0"/>
        <v>8571162</v>
      </c>
      <c r="H49" s="311">
        <v>110</v>
      </c>
      <c r="I49" s="312">
        <v>83158</v>
      </c>
      <c r="J49" s="313">
        <f t="shared" si="1"/>
        <v>9147380</v>
      </c>
      <c r="K49" s="308">
        <v>98</v>
      </c>
      <c r="L49" s="309">
        <v>67880</v>
      </c>
      <c r="M49" s="310">
        <f t="shared" si="2"/>
        <v>6652240</v>
      </c>
      <c r="N49" s="311">
        <v>111</v>
      </c>
      <c r="O49" s="312">
        <v>67912</v>
      </c>
      <c r="P49" s="313">
        <f t="shared" si="3"/>
        <v>7538232</v>
      </c>
      <c r="Q49" s="308">
        <v>125</v>
      </c>
      <c r="R49" s="309">
        <v>57130</v>
      </c>
      <c r="S49" s="310">
        <f t="shared" si="4"/>
        <v>7141250</v>
      </c>
      <c r="T49" s="311">
        <v>111.00069542238217</v>
      </c>
      <c r="U49" s="312">
        <v>57519</v>
      </c>
      <c r="V49" s="313">
        <f t="shared" si="5"/>
        <v>6384649</v>
      </c>
      <c r="W49" s="308">
        <v>65</v>
      </c>
      <c r="X49" s="309">
        <v>39971</v>
      </c>
      <c r="Y49" s="310">
        <f t="shared" si="6"/>
        <v>2598115</v>
      </c>
      <c r="Z49" s="311">
        <v>87</v>
      </c>
      <c r="AA49" s="312">
        <v>40297</v>
      </c>
      <c r="AB49" s="313">
        <f t="shared" si="7"/>
        <v>3505839</v>
      </c>
      <c r="AC49" s="308">
        <v>0</v>
      </c>
      <c r="AD49" s="309">
        <v>0</v>
      </c>
      <c r="AE49" s="310">
        <f t="shared" si="8"/>
        <v>0</v>
      </c>
      <c r="AF49" s="311">
        <v>5</v>
      </c>
      <c r="AG49" s="312">
        <v>49921</v>
      </c>
      <c r="AH49" s="313">
        <f t="shared" si="9"/>
        <v>249605</v>
      </c>
      <c r="AI49" s="308"/>
      <c r="AJ49" s="309"/>
      <c r="AK49" s="310">
        <f t="shared" si="10"/>
        <v>0</v>
      </c>
      <c r="AL49" s="311"/>
      <c r="AM49" s="312"/>
      <c r="AN49" s="313">
        <f t="shared" si="11"/>
        <v>0</v>
      </c>
      <c r="AO49" s="308">
        <v>37</v>
      </c>
      <c r="AP49" s="309">
        <v>97046</v>
      </c>
      <c r="AQ49" s="310">
        <f t="shared" si="12"/>
        <v>2937912.3764</v>
      </c>
      <c r="AR49" s="311">
        <v>39</v>
      </c>
      <c r="AS49" s="312">
        <v>95567</v>
      </c>
      <c r="AT49" s="313">
        <f t="shared" si="13"/>
        <v>3049523.8566000001</v>
      </c>
      <c r="AU49" s="308">
        <v>12</v>
      </c>
      <c r="AV49" s="309">
        <v>82633</v>
      </c>
      <c r="AW49" s="310">
        <f t="shared" si="14"/>
        <v>811323.84720000008</v>
      </c>
      <c r="AX49" s="311">
        <v>12</v>
      </c>
      <c r="AY49" s="312">
        <v>87209</v>
      </c>
      <c r="AZ49" s="313">
        <f t="shared" si="15"/>
        <v>856252.8456</v>
      </c>
      <c r="BA49" s="308">
        <v>19</v>
      </c>
      <c r="BB49" s="309">
        <v>63615</v>
      </c>
      <c r="BC49" s="310">
        <f t="shared" si="16"/>
        <v>988946.06700000004</v>
      </c>
      <c r="BD49" s="311">
        <v>15</v>
      </c>
      <c r="BE49" s="312">
        <v>59484</v>
      </c>
      <c r="BF49" s="313">
        <f t="shared" si="17"/>
        <v>730047.13199999998</v>
      </c>
      <c r="BG49" s="308">
        <v>15</v>
      </c>
      <c r="BH49" s="309">
        <v>51323</v>
      </c>
      <c r="BI49" s="310">
        <f t="shared" si="18"/>
        <v>629887.179</v>
      </c>
      <c r="BJ49" s="311">
        <v>17</v>
      </c>
      <c r="BK49" s="312">
        <v>52380</v>
      </c>
      <c r="BL49" s="313">
        <f t="shared" si="19"/>
        <v>728574.37200000009</v>
      </c>
      <c r="BM49" s="308">
        <v>1</v>
      </c>
      <c r="BN49" s="309">
        <v>39000</v>
      </c>
      <c r="BO49" s="310">
        <f t="shared" si="20"/>
        <v>31909.800000000003</v>
      </c>
      <c r="BP49" s="311">
        <v>5</v>
      </c>
      <c r="BQ49" s="312">
        <v>39723</v>
      </c>
      <c r="BR49" s="313">
        <f t="shared" si="21"/>
        <v>162506.79300000001</v>
      </c>
      <c r="BS49" s="308"/>
      <c r="BT49" s="309"/>
      <c r="BU49" s="310">
        <f t="shared" si="22"/>
        <v>0</v>
      </c>
      <c r="BV49" s="311"/>
      <c r="BW49" s="312"/>
      <c r="BX49" s="313">
        <f t="shared" si="23"/>
        <v>0</v>
      </c>
    </row>
    <row r="50" spans="1:76">
      <c r="A50" s="314" t="s">
        <v>441</v>
      </c>
      <c r="B50" s="315" t="s">
        <v>730</v>
      </c>
      <c r="C50" s="316">
        <v>106704</v>
      </c>
      <c r="D50" s="446">
        <v>3</v>
      </c>
      <c r="E50" s="308">
        <v>64</v>
      </c>
      <c r="F50" s="309">
        <v>76302</v>
      </c>
      <c r="G50" s="310">
        <f t="shared" si="0"/>
        <v>4883328</v>
      </c>
      <c r="H50" s="311">
        <v>65</v>
      </c>
      <c r="I50" s="312">
        <v>76675</v>
      </c>
      <c r="J50" s="313">
        <f t="shared" si="1"/>
        <v>4983875</v>
      </c>
      <c r="K50" s="308">
        <v>76</v>
      </c>
      <c r="L50" s="309">
        <v>60130</v>
      </c>
      <c r="M50" s="310">
        <f t="shared" si="2"/>
        <v>4569880</v>
      </c>
      <c r="N50" s="311">
        <v>79</v>
      </c>
      <c r="O50" s="312">
        <v>62011</v>
      </c>
      <c r="P50" s="313">
        <f t="shared" si="3"/>
        <v>4898869</v>
      </c>
      <c r="Q50" s="308">
        <v>166</v>
      </c>
      <c r="R50" s="309">
        <v>52883</v>
      </c>
      <c r="S50" s="310">
        <f t="shared" si="4"/>
        <v>8778578</v>
      </c>
      <c r="T50" s="311">
        <v>158.99859440609208</v>
      </c>
      <c r="U50" s="312">
        <v>56204</v>
      </c>
      <c r="V50" s="313">
        <f t="shared" si="5"/>
        <v>8936357</v>
      </c>
      <c r="W50" s="308">
        <v>86</v>
      </c>
      <c r="X50" s="309">
        <v>41142</v>
      </c>
      <c r="Y50" s="310">
        <f t="shared" si="6"/>
        <v>3538212</v>
      </c>
      <c r="Z50" s="311">
        <v>119</v>
      </c>
      <c r="AA50" s="312">
        <v>44074</v>
      </c>
      <c r="AB50" s="313">
        <f t="shared" si="7"/>
        <v>5244806</v>
      </c>
      <c r="AC50" s="308">
        <v>52</v>
      </c>
      <c r="AD50" s="309">
        <v>41081</v>
      </c>
      <c r="AE50" s="310">
        <f t="shared" si="8"/>
        <v>2136212</v>
      </c>
      <c r="AF50" s="311"/>
      <c r="AG50" s="312"/>
      <c r="AH50" s="313">
        <f t="shared" si="9"/>
        <v>0</v>
      </c>
      <c r="AI50" s="308"/>
      <c r="AJ50" s="309"/>
      <c r="AK50" s="310">
        <f t="shared" si="10"/>
        <v>0</v>
      </c>
      <c r="AL50" s="311"/>
      <c r="AM50" s="312"/>
      <c r="AN50" s="313">
        <f t="shared" si="11"/>
        <v>0</v>
      </c>
      <c r="AO50" s="308">
        <v>27</v>
      </c>
      <c r="AP50" s="309">
        <v>95911</v>
      </c>
      <c r="AQ50" s="310">
        <f t="shared" si="12"/>
        <v>2118808.2653999999</v>
      </c>
      <c r="AR50" s="311">
        <v>29</v>
      </c>
      <c r="AS50" s="312">
        <v>97151</v>
      </c>
      <c r="AT50" s="313">
        <f t="shared" si="13"/>
        <v>2305179.4978</v>
      </c>
      <c r="AU50" s="308">
        <v>18</v>
      </c>
      <c r="AV50" s="309">
        <v>94471</v>
      </c>
      <c r="AW50" s="310">
        <f t="shared" si="14"/>
        <v>1391331.0996000001</v>
      </c>
      <c r="AX50" s="311">
        <v>12</v>
      </c>
      <c r="AY50" s="312">
        <v>90154</v>
      </c>
      <c r="AZ50" s="313">
        <f t="shared" si="15"/>
        <v>885168.03360000008</v>
      </c>
      <c r="BA50" s="308">
        <v>4</v>
      </c>
      <c r="BB50" s="309">
        <v>76488</v>
      </c>
      <c r="BC50" s="310">
        <f t="shared" si="16"/>
        <v>250329.92640000003</v>
      </c>
      <c r="BD50" s="317"/>
      <c r="BE50" s="312"/>
      <c r="BF50" s="313">
        <f t="shared" si="17"/>
        <v>0</v>
      </c>
      <c r="BG50" s="308">
        <v>12</v>
      </c>
      <c r="BH50" s="309">
        <v>53266</v>
      </c>
      <c r="BI50" s="310">
        <f t="shared" si="18"/>
        <v>522986.89440000005</v>
      </c>
      <c r="BJ50" s="311">
        <v>14</v>
      </c>
      <c r="BK50" s="312">
        <v>48890</v>
      </c>
      <c r="BL50" s="313">
        <f t="shared" si="19"/>
        <v>560025.17200000002</v>
      </c>
      <c r="BM50" s="308">
        <v>5</v>
      </c>
      <c r="BN50" s="309">
        <v>51636</v>
      </c>
      <c r="BO50" s="310">
        <f t="shared" si="20"/>
        <v>211242.87600000002</v>
      </c>
      <c r="BP50" s="311"/>
      <c r="BQ50" s="312"/>
      <c r="BR50" s="313">
        <f t="shared" si="21"/>
        <v>0</v>
      </c>
      <c r="BS50" s="308"/>
      <c r="BT50" s="309"/>
      <c r="BU50" s="310">
        <f t="shared" si="22"/>
        <v>0</v>
      </c>
      <c r="BV50" s="311"/>
      <c r="BW50" s="312"/>
      <c r="BX50" s="313">
        <f t="shared" si="23"/>
        <v>0</v>
      </c>
    </row>
    <row r="51" spans="1:76">
      <c r="A51" s="314" t="s">
        <v>441</v>
      </c>
      <c r="B51" s="315" t="s">
        <v>731</v>
      </c>
      <c r="C51" s="316">
        <v>106467</v>
      </c>
      <c r="D51" s="446">
        <v>4</v>
      </c>
      <c r="E51" s="308">
        <v>32</v>
      </c>
      <c r="F51" s="309">
        <v>64377</v>
      </c>
      <c r="G51" s="310">
        <f t="shared" si="0"/>
        <v>2060064</v>
      </c>
      <c r="H51" s="311">
        <v>36</v>
      </c>
      <c r="I51" s="312">
        <v>64888</v>
      </c>
      <c r="J51" s="313">
        <f t="shared" si="1"/>
        <v>2335968</v>
      </c>
      <c r="K51" s="308">
        <v>67</v>
      </c>
      <c r="L51" s="309">
        <v>55614</v>
      </c>
      <c r="M51" s="310">
        <f t="shared" si="2"/>
        <v>3726138</v>
      </c>
      <c r="N51" s="311">
        <v>65</v>
      </c>
      <c r="O51" s="312">
        <v>57795</v>
      </c>
      <c r="P51" s="313">
        <f t="shared" si="3"/>
        <v>3756675</v>
      </c>
      <c r="Q51" s="308">
        <v>101</v>
      </c>
      <c r="R51" s="309">
        <v>47469</v>
      </c>
      <c r="S51" s="310">
        <f t="shared" si="4"/>
        <v>4794369</v>
      </c>
      <c r="T51" s="311">
        <v>104.99967073446793</v>
      </c>
      <c r="U51" s="312">
        <v>48593</v>
      </c>
      <c r="V51" s="313">
        <f t="shared" si="5"/>
        <v>5102249</v>
      </c>
      <c r="W51" s="308">
        <v>25</v>
      </c>
      <c r="X51" s="309">
        <v>35934</v>
      </c>
      <c r="Y51" s="310">
        <f t="shared" si="6"/>
        <v>898350</v>
      </c>
      <c r="Z51" s="311">
        <v>26</v>
      </c>
      <c r="AA51" s="312">
        <v>37461</v>
      </c>
      <c r="AB51" s="313">
        <f t="shared" si="7"/>
        <v>973986</v>
      </c>
      <c r="AC51" s="308">
        <v>14</v>
      </c>
      <c r="AD51" s="309">
        <v>32187</v>
      </c>
      <c r="AE51" s="310">
        <f t="shared" si="8"/>
        <v>450618</v>
      </c>
      <c r="AF51" s="311">
        <v>28</v>
      </c>
      <c r="AG51" s="312">
        <v>40301</v>
      </c>
      <c r="AH51" s="313">
        <f t="shared" si="9"/>
        <v>1128428</v>
      </c>
      <c r="AI51" s="308"/>
      <c r="AJ51" s="309"/>
      <c r="AK51" s="310">
        <f t="shared" si="10"/>
        <v>0</v>
      </c>
      <c r="AL51" s="311"/>
      <c r="AM51" s="312"/>
      <c r="AN51" s="313">
        <f t="shared" si="11"/>
        <v>0</v>
      </c>
      <c r="AO51" s="308">
        <v>16</v>
      </c>
      <c r="AP51" s="309">
        <v>88929</v>
      </c>
      <c r="AQ51" s="310">
        <f t="shared" si="12"/>
        <v>1164187.3248000001</v>
      </c>
      <c r="AR51" s="311">
        <v>14</v>
      </c>
      <c r="AS51" s="312">
        <v>97828</v>
      </c>
      <c r="AT51" s="313">
        <f t="shared" si="13"/>
        <v>1120600.1744000001</v>
      </c>
      <c r="AU51" s="308">
        <v>6</v>
      </c>
      <c r="AV51" s="309">
        <v>82747</v>
      </c>
      <c r="AW51" s="310">
        <f t="shared" si="14"/>
        <v>406221.5724</v>
      </c>
      <c r="AX51" s="311">
        <v>5</v>
      </c>
      <c r="AY51" s="312">
        <v>90320</v>
      </c>
      <c r="AZ51" s="313">
        <f t="shared" si="15"/>
        <v>369499.12</v>
      </c>
      <c r="BA51" s="308">
        <v>2</v>
      </c>
      <c r="BB51" s="309">
        <v>65000</v>
      </c>
      <c r="BC51" s="310">
        <f t="shared" si="16"/>
        <v>106366</v>
      </c>
      <c r="BD51" s="311">
        <v>3</v>
      </c>
      <c r="BE51" s="312">
        <v>68309</v>
      </c>
      <c r="BF51" s="313">
        <f t="shared" si="17"/>
        <v>167671.2714</v>
      </c>
      <c r="BG51" s="308">
        <v>0</v>
      </c>
      <c r="BH51" s="309">
        <v>0</v>
      </c>
      <c r="BI51" s="310">
        <f t="shared" si="18"/>
        <v>0</v>
      </c>
      <c r="BJ51" s="311"/>
      <c r="BK51" s="312"/>
      <c r="BL51" s="313">
        <f t="shared" si="19"/>
        <v>0</v>
      </c>
      <c r="BM51" s="308">
        <v>14</v>
      </c>
      <c r="BN51" s="309">
        <v>46466</v>
      </c>
      <c r="BO51" s="310">
        <f t="shared" si="20"/>
        <v>532258.73680000007</v>
      </c>
      <c r="BP51" s="311">
        <v>8</v>
      </c>
      <c r="BQ51" s="312">
        <v>39079</v>
      </c>
      <c r="BR51" s="313">
        <f t="shared" si="21"/>
        <v>255795.5024</v>
      </c>
      <c r="BS51" s="308"/>
      <c r="BT51" s="309"/>
      <c r="BU51" s="310">
        <f t="shared" si="22"/>
        <v>0</v>
      </c>
      <c r="BV51" s="311"/>
      <c r="BW51" s="312"/>
      <c r="BX51" s="313">
        <f t="shared" si="23"/>
        <v>0</v>
      </c>
    </row>
    <row r="52" spans="1:76">
      <c r="A52" s="314" t="s">
        <v>441</v>
      </c>
      <c r="B52" s="315" t="s">
        <v>732</v>
      </c>
      <c r="C52" s="316">
        <v>107071</v>
      </c>
      <c r="D52" s="446">
        <v>4</v>
      </c>
      <c r="E52" s="308">
        <v>59</v>
      </c>
      <c r="F52" s="309">
        <v>65898</v>
      </c>
      <c r="G52" s="310">
        <f t="shared" si="0"/>
        <v>3887982</v>
      </c>
      <c r="H52" s="311">
        <v>51</v>
      </c>
      <c r="I52" s="312">
        <v>64280</v>
      </c>
      <c r="J52" s="313">
        <f t="shared" si="1"/>
        <v>3278280</v>
      </c>
      <c r="K52" s="308">
        <v>37</v>
      </c>
      <c r="L52" s="309">
        <v>53631</v>
      </c>
      <c r="M52" s="310">
        <f t="shared" si="2"/>
        <v>1984347</v>
      </c>
      <c r="N52" s="311">
        <v>34</v>
      </c>
      <c r="O52" s="312">
        <v>53352</v>
      </c>
      <c r="P52" s="313">
        <f t="shared" si="3"/>
        <v>1813968</v>
      </c>
      <c r="Q52" s="308">
        <v>30</v>
      </c>
      <c r="R52" s="309">
        <v>47649</v>
      </c>
      <c r="S52" s="310">
        <f t="shared" si="4"/>
        <v>1429470</v>
      </c>
      <c r="T52" s="311">
        <v>37.9999371477656</v>
      </c>
      <c r="U52" s="312">
        <v>47731</v>
      </c>
      <c r="V52" s="313">
        <f t="shared" si="5"/>
        <v>1813774.9999999998</v>
      </c>
      <c r="W52" s="308">
        <v>22</v>
      </c>
      <c r="X52" s="309">
        <v>40624</v>
      </c>
      <c r="Y52" s="310">
        <f t="shared" si="6"/>
        <v>893728</v>
      </c>
      <c r="Z52" s="311">
        <v>26</v>
      </c>
      <c r="AA52" s="312">
        <v>40361</v>
      </c>
      <c r="AB52" s="313">
        <f t="shared" si="7"/>
        <v>1049386</v>
      </c>
      <c r="AC52" s="308">
        <v>0</v>
      </c>
      <c r="AD52" s="309">
        <v>0</v>
      </c>
      <c r="AE52" s="310">
        <f t="shared" si="8"/>
        <v>0</v>
      </c>
      <c r="AF52" s="311"/>
      <c r="AG52" s="312"/>
      <c r="AH52" s="313">
        <f t="shared" si="9"/>
        <v>0</v>
      </c>
      <c r="AI52" s="308"/>
      <c r="AJ52" s="309"/>
      <c r="AK52" s="310">
        <f t="shared" si="10"/>
        <v>0</v>
      </c>
      <c r="AL52" s="311"/>
      <c r="AM52" s="312"/>
      <c r="AN52" s="313">
        <f t="shared" si="11"/>
        <v>0</v>
      </c>
      <c r="AO52" s="308">
        <v>0</v>
      </c>
      <c r="AP52" s="309">
        <v>0</v>
      </c>
      <c r="AQ52" s="310">
        <f t="shared" si="12"/>
        <v>0</v>
      </c>
      <c r="AR52" s="311">
        <v>2</v>
      </c>
      <c r="AS52" s="312">
        <v>80636</v>
      </c>
      <c r="AT52" s="313">
        <f t="shared" si="13"/>
        <v>131952.75040000002</v>
      </c>
      <c r="AU52" s="308">
        <v>0</v>
      </c>
      <c r="AV52" s="309">
        <v>0</v>
      </c>
      <c r="AW52" s="310">
        <f t="shared" si="14"/>
        <v>0</v>
      </c>
      <c r="AX52" s="311">
        <v>1</v>
      </c>
      <c r="AY52" s="312">
        <v>70000</v>
      </c>
      <c r="AZ52" s="313">
        <f t="shared" si="15"/>
        <v>57274</v>
      </c>
      <c r="BA52" s="308">
        <v>3</v>
      </c>
      <c r="BB52" s="309">
        <v>62262</v>
      </c>
      <c r="BC52" s="310">
        <f t="shared" si="16"/>
        <v>152828.3052</v>
      </c>
      <c r="BD52" s="311">
        <v>3</v>
      </c>
      <c r="BE52" s="312">
        <v>62262</v>
      </c>
      <c r="BF52" s="313">
        <f t="shared" si="17"/>
        <v>152828.3052</v>
      </c>
      <c r="BG52" s="308">
        <v>7</v>
      </c>
      <c r="BH52" s="309">
        <v>46218</v>
      </c>
      <c r="BI52" s="310">
        <f t="shared" si="18"/>
        <v>264708.97320000001</v>
      </c>
      <c r="BJ52" s="311">
        <v>13</v>
      </c>
      <c r="BK52" s="312">
        <v>48150</v>
      </c>
      <c r="BL52" s="313">
        <f t="shared" si="19"/>
        <v>512152.29000000004</v>
      </c>
      <c r="BM52" s="308">
        <v>3</v>
      </c>
      <c r="BN52" s="309">
        <v>58709</v>
      </c>
      <c r="BO52" s="310">
        <f t="shared" si="20"/>
        <v>144107.11139999999</v>
      </c>
      <c r="BP52" s="311"/>
      <c r="BQ52" s="312"/>
      <c r="BR52" s="313">
        <f t="shared" si="21"/>
        <v>0</v>
      </c>
      <c r="BS52" s="308"/>
      <c r="BT52" s="309"/>
      <c r="BU52" s="310">
        <f t="shared" si="22"/>
        <v>0</v>
      </c>
      <c r="BV52" s="311"/>
      <c r="BW52" s="312"/>
      <c r="BX52" s="313">
        <f t="shared" si="23"/>
        <v>0</v>
      </c>
    </row>
    <row r="53" spans="1:76">
      <c r="A53" s="314" t="s">
        <v>441</v>
      </c>
      <c r="B53" s="315" t="s">
        <v>733</v>
      </c>
      <c r="C53" s="316">
        <v>107983</v>
      </c>
      <c r="D53" s="446">
        <v>5</v>
      </c>
      <c r="E53" s="308">
        <v>19</v>
      </c>
      <c r="F53" s="309">
        <v>69433</v>
      </c>
      <c r="G53" s="310">
        <f t="shared" si="0"/>
        <v>1319227</v>
      </c>
      <c r="H53" s="311">
        <v>17</v>
      </c>
      <c r="I53" s="312">
        <v>69980</v>
      </c>
      <c r="J53" s="313">
        <f t="shared" si="1"/>
        <v>1189660</v>
      </c>
      <c r="K53" s="308">
        <v>34</v>
      </c>
      <c r="L53" s="309">
        <v>55727</v>
      </c>
      <c r="M53" s="310">
        <f t="shared" si="2"/>
        <v>1894718</v>
      </c>
      <c r="N53" s="311">
        <v>32</v>
      </c>
      <c r="O53" s="312">
        <v>55738</v>
      </c>
      <c r="P53" s="313">
        <f t="shared" si="3"/>
        <v>1783616</v>
      </c>
      <c r="Q53" s="308">
        <v>54</v>
      </c>
      <c r="R53" s="309">
        <v>46367</v>
      </c>
      <c r="S53" s="310">
        <f t="shared" si="4"/>
        <v>2503818</v>
      </c>
      <c r="T53" s="311">
        <v>58</v>
      </c>
      <c r="U53" s="312">
        <v>47543</v>
      </c>
      <c r="V53" s="313">
        <f t="shared" si="5"/>
        <v>2757494</v>
      </c>
      <c r="W53" s="308">
        <v>23</v>
      </c>
      <c r="X53" s="309">
        <v>40850</v>
      </c>
      <c r="Y53" s="310">
        <f t="shared" si="6"/>
        <v>939550</v>
      </c>
      <c r="Z53" s="311">
        <v>24</v>
      </c>
      <c r="AA53" s="312">
        <v>40967</v>
      </c>
      <c r="AB53" s="313">
        <f t="shared" si="7"/>
        <v>983208</v>
      </c>
      <c r="AC53" s="308">
        <v>0</v>
      </c>
      <c r="AD53" s="309">
        <v>0</v>
      </c>
      <c r="AE53" s="310">
        <f t="shared" si="8"/>
        <v>0</v>
      </c>
      <c r="AF53" s="311"/>
      <c r="AG53" s="312"/>
      <c r="AH53" s="313">
        <f t="shared" si="9"/>
        <v>0</v>
      </c>
      <c r="AI53" s="308"/>
      <c r="AJ53" s="309"/>
      <c r="AK53" s="310">
        <f t="shared" si="10"/>
        <v>0</v>
      </c>
      <c r="AL53" s="311"/>
      <c r="AM53" s="312"/>
      <c r="AN53" s="313">
        <f t="shared" si="11"/>
        <v>0</v>
      </c>
      <c r="AO53" s="308">
        <v>4</v>
      </c>
      <c r="AP53" s="309">
        <v>92355</v>
      </c>
      <c r="AQ53" s="310">
        <f t="shared" si="12"/>
        <v>302259.44400000002</v>
      </c>
      <c r="AR53" s="311">
        <v>3</v>
      </c>
      <c r="AS53" s="312">
        <v>97554</v>
      </c>
      <c r="AT53" s="313">
        <f t="shared" si="13"/>
        <v>239456.0484</v>
      </c>
      <c r="AU53" s="308">
        <v>2</v>
      </c>
      <c r="AV53" s="309">
        <v>97600</v>
      </c>
      <c r="AW53" s="310">
        <f t="shared" si="14"/>
        <v>159712.64000000001</v>
      </c>
      <c r="AX53" s="311">
        <v>3</v>
      </c>
      <c r="AY53" s="312">
        <v>90322</v>
      </c>
      <c r="AZ53" s="313">
        <f t="shared" si="15"/>
        <v>221704.3812</v>
      </c>
      <c r="BA53" s="308">
        <v>3</v>
      </c>
      <c r="BB53" s="309">
        <v>67609</v>
      </c>
      <c r="BC53" s="310">
        <f t="shared" si="16"/>
        <v>165953.0514</v>
      </c>
      <c r="BD53" s="311">
        <v>3</v>
      </c>
      <c r="BE53" s="312">
        <v>66180</v>
      </c>
      <c r="BF53" s="313">
        <f t="shared" si="17"/>
        <v>162445.42800000001</v>
      </c>
      <c r="BG53" s="308">
        <v>13</v>
      </c>
      <c r="BH53" s="309">
        <v>44006</v>
      </c>
      <c r="BI53" s="310">
        <f t="shared" si="18"/>
        <v>468074.21960000001</v>
      </c>
      <c r="BJ53" s="311">
        <v>16</v>
      </c>
      <c r="BK53" s="312">
        <v>46377</v>
      </c>
      <c r="BL53" s="313">
        <f t="shared" si="19"/>
        <v>607130.58240000007</v>
      </c>
      <c r="BM53" s="308">
        <v>0</v>
      </c>
      <c r="BN53" s="309">
        <v>0</v>
      </c>
      <c r="BO53" s="310">
        <f t="shared" si="20"/>
        <v>0</v>
      </c>
      <c r="BP53" s="311"/>
      <c r="BQ53" s="312"/>
      <c r="BR53" s="313">
        <f t="shared" si="21"/>
        <v>0</v>
      </c>
      <c r="BS53" s="308"/>
      <c r="BT53" s="309"/>
      <c r="BU53" s="310">
        <f t="shared" si="22"/>
        <v>0</v>
      </c>
      <c r="BV53" s="311"/>
      <c r="BW53" s="312"/>
      <c r="BX53" s="313">
        <f t="shared" si="23"/>
        <v>0</v>
      </c>
    </row>
    <row r="54" spans="1:76">
      <c r="A54" s="314" t="s">
        <v>441</v>
      </c>
      <c r="B54" s="315" t="s">
        <v>734</v>
      </c>
      <c r="C54" s="316">
        <v>106485</v>
      </c>
      <c r="D54" s="446">
        <v>5</v>
      </c>
      <c r="E54" s="308">
        <v>19</v>
      </c>
      <c r="F54" s="309">
        <v>57423</v>
      </c>
      <c r="G54" s="310">
        <f t="shared" si="0"/>
        <v>1091037</v>
      </c>
      <c r="H54" s="311">
        <v>17</v>
      </c>
      <c r="I54" s="312">
        <v>58246</v>
      </c>
      <c r="J54" s="313">
        <f t="shared" si="1"/>
        <v>990182</v>
      </c>
      <c r="K54" s="308">
        <v>24</v>
      </c>
      <c r="L54" s="309">
        <v>54961</v>
      </c>
      <c r="M54" s="310">
        <f t="shared" si="2"/>
        <v>1319064</v>
      </c>
      <c r="N54" s="311">
        <v>24</v>
      </c>
      <c r="O54" s="312">
        <v>55978</v>
      </c>
      <c r="P54" s="313">
        <f t="shared" si="3"/>
        <v>1343472</v>
      </c>
      <c r="Q54" s="308">
        <v>34</v>
      </c>
      <c r="R54" s="309">
        <v>43671</v>
      </c>
      <c r="S54" s="310">
        <f t="shared" si="4"/>
        <v>1484814</v>
      </c>
      <c r="T54" s="311">
        <v>32.00032358719519</v>
      </c>
      <c r="U54" s="312">
        <v>43265</v>
      </c>
      <c r="V54" s="313">
        <f t="shared" si="5"/>
        <v>1384494</v>
      </c>
      <c r="W54" s="308">
        <v>26</v>
      </c>
      <c r="X54" s="309">
        <v>38701</v>
      </c>
      <c r="Y54" s="310">
        <f t="shared" si="6"/>
        <v>1006226</v>
      </c>
      <c r="Z54" s="311">
        <v>25</v>
      </c>
      <c r="AA54" s="312">
        <v>39600</v>
      </c>
      <c r="AB54" s="313">
        <f t="shared" si="7"/>
        <v>990000</v>
      </c>
      <c r="AC54" s="308">
        <v>3</v>
      </c>
      <c r="AD54" s="309">
        <v>41362</v>
      </c>
      <c r="AE54" s="310">
        <f t="shared" si="8"/>
        <v>124086</v>
      </c>
      <c r="AF54" s="311">
        <v>4</v>
      </c>
      <c r="AG54" s="312">
        <v>37898</v>
      </c>
      <c r="AH54" s="313">
        <f t="shared" si="9"/>
        <v>151592</v>
      </c>
      <c r="AI54" s="308"/>
      <c r="AJ54" s="309"/>
      <c r="AK54" s="310">
        <f t="shared" si="10"/>
        <v>0</v>
      </c>
      <c r="AL54" s="311"/>
      <c r="AM54" s="312"/>
      <c r="AN54" s="313">
        <f t="shared" si="11"/>
        <v>0</v>
      </c>
      <c r="AO54" s="308">
        <v>7</v>
      </c>
      <c r="AP54" s="309">
        <v>92266</v>
      </c>
      <c r="AQ54" s="310">
        <f t="shared" si="12"/>
        <v>528444.28840000008</v>
      </c>
      <c r="AR54" s="311">
        <v>6</v>
      </c>
      <c r="AS54" s="312">
        <v>95237</v>
      </c>
      <c r="AT54" s="313">
        <f t="shared" si="13"/>
        <v>467537.4804</v>
      </c>
      <c r="AU54" s="308">
        <v>2</v>
      </c>
      <c r="AV54" s="309">
        <v>71144</v>
      </c>
      <c r="AW54" s="310">
        <f t="shared" si="14"/>
        <v>116420.04160000001</v>
      </c>
      <c r="AX54" s="311">
        <v>2</v>
      </c>
      <c r="AY54" s="312">
        <v>72344</v>
      </c>
      <c r="AZ54" s="313">
        <f t="shared" si="15"/>
        <v>118383.7216</v>
      </c>
      <c r="BA54" s="308">
        <v>7</v>
      </c>
      <c r="BB54" s="309">
        <v>62607</v>
      </c>
      <c r="BC54" s="310">
        <f t="shared" si="16"/>
        <v>358575.33180000004</v>
      </c>
      <c r="BD54" s="311">
        <v>6</v>
      </c>
      <c r="BE54" s="312">
        <v>63891</v>
      </c>
      <c r="BF54" s="313">
        <f t="shared" si="17"/>
        <v>313653.6972</v>
      </c>
      <c r="BG54" s="308">
        <v>7</v>
      </c>
      <c r="BH54" s="309">
        <v>46700</v>
      </c>
      <c r="BI54" s="310">
        <f t="shared" si="18"/>
        <v>267469.58</v>
      </c>
      <c r="BJ54" s="311">
        <v>7</v>
      </c>
      <c r="BK54" s="312">
        <v>45812</v>
      </c>
      <c r="BL54" s="313">
        <f t="shared" si="19"/>
        <v>262383.64880000002</v>
      </c>
      <c r="BM54" s="308">
        <v>20</v>
      </c>
      <c r="BN54" s="309">
        <v>39520</v>
      </c>
      <c r="BO54" s="310">
        <f t="shared" si="20"/>
        <v>646705.28</v>
      </c>
      <c r="BP54" s="311">
        <v>23</v>
      </c>
      <c r="BQ54" s="312">
        <v>41531</v>
      </c>
      <c r="BR54" s="313">
        <f t="shared" si="21"/>
        <v>781555.27659999998</v>
      </c>
      <c r="BS54" s="308"/>
      <c r="BT54" s="309"/>
      <c r="BU54" s="310">
        <f t="shared" si="22"/>
        <v>0</v>
      </c>
      <c r="BV54" s="311"/>
      <c r="BW54" s="312"/>
      <c r="BX54" s="313">
        <f t="shared" si="23"/>
        <v>0</v>
      </c>
    </row>
    <row r="55" spans="1:76">
      <c r="A55" s="314" t="s">
        <v>441</v>
      </c>
      <c r="B55" s="397" t="s">
        <v>213</v>
      </c>
      <c r="C55" s="398">
        <v>108092</v>
      </c>
      <c r="D55" s="399">
        <v>6</v>
      </c>
      <c r="E55" s="308">
        <v>8</v>
      </c>
      <c r="F55" s="309">
        <v>78123</v>
      </c>
      <c r="G55" s="310">
        <f t="shared" si="0"/>
        <v>624984</v>
      </c>
      <c r="H55" s="311">
        <v>7</v>
      </c>
      <c r="I55" s="312">
        <v>74918</v>
      </c>
      <c r="J55" s="313">
        <f t="shared" si="1"/>
        <v>524426</v>
      </c>
      <c r="K55" s="308">
        <v>36</v>
      </c>
      <c r="L55" s="309">
        <v>66150</v>
      </c>
      <c r="M55" s="310">
        <f t="shared" si="2"/>
        <v>2381400</v>
      </c>
      <c r="N55" s="311">
        <v>36</v>
      </c>
      <c r="O55" s="312">
        <v>67770</v>
      </c>
      <c r="P55" s="313">
        <f t="shared" si="3"/>
        <v>2439720</v>
      </c>
      <c r="Q55" s="308">
        <v>79</v>
      </c>
      <c r="R55" s="309">
        <v>54179</v>
      </c>
      <c r="S55" s="310">
        <f t="shared" si="4"/>
        <v>4280141</v>
      </c>
      <c r="T55" s="311">
        <v>93.999744544193859</v>
      </c>
      <c r="U55" s="312">
        <v>54804</v>
      </c>
      <c r="V55" s="313">
        <f t="shared" si="5"/>
        <v>5151562</v>
      </c>
      <c r="W55" s="308">
        <v>45</v>
      </c>
      <c r="X55" s="309">
        <v>43562</v>
      </c>
      <c r="Y55" s="310">
        <f t="shared" si="6"/>
        <v>1960290</v>
      </c>
      <c r="Z55" s="311">
        <v>45</v>
      </c>
      <c r="AA55" s="312">
        <v>45967</v>
      </c>
      <c r="AB55" s="313">
        <f t="shared" si="7"/>
        <v>2068515</v>
      </c>
      <c r="AC55" s="308">
        <v>10</v>
      </c>
      <c r="AD55" s="309">
        <v>36530</v>
      </c>
      <c r="AE55" s="310">
        <f t="shared" si="8"/>
        <v>365300</v>
      </c>
      <c r="AF55" s="311">
        <v>9</v>
      </c>
      <c r="AG55" s="312">
        <v>40208</v>
      </c>
      <c r="AH55" s="313">
        <f t="shared" si="9"/>
        <v>361872</v>
      </c>
      <c r="AI55" s="308"/>
      <c r="AJ55" s="309"/>
      <c r="AK55" s="310">
        <f t="shared" si="10"/>
        <v>0</v>
      </c>
      <c r="AL55" s="311"/>
      <c r="AM55" s="312"/>
      <c r="AN55" s="313">
        <f t="shared" si="11"/>
        <v>0</v>
      </c>
      <c r="AO55" s="308">
        <v>1</v>
      </c>
      <c r="AP55" s="309">
        <v>96152</v>
      </c>
      <c r="AQ55" s="310">
        <f t="shared" si="12"/>
        <v>78671.566400000011</v>
      </c>
      <c r="AR55" s="311">
        <v>2</v>
      </c>
      <c r="AS55" s="312">
        <v>112064</v>
      </c>
      <c r="AT55" s="313">
        <f t="shared" si="13"/>
        <v>183381.52960000001</v>
      </c>
      <c r="AU55" s="308">
        <v>1</v>
      </c>
      <c r="AV55" s="309">
        <v>78000</v>
      </c>
      <c r="AW55" s="310">
        <f t="shared" si="14"/>
        <v>63819.600000000006</v>
      </c>
      <c r="AX55" s="311">
        <v>1</v>
      </c>
      <c r="AY55" s="312">
        <v>85000</v>
      </c>
      <c r="AZ55" s="313">
        <f t="shared" si="15"/>
        <v>69547</v>
      </c>
      <c r="BA55" s="308">
        <v>6</v>
      </c>
      <c r="BB55" s="309">
        <v>68213</v>
      </c>
      <c r="BC55" s="310">
        <f t="shared" si="16"/>
        <v>334871.25959999999</v>
      </c>
      <c r="BD55" s="311">
        <v>6</v>
      </c>
      <c r="BE55" s="312">
        <v>74504</v>
      </c>
      <c r="BF55" s="313">
        <f t="shared" si="17"/>
        <v>365755.0368</v>
      </c>
      <c r="BG55" s="308">
        <v>10</v>
      </c>
      <c r="BH55" s="309">
        <v>58108</v>
      </c>
      <c r="BI55" s="310">
        <f t="shared" si="18"/>
        <v>475439.65600000002</v>
      </c>
      <c r="BJ55" s="311">
        <v>13</v>
      </c>
      <c r="BK55" s="312">
        <v>59347</v>
      </c>
      <c r="BL55" s="313">
        <f t="shared" si="19"/>
        <v>631250.30020000006</v>
      </c>
      <c r="BM55" s="308">
        <v>6</v>
      </c>
      <c r="BN55" s="309">
        <v>61929</v>
      </c>
      <c r="BO55" s="310">
        <f t="shared" si="20"/>
        <v>304021.8468</v>
      </c>
      <c r="BP55" s="311">
        <v>2</v>
      </c>
      <c r="BQ55" s="312">
        <v>54290</v>
      </c>
      <c r="BR55" s="313">
        <f t="shared" si="21"/>
        <v>88840.156000000003</v>
      </c>
      <c r="BS55" s="308"/>
      <c r="BT55" s="309"/>
      <c r="BU55" s="310">
        <f t="shared" si="22"/>
        <v>0</v>
      </c>
      <c r="BV55" s="311"/>
      <c r="BW55" s="312"/>
      <c r="BX55" s="313">
        <f t="shared" si="23"/>
        <v>0</v>
      </c>
    </row>
    <row r="56" spans="1:76">
      <c r="A56" s="314" t="s">
        <v>441</v>
      </c>
      <c r="B56" s="318" t="s">
        <v>735</v>
      </c>
      <c r="C56" s="316">
        <v>106412</v>
      </c>
      <c r="D56" s="446">
        <v>6</v>
      </c>
      <c r="E56" s="308">
        <v>18</v>
      </c>
      <c r="F56" s="309">
        <v>56937</v>
      </c>
      <c r="G56" s="310">
        <f t="shared" si="0"/>
        <v>1024866</v>
      </c>
      <c r="H56" s="311">
        <v>19</v>
      </c>
      <c r="I56" s="312">
        <v>57809</v>
      </c>
      <c r="J56" s="313">
        <f t="shared" si="1"/>
        <v>1098371</v>
      </c>
      <c r="K56" s="308">
        <v>16</v>
      </c>
      <c r="L56" s="309">
        <v>51218</v>
      </c>
      <c r="M56" s="310">
        <f t="shared" si="2"/>
        <v>819488</v>
      </c>
      <c r="N56" s="311">
        <v>17</v>
      </c>
      <c r="O56" s="312">
        <v>50944</v>
      </c>
      <c r="P56" s="313">
        <f t="shared" si="3"/>
        <v>866048</v>
      </c>
      <c r="Q56" s="308">
        <v>28</v>
      </c>
      <c r="R56" s="309">
        <v>45183</v>
      </c>
      <c r="S56" s="310">
        <f t="shared" si="4"/>
        <v>1265124</v>
      </c>
      <c r="T56" s="311">
        <v>31.000263325360425</v>
      </c>
      <c r="U56" s="312">
        <v>45571</v>
      </c>
      <c r="V56" s="313">
        <f t="shared" si="5"/>
        <v>1412713</v>
      </c>
      <c r="W56" s="308">
        <v>38</v>
      </c>
      <c r="X56" s="309">
        <v>36795</v>
      </c>
      <c r="Y56" s="310">
        <f t="shared" si="6"/>
        <v>1398210</v>
      </c>
      <c r="Z56" s="311">
        <v>38</v>
      </c>
      <c r="AA56" s="312">
        <v>37060</v>
      </c>
      <c r="AB56" s="313">
        <f t="shared" si="7"/>
        <v>1408280</v>
      </c>
      <c r="AC56" s="308">
        <v>0</v>
      </c>
      <c r="AD56" s="309">
        <v>0</v>
      </c>
      <c r="AE56" s="310">
        <f t="shared" si="8"/>
        <v>0</v>
      </c>
      <c r="AF56" s="311"/>
      <c r="AG56" s="312"/>
      <c r="AH56" s="313">
        <f t="shared" si="9"/>
        <v>0</v>
      </c>
      <c r="AI56" s="308"/>
      <c r="AJ56" s="309"/>
      <c r="AK56" s="310">
        <f t="shared" si="10"/>
        <v>0</v>
      </c>
      <c r="AL56" s="311"/>
      <c r="AM56" s="312"/>
      <c r="AN56" s="313">
        <f t="shared" si="11"/>
        <v>0</v>
      </c>
      <c r="AO56" s="308">
        <v>16</v>
      </c>
      <c r="AP56" s="309">
        <v>75260</v>
      </c>
      <c r="AQ56" s="310">
        <f t="shared" si="12"/>
        <v>985243.71200000006</v>
      </c>
      <c r="AR56" s="311">
        <v>14</v>
      </c>
      <c r="AS56" s="312">
        <v>75074</v>
      </c>
      <c r="AT56" s="313">
        <f t="shared" si="13"/>
        <v>859957.65520000004</v>
      </c>
      <c r="AU56" s="308">
        <v>14</v>
      </c>
      <c r="AV56" s="309">
        <v>62859</v>
      </c>
      <c r="AW56" s="310">
        <f t="shared" si="14"/>
        <v>720037.27320000005</v>
      </c>
      <c r="AX56" s="311">
        <v>18</v>
      </c>
      <c r="AY56" s="312">
        <v>65858</v>
      </c>
      <c r="AZ56" s="313">
        <f t="shared" si="15"/>
        <v>969930.28080000007</v>
      </c>
      <c r="BA56" s="308">
        <v>20</v>
      </c>
      <c r="BB56" s="309">
        <v>55344</v>
      </c>
      <c r="BC56" s="310">
        <f t="shared" si="16"/>
        <v>905649.21600000001</v>
      </c>
      <c r="BD56" s="311">
        <v>16</v>
      </c>
      <c r="BE56" s="312">
        <v>54747</v>
      </c>
      <c r="BF56" s="313">
        <f t="shared" si="17"/>
        <v>716703.9264</v>
      </c>
      <c r="BG56" s="308">
        <v>14</v>
      </c>
      <c r="BH56" s="309">
        <v>42813</v>
      </c>
      <c r="BI56" s="310">
        <f t="shared" si="18"/>
        <v>490414.35240000003</v>
      </c>
      <c r="BJ56" s="311">
        <v>14</v>
      </c>
      <c r="BK56" s="312">
        <v>40720</v>
      </c>
      <c r="BL56" s="313">
        <f t="shared" si="19"/>
        <v>466439.45600000001</v>
      </c>
      <c r="BM56" s="308">
        <v>0</v>
      </c>
      <c r="BN56" s="309">
        <v>0</v>
      </c>
      <c r="BO56" s="310">
        <f t="shared" si="20"/>
        <v>0</v>
      </c>
      <c r="BP56" s="311"/>
      <c r="BQ56" s="312"/>
      <c r="BR56" s="313">
        <f t="shared" si="21"/>
        <v>0</v>
      </c>
      <c r="BS56" s="308"/>
      <c r="BT56" s="309"/>
      <c r="BU56" s="310">
        <f t="shared" si="22"/>
        <v>0</v>
      </c>
      <c r="BV56" s="311"/>
      <c r="BW56" s="312"/>
      <c r="BX56" s="313">
        <f t="shared" si="23"/>
        <v>0</v>
      </c>
    </row>
    <row r="57" spans="1:76">
      <c r="A57" s="314" t="s">
        <v>441</v>
      </c>
      <c r="B57" s="319" t="s">
        <v>736</v>
      </c>
      <c r="C57" s="316">
        <v>107664</v>
      </c>
      <c r="D57" s="447">
        <v>8</v>
      </c>
      <c r="E57" s="308">
        <v>0</v>
      </c>
      <c r="F57" s="309">
        <v>0</v>
      </c>
      <c r="G57" s="310">
        <f t="shared" si="0"/>
        <v>0</v>
      </c>
      <c r="H57" s="311"/>
      <c r="I57" s="312"/>
      <c r="J57" s="313">
        <f t="shared" si="1"/>
        <v>0</v>
      </c>
      <c r="K57" s="308">
        <v>0</v>
      </c>
      <c r="L57" s="309">
        <v>0</v>
      </c>
      <c r="M57" s="310">
        <f t="shared" si="2"/>
        <v>0</v>
      </c>
      <c r="N57" s="311"/>
      <c r="O57" s="312"/>
      <c r="P57" s="313">
        <f t="shared" si="3"/>
        <v>0</v>
      </c>
      <c r="Q57" s="308">
        <v>0</v>
      </c>
      <c r="R57" s="309">
        <v>0</v>
      </c>
      <c r="S57" s="310">
        <f t="shared" si="4"/>
        <v>0</v>
      </c>
      <c r="T57" s="311"/>
      <c r="U57" s="312"/>
      <c r="V57" s="313">
        <f t="shared" si="5"/>
        <v>0</v>
      </c>
      <c r="W57" s="308">
        <v>0</v>
      </c>
      <c r="X57" s="309">
        <v>0</v>
      </c>
      <c r="Y57" s="310">
        <f t="shared" si="6"/>
        <v>0</v>
      </c>
      <c r="Z57" s="311"/>
      <c r="AA57" s="312"/>
      <c r="AB57" s="313">
        <f t="shared" si="7"/>
        <v>0</v>
      </c>
      <c r="AC57" s="308">
        <v>0</v>
      </c>
      <c r="AD57" s="309">
        <v>0</v>
      </c>
      <c r="AE57" s="310">
        <f t="shared" si="8"/>
        <v>0</v>
      </c>
      <c r="AF57" s="311"/>
      <c r="AG57" s="312"/>
      <c r="AH57" s="313">
        <f t="shared" si="9"/>
        <v>0</v>
      </c>
      <c r="AI57" s="308">
        <v>129</v>
      </c>
      <c r="AJ57" s="309">
        <v>45959</v>
      </c>
      <c r="AK57" s="310">
        <f t="shared" si="10"/>
        <v>5928711</v>
      </c>
      <c r="AL57" s="311">
        <v>141</v>
      </c>
      <c r="AM57" s="312">
        <v>43773</v>
      </c>
      <c r="AN57" s="313">
        <f t="shared" si="11"/>
        <v>6171993</v>
      </c>
      <c r="AO57" s="308">
        <v>0</v>
      </c>
      <c r="AP57" s="309">
        <v>0</v>
      </c>
      <c r="AQ57" s="310">
        <f t="shared" si="12"/>
        <v>0</v>
      </c>
      <c r="AR57" s="311"/>
      <c r="AS57" s="312"/>
      <c r="AT57" s="313">
        <f t="shared" si="13"/>
        <v>0</v>
      </c>
      <c r="AU57" s="308">
        <v>0</v>
      </c>
      <c r="AV57" s="309">
        <v>0</v>
      </c>
      <c r="AW57" s="310">
        <f t="shared" si="14"/>
        <v>0</v>
      </c>
      <c r="AX57" s="311"/>
      <c r="AY57" s="312"/>
      <c r="AZ57" s="313">
        <f t="shared" si="15"/>
        <v>0</v>
      </c>
      <c r="BA57" s="308">
        <v>0</v>
      </c>
      <c r="BB57" s="309">
        <v>0</v>
      </c>
      <c r="BC57" s="310">
        <f t="shared" si="16"/>
        <v>0</v>
      </c>
      <c r="BD57" s="311"/>
      <c r="BE57" s="312"/>
      <c r="BF57" s="313">
        <f t="shared" si="17"/>
        <v>0</v>
      </c>
      <c r="BG57" s="308">
        <v>0</v>
      </c>
      <c r="BH57" s="309">
        <v>0</v>
      </c>
      <c r="BI57" s="310">
        <f t="shared" si="18"/>
        <v>0</v>
      </c>
      <c r="BJ57" s="311">
        <v>0</v>
      </c>
      <c r="BK57" s="312">
        <v>0</v>
      </c>
      <c r="BL57" s="313">
        <f t="shared" si="19"/>
        <v>0</v>
      </c>
      <c r="BM57" s="308">
        <v>0</v>
      </c>
      <c r="BN57" s="309">
        <v>0</v>
      </c>
      <c r="BO57" s="310">
        <f t="shared" si="20"/>
        <v>0</v>
      </c>
      <c r="BP57" s="311"/>
      <c r="BQ57" s="312"/>
      <c r="BR57" s="313">
        <f t="shared" si="21"/>
        <v>0</v>
      </c>
      <c r="BS57" s="308">
        <v>8</v>
      </c>
      <c r="BT57" s="309">
        <v>59539</v>
      </c>
      <c r="BU57" s="310">
        <f t="shared" si="22"/>
        <v>389718.47840000002</v>
      </c>
      <c r="BV57" s="311">
        <v>10</v>
      </c>
      <c r="BW57" s="312">
        <v>58031</v>
      </c>
      <c r="BX57" s="313">
        <f t="shared" si="23"/>
        <v>474809.64200000005</v>
      </c>
    </row>
    <row r="58" spans="1:76">
      <c r="A58" s="314" t="s">
        <v>441</v>
      </c>
      <c r="B58" s="315" t="s">
        <v>737</v>
      </c>
      <c r="C58" s="316">
        <v>106449</v>
      </c>
      <c r="D58" s="446">
        <v>9</v>
      </c>
      <c r="E58" s="308">
        <v>4</v>
      </c>
      <c r="F58" s="309">
        <v>51725</v>
      </c>
      <c r="G58" s="310">
        <f t="shared" si="0"/>
        <v>206900</v>
      </c>
      <c r="H58" s="311">
        <v>3</v>
      </c>
      <c r="I58" s="312">
        <v>56215</v>
      </c>
      <c r="J58" s="313">
        <f t="shared" si="1"/>
        <v>168645</v>
      </c>
      <c r="K58" s="308">
        <v>9</v>
      </c>
      <c r="L58" s="309">
        <v>44305</v>
      </c>
      <c r="M58" s="310">
        <f t="shared" si="2"/>
        <v>398745</v>
      </c>
      <c r="N58" s="311">
        <v>8</v>
      </c>
      <c r="O58" s="312">
        <v>47952</v>
      </c>
      <c r="P58" s="313">
        <f t="shared" si="3"/>
        <v>383616</v>
      </c>
      <c r="Q58" s="308">
        <v>31</v>
      </c>
      <c r="R58" s="309">
        <v>43682</v>
      </c>
      <c r="S58" s="310">
        <f t="shared" si="4"/>
        <v>1354142</v>
      </c>
      <c r="T58" s="311">
        <v>29.999891065164817</v>
      </c>
      <c r="U58" s="312">
        <v>45899</v>
      </c>
      <c r="V58" s="313">
        <f t="shared" si="5"/>
        <v>1376965</v>
      </c>
      <c r="W58" s="308">
        <v>62</v>
      </c>
      <c r="X58" s="309">
        <v>38648</v>
      </c>
      <c r="Y58" s="310">
        <f t="shared" si="6"/>
        <v>2396176</v>
      </c>
      <c r="Z58" s="311">
        <v>66</v>
      </c>
      <c r="AA58" s="312">
        <v>40739</v>
      </c>
      <c r="AB58" s="313">
        <f t="shared" si="7"/>
        <v>2688774</v>
      </c>
      <c r="AC58" s="308">
        <v>0</v>
      </c>
      <c r="AD58" s="309">
        <v>0</v>
      </c>
      <c r="AE58" s="310">
        <f t="shared" si="8"/>
        <v>0</v>
      </c>
      <c r="AF58" s="311"/>
      <c r="AG58" s="312"/>
      <c r="AH58" s="313">
        <f t="shared" si="9"/>
        <v>0</v>
      </c>
      <c r="AI58" s="308">
        <v>0</v>
      </c>
      <c r="AJ58" s="309">
        <v>0</v>
      </c>
      <c r="AK58" s="310">
        <f t="shared" si="10"/>
        <v>0</v>
      </c>
      <c r="AL58" s="311">
        <v>0</v>
      </c>
      <c r="AM58" s="312">
        <v>0</v>
      </c>
      <c r="AN58" s="313">
        <f t="shared" si="11"/>
        <v>0</v>
      </c>
      <c r="AO58" s="308">
        <v>1</v>
      </c>
      <c r="AP58" s="309">
        <v>69621</v>
      </c>
      <c r="AQ58" s="310">
        <f t="shared" si="12"/>
        <v>56963.902200000004</v>
      </c>
      <c r="AR58" s="311">
        <v>2</v>
      </c>
      <c r="AS58" s="312">
        <v>88355</v>
      </c>
      <c r="AT58" s="313">
        <f t="shared" si="13"/>
        <v>144584.122</v>
      </c>
      <c r="AU58" s="308">
        <v>1</v>
      </c>
      <c r="AV58" s="309">
        <v>70928</v>
      </c>
      <c r="AW58" s="310">
        <f t="shared" si="14"/>
        <v>58033.289600000004</v>
      </c>
      <c r="AX58" s="311">
        <v>3</v>
      </c>
      <c r="AY58" s="312">
        <v>75285</v>
      </c>
      <c r="AZ58" s="313">
        <f t="shared" si="15"/>
        <v>184794.56100000002</v>
      </c>
      <c r="BA58" s="308">
        <v>8</v>
      </c>
      <c r="BB58" s="309">
        <v>61461</v>
      </c>
      <c r="BC58" s="310">
        <f t="shared" si="16"/>
        <v>402299.12160000001</v>
      </c>
      <c r="BD58" s="311">
        <v>5</v>
      </c>
      <c r="BE58" s="312">
        <v>59451</v>
      </c>
      <c r="BF58" s="313">
        <f t="shared" si="17"/>
        <v>243214.041</v>
      </c>
      <c r="BG58" s="308">
        <v>4</v>
      </c>
      <c r="BH58" s="309">
        <v>42050</v>
      </c>
      <c r="BI58" s="310">
        <f t="shared" si="18"/>
        <v>137621.24000000002</v>
      </c>
      <c r="BJ58" s="311">
        <v>4</v>
      </c>
      <c r="BK58" s="451">
        <v>0</v>
      </c>
      <c r="BL58" s="313">
        <f t="shared" si="19"/>
        <v>0</v>
      </c>
      <c r="BM58" s="308">
        <v>0</v>
      </c>
      <c r="BN58" s="309">
        <v>0</v>
      </c>
      <c r="BO58" s="310">
        <f t="shared" si="20"/>
        <v>0</v>
      </c>
      <c r="BP58" s="311"/>
      <c r="BQ58" s="312"/>
      <c r="BR58" s="313">
        <f t="shared" si="21"/>
        <v>0</v>
      </c>
      <c r="BS58" s="308">
        <v>0</v>
      </c>
      <c r="BT58" s="309">
        <v>0</v>
      </c>
      <c r="BU58" s="310">
        <f t="shared" si="22"/>
        <v>0</v>
      </c>
      <c r="BV58" s="311">
        <v>0</v>
      </c>
      <c r="BW58" s="312">
        <v>0</v>
      </c>
      <c r="BX58" s="313">
        <f t="shared" si="23"/>
        <v>0</v>
      </c>
    </row>
    <row r="59" spans="1:76">
      <c r="A59" s="314" t="s">
        <v>441</v>
      </c>
      <c r="B59" s="315" t="s">
        <v>738</v>
      </c>
      <c r="C59" s="316">
        <v>367459</v>
      </c>
      <c r="D59" s="446">
        <v>9</v>
      </c>
      <c r="E59" s="308"/>
      <c r="F59" s="309"/>
      <c r="G59" s="310">
        <f t="shared" si="0"/>
        <v>0</v>
      </c>
      <c r="H59" s="311"/>
      <c r="I59" s="312"/>
      <c r="J59" s="313">
        <f t="shared" si="1"/>
        <v>0</v>
      </c>
      <c r="K59" s="308"/>
      <c r="L59" s="309"/>
      <c r="M59" s="310">
        <f t="shared" si="2"/>
        <v>0</v>
      </c>
      <c r="N59" s="311"/>
      <c r="O59" s="312"/>
      <c r="P59" s="313">
        <f t="shared" si="3"/>
        <v>0</v>
      </c>
      <c r="Q59" s="308">
        <v>0</v>
      </c>
      <c r="R59" s="309">
        <v>0</v>
      </c>
      <c r="S59" s="310">
        <f t="shared" si="4"/>
        <v>0</v>
      </c>
      <c r="T59" s="311"/>
      <c r="U59" s="312"/>
      <c r="V59" s="313">
        <f t="shared" si="5"/>
        <v>0</v>
      </c>
      <c r="W59" s="308">
        <v>0</v>
      </c>
      <c r="X59" s="309">
        <v>0</v>
      </c>
      <c r="Y59" s="310">
        <f t="shared" si="6"/>
        <v>0</v>
      </c>
      <c r="Z59" s="311">
        <v>0</v>
      </c>
      <c r="AA59" s="312">
        <v>0</v>
      </c>
      <c r="AB59" s="313">
        <f t="shared" si="7"/>
        <v>0</v>
      </c>
      <c r="AC59" s="308">
        <v>0</v>
      </c>
      <c r="AD59" s="309">
        <v>0</v>
      </c>
      <c r="AE59" s="310">
        <f t="shared" si="8"/>
        <v>0</v>
      </c>
      <c r="AF59" s="311"/>
      <c r="AG59" s="312"/>
      <c r="AH59" s="313">
        <f t="shared" si="9"/>
        <v>0</v>
      </c>
      <c r="AI59" s="308">
        <v>124</v>
      </c>
      <c r="AJ59" s="309">
        <v>48671</v>
      </c>
      <c r="AK59" s="310">
        <f t="shared" si="10"/>
        <v>6035204</v>
      </c>
      <c r="AL59" s="311">
        <v>132</v>
      </c>
      <c r="AM59" s="312">
        <v>49769</v>
      </c>
      <c r="AN59" s="313">
        <f t="shared" si="11"/>
        <v>6569508</v>
      </c>
      <c r="AO59" s="308"/>
      <c r="AP59" s="309"/>
      <c r="AQ59" s="310">
        <f t="shared" si="12"/>
        <v>0</v>
      </c>
      <c r="AR59" s="311"/>
      <c r="AS59" s="312"/>
      <c r="AT59" s="313">
        <f t="shared" si="13"/>
        <v>0</v>
      </c>
      <c r="AU59" s="308"/>
      <c r="AV59" s="309"/>
      <c r="AW59" s="310">
        <f t="shared" si="14"/>
        <v>0</v>
      </c>
      <c r="AX59" s="311"/>
      <c r="AY59" s="312"/>
      <c r="AZ59" s="313">
        <f t="shared" si="15"/>
        <v>0</v>
      </c>
      <c r="BA59" s="308">
        <v>0</v>
      </c>
      <c r="BB59" s="309">
        <v>0</v>
      </c>
      <c r="BC59" s="310">
        <f t="shared" si="16"/>
        <v>0</v>
      </c>
      <c r="BD59" s="311"/>
      <c r="BE59" s="312"/>
      <c r="BF59" s="313">
        <f t="shared" si="17"/>
        <v>0</v>
      </c>
      <c r="BG59" s="308">
        <v>0</v>
      </c>
      <c r="BH59" s="309">
        <v>0</v>
      </c>
      <c r="BI59" s="310">
        <f t="shared" si="18"/>
        <v>0</v>
      </c>
      <c r="BJ59" s="311">
        <v>0</v>
      </c>
      <c r="BK59" s="312">
        <v>0</v>
      </c>
      <c r="BL59" s="313">
        <f t="shared" si="19"/>
        <v>0</v>
      </c>
      <c r="BM59" s="308">
        <v>0</v>
      </c>
      <c r="BN59" s="309">
        <v>0</v>
      </c>
      <c r="BO59" s="310">
        <f t="shared" si="20"/>
        <v>0</v>
      </c>
      <c r="BP59" s="311"/>
      <c r="BQ59" s="312"/>
      <c r="BR59" s="313">
        <f t="shared" si="21"/>
        <v>0</v>
      </c>
      <c r="BS59" s="308">
        <v>0</v>
      </c>
      <c r="BT59" s="309">
        <v>0</v>
      </c>
      <c r="BU59" s="310">
        <f t="shared" si="22"/>
        <v>0</v>
      </c>
      <c r="BV59" s="311">
        <v>0</v>
      </c>
      <c r="BW59" s="312">
        <v>0</v>
      </c>
      <c r="BX59" s="313">
        <f t="shared" si="23"/>
        <v>0</v>
      </c>
    </row>
    <row r="60" spans="1:76">
      <c r="A60" s="314" t="s">
        <v>441</v>
      </c>
      <c r="B60" s="315" t="s">
        <v>739</v>
      </c>
      <c r="C60" s="316">
        <v>107327</v>
      </c>
      <c r="D60" s="446">
        <v>10</v>
      </c>
      <c r="E60" s="308"/>
      <c r="F60" s="309"/>
      <c r="G60" s="310">
        <f t="shared" si="0"/>
        <v>0</v>
      </c>
      <c r="H60" s="311"/>
      <c r="I60" s="312"/>
      <c r="J60" s="313">
        <f t="shared" si="1"/>
        <v>0</v>
      </c>
      <c r="K60" s="308"/>
      <c r="L60" s="309"/>
      <c r="M60" s="310">
        <f t="shared" si="2"/>
        <v>0</v>
      </c>
      <c r="N60" s="311"/>
      <c r="O60" s="312"/>
      <c r="P60" s="313">
        <f t="shared" si="3"/>
        <v>0</v>
      </c>
      <c r="Q60" s="308">
        <v>0</v>
      </c>
      <c r="R60" s="309">
        <v>0</v>
      </c>
      <c r="S60" s="310">
        <f t="shared" si="4"/>
        <v>0</v>
      </c>
      <c r="T60" s="311">
        <v>10.000020443208767</v>
      </c>
      <c r="U60" s="312">
        <v>48916</v>
      </c>
      <c r="V60" s="313">
        <f t="shared" si="5"/>
        <v>489161.00000000006</v>
      </c>
      <c r="W60" s="308">
        <v>0</v>
      </c>
      <c r="X60" s="309">
        <v>0</v>
      </c>
      <c r="Y60" s="310">
        <f t="shared" si="6"/>
        <v>0</v>
      </c>
      <c r="Z60" s="311">
        <v>32</v>
      </c>
      <c r="AA60" s="312">
        <v>39587</v>
      </c>
      <c r="AB60" s="313">
        <f t="shared" si="7"/>
        <v>1266784</v>
      </c>
      <c r="AC60" s="308">
        <v>0</v>
      </c>
      <c r="AD60" s="309">
        <v>0</v>
      </c>
      <c r="AE60" s="310">
        <f t="shared" si="8"/>
        <v>0</v>
      </c>
      <c r="AF60" s="311"/>
      <c r="AG60" s="312"/>
      <c r="AH60" s="313">
        <f t="shared" si="9"/>
        <v>0</v>
      </c>
      <c r="AI60" s="308">
        <v>72</v>
      </c>
      <c r="AJ60" s="309">
        <v>41168</v>
      </c>
      <c r="AK60" s="310">
        <f t="shared" si="10"/>
        <v>2964096</v>
      </c>
      <c r="AL60" s="311">
        <v>0</v>
      </c>
      <c r="AM60" s="312">
        <v>0</v>
      </c>
      <c r="AN60" s="313">
        <f t="shared" si="11"/>
        <v>0</v>
      </c>
      <c r="AO60" s="308"/>
      <c r="AP60" s="309"/>
      <c r="AQ60" s="310">
        <f t="shared" si="12"/>
        <v>0</v>
      </c>
      <c r="AR60" s="311"/>
      <c r="AS60" s="312"/>
      <c r="AT60" s="313">
        <f t="shared" si="13"/>
        <v>0</v>
      </c>
      <c r="AU60" s="308"/>
      <c r="AV60" s="309"/>
      <c r="AW60" s="310">
        <f t="shared" si="14"/>
        <v>0</v>
      </c>
      <c r="AX60" s="311"/>
      <c r="AY60" s="312"/>
      <c r="AZ60" s="313">
        <f t="shared" si="15"/>
        <v>0</v>
      </c>
      <c r="BA60" s="308">
        <v>0</v>
      </c>
      <c r="BB60" s="309">
        <v>0</v>
      </c>
      <c r="BC60" s="310">
        <f t="shared" si="16"/>
        <v>0</v>
      </c>
      <c r="BD60" s="311"/>
      <c r="BE60" s="312"/>
      <c r="BF60" s="313">
        <f t="shared" si="17"/>
        <v>0</v>
      </c>
      <c r="BG60" s="308">
        <v>0</v>
      </c>
      <c r="BH60" s="309">
        <v>0</v>
      </c>
      <c r="BI60" s="310">
        <f t="shared" si="18"/>
        <v>0</v>
      </c>
      <c r="BJ60" s="311">
        <v>0</v>
      </c>
      <c r="BK60" s="312">
        <v>0</v>
      </c>
      <c r="BL60" s="313">
        <f t="shared" si="19"/>
        <v>0</v>
      </c>
      <c r="BM60" s="308">
        <v>0</v>
      </c>
      <c r="BN60" s="309">
        <v>0</v>
      </c>
      <c r="BO60" s="310">
        <f t="shared" si="20"/>
        <v>0</v>
      </c>
      <c r="BP60" s="311"/>
      <c r="BQ60" s="312"/>
      <c r="BR60" s="313">
        <f t="shared" si="21"/>
        <v>0</v>
      </c>
      <c r="BS60" s="308">
        <v>4</v>
      </c>
      <c r="BT60" s="309">
        <v>65824</v>
      </c>
      <c r="BU60" s="310">
        <f t="shared" si="22"/>
        <v>215428.78720000002</v>
      </c>
      <c r="BV60" s="311">
        <v>0</v>
      </c>
      <c r="BW60" s="312">
        <v>0</v>
      </c>
      <c r="BX60" s="313">
        <f t="shared" si="23"/>
        <v>0</v>
      </c>
    </row>
    <row r="61" spans="1:76">
      <c r="A61" s="314" t="s">
        <v>441</v>
      </c>
      <c r="B61" s="315" t="s">
        <v>740</v>
      </c>
      <c r="C61" s="316">
        <v>420538</v>
      </c>
      <c r="D61" s="446">
        <v>10</v>
      </c>
      <c r="E61" s="308"/>
      <c r="F61" s="309"/>
      <c r="G61" s="310">
        <f t="shared" si="0"/>
        <v>0</v>
      </c>
      <c r="H61" s="311"/>
      <c r="I61" s="312"/>
      <c r="J61" s="313">
        <f t="shared" si="1"/>
        <v>0</v>
      </c>
      <c r="K61" s="308"/>
      <c r="L61" s="309"/>
      <c r="M61" s="310">
        <f t="shared" si="2"/>
        <v>0</v>
      </c>
      <c r="N61" s="311"/>
      <c r="O61" s="312"/>
      <c r="P61" s="313">
        <f t="shared" si="3"/>
        <v>0</v>
      </c>
      <c r="Q61" s="308">
        <v>11</v>
      </c>
      <c r="R61" s="309">
        <v>46394</v>
      </c>
      <c r="S61" s="310">
        <f t="shared" si="4"/>
        <v>510334</v>
      </c>
      <c r="T61" s="311"/>
      <c r="U61" s="312"/>
      <c r="V61" s="313">
        <f t="shared" si="5"/>
        <v>0</v>
      </c>
      <c r="W61" s="308">
        <v>29</v>
      </c>
      <c r="X61" s="309">
        <v>38642</v>
      </c>
      <c r="Y61" s="310">
        <f t="shared" si="6"/>
        <v>1120618</v>
      </c>
      <c r="Z61" s="311">
        <v>0</v>
      </c>
      <c r="AA61" s="312">
        <v>0</v>
      </c>
      <c r="AB61" s="313">
        <f t="shared" si="7"/>
        <v>0</v>
      </c>
      <c r="AC61" s="308">
        <v>0</v>
      </c>
      <c r="AD61" s="309">
        <v>0</v>
      </c>
      <c r="AE61" s="310">
        <f t="shared" si="8"/>
        <v>0</v>
      </c>
      <c r="AF61" s="311">
        <v>73</v>
      </c>
      <c r="AG61" s="312">
        <v>42568</v>
      </c>
      <c r="AH61" s="313">
        <f t="shared" si="9"/>
        <v>3107464</v>
      </c>
      <c r="AI61" s="308">
        <v>0</v>
      </c>
      <c r="AJ61" s="309">
        <v>0</v>
      </c>
      <c r="AK61" s="310">
        <f t="shared" si="10"/>
        <v>0</v>
      </c>
      <c r="AL61" s="311">
        <v>0</v>
      </c>
      <c r="AM61" s="312">
        <v>0</v>
      </c>
      <c r="AN61" s="313">
        <f t="shared" si="11"/>
        <v>0</v>
      </c>
      <c r="AO61" s="308"/>
      <c r="AP61" s="309"/>
      <c r="AQ61" s="310">
        <f t="shared" si="12"/>
        <v>0</v>
      </c>
      <c r="AR61" s="311"/>
      <c r="AS61" s="312"/>
      <c r="AT61" s="313">
        <f t="shared" si="13"/>
        <v>0</v>
      </c>
      <c r="AU61" s="308"/>
      <c r="AV61" s="309"/>
      <c r="AW61" s="310">
        <f t="shared" si="14"/>
        <v>0</v>
      </c>
      <c r="AX61" s="311"/>
      <c r="AY61" s="312"/>
      <c r="AZ61" s="313">
        <f t="shared" si="15"/>
        <v>0</v>
      </c>
      <c r="BA61" s="308">
        <v>0</v>
      </c>
      <c r="BB61" s="309">
        <v>0</v>
      </c>
      <c r="BC61" s="310">
        <f t="shared" si="16"/>
        <v>0</v>
      </c>
      <c r="BD61" s="311"/>
      <c r="BE61" s="312"/>
      <c r="BF61" s="313">
        <f t="shared" si="17"/>
        <v>0</v>
      </c>
      <c r="BG61" s="308">
        <v>0</v>
      </c>
      <c r="BH61" s="309">
        <v>0</v>
      </c>
      <c r="BI61" s="310">
        <f t="shared" si="18"/>
        <v>0</v>
      </c>
      <c r="BJ61" s="311">
        <v>0</v>
      </c>
      <c r="BK61" s="312">
        <v>0</v>
      </c>
      <c r="BL61" s="313">
        <f t="shared" si="19"/>
        <v>0</v>
      </c>
      <c r="BM61" s="308"/>
      <c r="BN61" s="309"/>
      <c r="BO61" s="310">
        <f t="shared" si="20"/>
        <v>0</v>
      </c>
      <c r="BP61" s="311">
        <v>5</v>
      </c>
      <c r="BQ61" s="312">
        <v>63187</v>
      </c>
      <c r="BR61" s="313">
        <f t="shared" si="21"/>
        <v>258498.01700000002</v>
      </c>
      <c r="BS61" s="308">
        <v>0</v>
      </c>
      <c r="BT61" s="309">
        <v>0</v>
      </c>
      <c r="BU61" s="310">
        <f t="shared" si="22"/>
        <v>0</v>
      </c>
      <c r="BV61" s="311">
        <v>0</v>
      </c>
      <c r="BW61" s="312">
        <v>0</v>
      </c>
      <c r="BX61" s="313">
        <f t="shared" si="23"/>
        <v>0</v>
      </c>
    </row>
    <row r="62" spans="1:76">
      <c r="A62" s="314" t="s">
        <v>441</v>
      </c>
      <c r="B62" s="315" t="s">
        <v>741</v>
      </c>
      <c r="C62" s="316">
        <v>440402</v>
      </c>
      <c r="D62" s="446">
        <v>10</v>
      </c>
      <c r="E62" s="308"/>
      <c r="F62" s="309"/>
      <c r="G62" s="310">
        <f t="shared" si="0"/>
        <v>0</v>
      </c>
      <c r="H62" s="311"/>
      <c r="I62" s="312"/>
      <c r="J62" s="313">
        <f t="shared" si="1"/>
        <v>0</v>
      </c>
      <c r="K62" s="308"/>
      <c r="L62" s="309"/>
      <c r="M62" s="310">
        <f t="shared" si="2"/>
        <v>0</v>
      </c>
      <c r="N62" s="311"/>
      <c r="O62" s="312"/>
      <c r="P62" s="313">
        <f t="shared" si="3"/>
        <v>0</v>
      </c>
      <c r="Q62" s="308">
        <v>21</v>
      </c>
      <c r="R62" s="309">
        <v>39621</v>
      </c>
      <c r="S62" s="310">
        <f t="shared" si="4"/>
        <v>832041</v>
      </c>
      <c r="T62" s="311">
        <v>19.000098468810005</v>
      </c>
      <c r="U62" s="312">
        <v>40622</v>
      </c>
      <c r="V62" s="313">
        <f t="shared" si="5"/>
        <v>771822</v>
      </c>
      <c r="W62" s="308">
        <v>1</v>
      </c>
      <c r="X62" s="309">
        <v>35020</v>
      </c>
      <c r="Y62" s="310">
        <f t="shared" si="6"/>
        <v>35020</v>
      </c>
      <c r="Z62" s="311">
        <v>34</v>
      </c>
      <c r="AA62" s="312">
        <v>37676</v>
      </c>
      <c r="AB62" s="313">
        <f t="shared" si="7"/>
        <v>1280984</v>
      </c>
      <c r="AC62" s="308"/>
      <c r="AD62" s="309"/>
      <c r="AE62" s="310">
        <f t="shared" si="8"/>
        <v>0</v>
      </c>
      <c r="AF62" s="312"/>
      <c r="AG62" s="312"/>
      <c r="AH62" s="313">
        <f t="shared" si="9"/>
        <v>0</v>
      </c>
      <c r="AI62" s="308">
        <v>0</v>
      </c>
      <c r="AJ62" s="309">
        <v>0</v>
      </c>
      <c r="AK62" s="310">
        <f t="shared" si="10"/>
        <v>0</v>
      </c>
      <c r="AL62" s="311">
        <v>0</v>
      </c>
      <c r="AM62" s="312">
        <v>0</v>
      </c>
      <c r="AN62" s="313">
        <f t="shared" si="11"/>
        <v>0</v>
      </c>
      <c r="AO62" s="308"/>
      <c r="AP62" s="309"/>
      <c r="AQ62" s="310">
        <f t="shared" si="12"/>
        <v>0</v>
      </c>
      <c r="AR62" s="311"/>
      <c r="AS62" s="312"/>
      <c r="AT62" s="313">
        <f t="shared" si="13"/>
        <v>0</v>
      </c>
      <c r="AU62" s="308"/>
      <c r="AV62" s="309"/>
      <c r="AW62" s="310">
        <f t="shared" si="14"/>
        <v>0</v>
      </c>
      <c r="AX62" s="311"/>
      <c r="AY62" s="312"/>
      <c r="AZ62" s="313">
        <f t="shared" si="15"/>
        <v>0</v>
      </c>
      <c r="BA62" s="308">
        <v>4</v>
      </c>
      <c r="BB62" s="309">
        <v>40610</v>
      </c>
      <c r="BC62" s="310">
        <f t="shared" si="16"/>
        <v>132908.408</v>
      </c>
      <c r="BD62" s="311">
        <v>4</v>
      </c>
      <c r="BE62" s="312">
        <v>41740</v>
      </c>
      <c r="BF62" s="313">
        <f t="shared" si="17"/>
        <v>136606.67200000002</v>
      </c>
      <c r="BG62" s="308">
        <v>19</v>
      </c>
      <c r="BH62" s="309">
        <v>41756</v>
      </c>
      <c r="BI62" s="310">
        <f t="shared" si="18"/>
        <v>649130.42480000004</v>
      </c>
      <c r="BJ62" s="311">
        <v>16</v>
      </c>
      <c r="BK62" s="312">
        <v>0</v>
      </c>
      <c r="BL62" s="313">
        <f t="shared" si="19"/>
        <v>0</v>
      </c>
      <c r="BM62" s="308"/>
      <c r="BN62" s="309"/>
      <c r="BO62" s="310">
        <f t="shared" si="20"/>
        <v>0</v>
      </c>
      <c r="BP62" s="311"/>
      <c r="BQ62" s="312"/>
      <c r="BR62" s="313">
        <f t="shared" si="21"/>
        <v>0</v>
      </c>
      <c r="BS62" s="308">
        <v>0</v>
      </c>
      <c r="BT62" s="309">
        <v>0</v>
      </c>
      <c r="BU62" s="310">
        <f t="shared" si="22"/>
        <v>0</v>
      </c>
      <c r="BV62" s="311">
        <v>0</v>
      </c>
      <c r="BW62" s="312">
        <v>0</v>
      </c>
      <c r="BX62" s="313">
        <f t="shared" si="23"/>
        <v>0</v>
      </c>
    </row>
    <row r="63" spans="1:76">
      <c r="A63" s="314" t="s">
        <v>441</v>
      </c>
      <c r="B63" s="315" t="s">
        <v>742</v>
      </c>
      <c r="C63" s="316">
        <v>106625</v>
      </c>
      <c r="D63" s="446">
        <v>10</v>
      </c>
      <c r="E63" s="308"/>
      <c r="F63" s="309"/>
      <c r="G63" s="310">
        <f t="shared" si="0"/>
        <v>0</v>
      </c>
      <c r="H63" s="311"/>
      <c r="I63" s="312"/>
      <c r="J63" s="313">
        <f t="shared" si="1"/>
        <v>0</v>
      </c>
      <c r="K63" s="308"/>
      <c r="L63" s="309"/>
      <c r="M63" s="310">
        <f t="shared" si="2"/>
        <v>0</v>
      </c>
      <c r="N63" s="311"/>
      <c r="O63" s="312"/>
      <c r="P63" s="313">
        <f t="shared" si="3"/>
        <v>0</v>
      </c>
      <c r="Q63" s="308"/>
      <c r="R63" s="309"/>
      <c r="S63" s="310">
        <f t="shared" si="4"/>
        <v>0</v>
      </c>
      <c r="T63" s="311"/>
      <c r="U63" s="312"/>
      <c r="V63" s="313">
        <f t="shared" si="5"/>
        <v>0</v>
      </c>
      <c r="W63" s="308"/>
      <c r="X63" s="309"/>
      <c r="Y63" s="310">
        <f t="shared" si="6"/>
        <v>0</v>
      </c>
      <c r="Z63" s="311">
        <v>0</v>
      </c>
      <c r="AA63" s="312">
        <v>0</v>
      </c>
      <c r="AB63" s="313">
        <f t="shared" si="7"/>
        <v>0</v>
      </c>
      <c r="AC63" s="308"/>
      <c r="AD63" s="309"/>
      <c r="AE63" s="310">
        <f t="shared" si="8"/>
        <v>0</v>
      </c>
      <c r="AF63" s="311">
        <v>58</v>
      </c>
      <c r="AG63" s="312">
        <v>40546</v>
      </c>
      <c r="AH63" s="313">
        <f t="shared" si="9"/>
        <v>2351668</v>
      </c>
      <c r="AI63" s="308">
        <v>55</v>
      </c>
      <c r="AJ63" s="309">
        <v>39229</v>
      </c>
      <c r="AK63" s="310">
        <f t="shared" si="10"/>
        <v>2157595</v>
      </c>
      <c r="AL63" s="311">
        <v>0</v>
      </c>
      <c r="AM63" s="312">
        <v>0</v>
      </c>
      <c r="AN63" s="313">
        <f t="shared" si="11"/>
        <v>0</v>
      </c>
      <c r="AO63" s="308"/>
      <c r="AP63" s="309"/>
      <c r="AQ63" s="310">
        <f t="shared" si="12"/>
        <v>0</v>
      </c>
      <c r="AR63" s="311"/>
      <c r="AS63" s="312"/>
      <c r="AT63" s="313">
        <f t="shared" si="13"/>
        <v>0</v>
      </c>
      <c r="AU63" s="308"/>
      <c r="AV63" s="309"/>
      <c r="AW63" s="310">
        <f t="shared" si="14"/>
        <v>0</v>
      </c>
      <c r="AX63" s="311"/>
      <c r="AY63" s="312"/>
      <c r="AZ63" s="313">
        <f t="shared" si="15"/>
        <v>0</v>
      </c>
      <c r="BA63" s="308"/>
      <c r="BB63" s="309"/>
      <c r="BC63" s="310">
        <f t="shared" si="16"/>
        <v>0</v>
      </c>
      <c r="BD63" s="311"/>
      <c r="BE63" s="312"/>
      <c r="BF63" s="313">
        <f t="shared" si="17"/>
        <v>0</v>
      </c>
      <c r="BG63" s="308">
        <v>0</v>
      </c>
      <c r="BH63" s="309">
        <v>0</v>
      </c>
      <c r="BI63" s="310">
        <f t="shared" si="18"/>
        <v>0</v>
      </c>
      <c r="BJ63" s="311">
        <v>0</v>
      </c>
      <c r="BK63" s="312">
        <v>0</v>
      </c>
      <c r="BL63" s="313">
        <f t="shared" si="19"/>
        <v>0</v>
      </c>
      <c r="BM63" s="308"/>
      <c r="BN63" s="309"/>
      <c r="BO63" s="310">
        <f t="shared" si="20"/>
        <v>0</v>
      </c>
      <c r="BP63" s="311">
        <v>5</v>
      </c>
      <c r="BQ63" s="312">
        <v>45508</v>
      </c>
      <c r="BR63" s="313">
        <f t="shared" si="21"/>
        <v>186173.228</v>
      </c>
      <c r="BS63" s="308">
        <v>6</v>
      </c>
      <c r="BT63" s="309">
        <v>49554</v>
      </c>
      <c r="BU63" s="310">
        <f t="shared" si="22"/>
        <v>243270.49680000002</v>
      </c>
      <c r="BV63" s="311">
        <v>0</v>
      </c>
      <c r="BW63" s="312">
        <v>0</v>
      </c>
      <c r="BX63" s="313">
        <f t="shared" si="23"/>
        <v>0</v>
      </c>
    </row>
    <row r="64" spans="1:76">
      <c r="A64" s="314" t="s">
        <v>441</v>
      </c>
      <c r="B64" s="315" t="s">
        <v>743</v>
      </c>
      <c r="C64" s="316">
        <v>106795</v>
      </c>
      <c r="D64" s="446">
        <v>10</v>
      </c>
      <c r="E64" s="308"/>
      <c r="F64" s="309"/>
      <c r="G64" s="310">
        <f t="shared" si="0"/>
        <v>0</v>
      </c>
      <c r="H64" s="311"/>
      <c r="I64" s="312"/>
      <c r="J64" s="313">
        <f t="shared" si="1"/>
        <v>0</v>
      </c>
      <c r="K64" s="308"/>
      <c r="L64" s="309"/>
      <c r="M64" s="310">
        <f t="shared" si="2"/>
        <v>0</v>
      </c>
      <c r="N64" s="311"/>
      <c r="O64" s="312"/>
      <c r="P64" s="313">
        <f t="shared" si="3"/>
        <v>0</v>
      </c>
      <c r="Q64" s="308"/>
      <c r="R64" s="309"/>
      <c r="S64" s="310">
        <f t="shared" si="4"/>
        <v>0</v>
      </c>
      <c r="T64" s="311"/>
      <c r="U64" s="312"/>
      <c r="V64" s="313">
        <f t="shared" si="5"/>
        <v>0</v>
      </c>
      <c r="W64" s="308"/>
      <c r="X64" s="309"/>
      <c r="Y64" s="310">
        <f t="shared" si="6"/>
        <v>0</v>
      </c>
      <c r="Z64" s="311"/>
      <c r="AA64" s="312"/>
      <c r="AB64" s="313">
        <f t="shared" si="7"/>
        <v>0</v>
      </c>
      <c r="AC64" s="308"/>
      <c r="AD64" s="309"/>
      <c r="AE64" s="310">
        <f t="shared" si="8"/>
        <v>0</v>
      </c>
      <c r="AF64" s="311"/>
      <c r="AG64" s="312"/>
      <c r="AH64" s="313">
        <f t="shared" si="9"/>
        <v>0</v>
      </c>
      <c r="AI64" s="308">
        <v>25</v>
      </c>
      <c r="AJ64" s="309">
        <v>38878</v>
      </c>
      <c r="AK64" s="310">
        <f t="shared" si="10"/>
        <v>971950</v>
      </c>
      <c r="AL64" s="311">
        <v>26</v>
      </c>
      <c r="AM64" s="312">
        <v>40805</v>
      </c>
      <c r="AN64" s="313">
        <f t="shared" si="11"/>
        <v>1060930</v>
      </c>
      <c r="AO64" s="308"/>
      <c r="AP64" s="309"/>
      <c r="AQ64" s="310">
        <f t="shared" si="12"/>
        <v>0</v>
      </c>
      <c r="AR64" s="311"/>
      <c r="AS64" s="312"/>
      <c r="AT64" s="313">
        <f t="shared" si="13"/>
        <v>0</v>
      </c>
      <c r="AU64" s="308"/>
      <c r="AV64" s="309"/>
      <c r="AW64" s="310">
        <f t="shared" si="14"/>
        <v>0</v>
      </c>
      <c r="AX64" s="311"/>
      <c r="AY64" s="312"/>
      <c r="AZ64" s="313">
        <f t="shared" si="15"/>
        <v>0</v>
      </c>
      <c r="BA64" s="308"/>
      <c r="BB64" s="309"/>
      <c r="BC64" s="310">
        <f t="shared" si="16"/>
        <v>0</v>
      </c>
      <c r="BD64" s="311"/>
      <c r="BE64" s="312"/>
      <c r="BF64" s="313">
        <f t="shared" si="17"/>
        <v>0</v>
      </c>
      <c r="BG64" s="308"/>
      <c r="BH64" s="309"/>
      <c r="BI64" s="310">
        <f t="shared" si="18"/>
        <v>0</v>
      </c>
      <c r="BJ64" s="311">
        <v>0</v>
      </c>
      <c r="BK64" s="312">
        <v>0</v>
      </c>
      <c r="BL64" s="313">
        <f t="shared" si="19"/>
        <v>0</v>
      </c>
      <c r="BM64" s="308"/>
      <c r="BN64" s="309"/>
      <c r="BO64" s="310">
        <f t="shared" si="20"/>
        <v>0</v>
      </c>
      <c r="BP64" s="311"/>
      <c r="BQ64" s="312"/>
      <c r="BR64" s="313">
        <f t="shared" si="21"/>
        <v>0</v>
      </c>
      <c r="BS64" s="308">
        <v>1</v>
      </c>
      <c r="BT64" s="309">
        <v>49306</v>
      </c>
      <c r="BU64" s="310">
        <f t="shared" si="22"/>
        <v>40342.169200000004</v>
      </c>
      <c r="BV64" s="311">
        <v>0</v>
      </c>
      <c r="BW64" s="312">
        <v>0</v>
      </c>
      <c r="BX64" s="313">
        <f t="shared" si="23"/>
        <v>0</v>
      </c>
    </row>
    <row r="65" spans="1:77">
      <c r="A65" s="314" t="s">
        <v>441</v>
      </c>
      <c r="B65" s="315" t="s">
        <v>744</v>
      </c>
      <c r="C65" s="316">
        <v>106883</v>
      </c>
      <c r="D65" s="446">
        <v>10</v>
      </c>
      <c r="E65" s="308"/>
      <c r="F65" s="309"/>
      <c r="G65" s="310">
        <f t="shared" si="0"/>
        <v>0</v>
      </c>
      <c r="H65" s="311"/>
      <c r="I65" s="312"/>
      <c r="J65" s="313">
        <f t="shared" si="1"/>
        <v>0</v>
      </c>
      <c r="K65" s="308"/>
      <c r="L65" s="309"/>
      <c r="M65" s="310">
        <f t="shared" si="2"/>
        <v>0</v>
      </c>
      <c r="N65" s="311"/>
      <c r="O65" s="312"/>
      <c r="P65" s="313">
        <f t="shared" si="3"/>
        <v>0</v>
      </c>
      <c r="Q65" s="308"/>
      <c r="R65" s="309"/>
      <c r="S65" s="310">
        <f t="shared" si="4"/>
        <v>0</v>
      </c>
      <c r="T65" s="311"/>
      <c r="U65" s="312"/>
      <c r="V65" s="313">
        <f t="shared" si="5"/>
        <v>0</v>
      </c>
      <c r="W65" s="308"/>
      <c r="X65" s="309"/>
      <c r="Y65" s="310">
        <f t="shared" si="6"/>
        <v>0</v>
      </c>
      <c r="Z65" s="311"/>
      <c r="AB65" s="313">
        <f t="shared" si="7"/>
        <v>0</v>
      </c>
      <c r="AC65" s="308"/>
      <c r="AD65" s="309"/>
      <c r="AE65" s="310">
        <f t="shared" si="8"/>
        <v>0</v>
      </c>
      <c r="AF65" s="311">
        <v>30</v>
      </c>
      <c r="AG65" s="312">
        <v>45910</v>
      </c>
      <c r="AH65" s="313">
        <f t="shared" si="9"/>
        <v>1377300</v>
      </c>
      <c r="AI65" s="308">
        <v>30</v>
      </c>
      <c r="AJ65" s="309">
        <v>44256</v>
      </c>
      <c r="AK65" s="310">
        <f t="shared" si="10"/>
        <v>1327680</v>
      </c>
      <c r="AL65" s="311">
        <v>0</v>
      </c>
      <c r="AM65" s="312">
        <v>0</v>
      </c>
      <c r="AN65" s="313">
        <f t="shared" si="11"/>
        <v>0</v>
      </c>
      <c r="AO65" s="308"/>
      <c r="AP65" s="309"/>
      <c r="AQ65" s="310">
        <f t="shared" si="12"/>
        <v>0</v>
      </c>
      <c r="AR65" s="311"/>
      <c r="AS65" s="312"/>
      <c r="AT65" s="313">
        <f t="shared" si="13"/>
        <v>0</v>
      </c>
      <c r="AU65" s="308"/>
      <c r="AV65" s="309"/>
      <c r="AW65" s="310">
        <f t="shared" si="14"/>
        <v>0</v>
      </c>
      <c r="AX65" s="311"/>
      <c r="AY65" s="312"/>
      <c r="AZ65" s="313">
        <f t="shared" si="15"/>
        <v>0</v>
      </c>
      <c r="BA65" s="308"/>
      <c r="BB65" s="309"/>
      <c r="BC65" s="310">
        <f t="shared" si="16"/>
        <v>0</v>
      </c>
      <c r="BD65" s="311"/>
      <c r="BE65" s="312"/>
      <c r="BF65" s="313">
        <f t="shared" si="17"/>
        <v>0</v>
      </c>
      <c r="BG65" s="308"/>
      <c r="BH65" s="309"/>
      <c r="BI65" s="310">
        <f t="shared" si="18"/>
        <v>0</v>
      </c>
      <c r="BJ65" s="311">
        <v>0</v>
      </c>
      <c r="BK65" s="312">
        <v>0</v>
      </c>
      <c r="BL65" s="313">
        <f t="shared" si="19"/>
        <v>0</v>
      </c>
      <c r="BM65" s="308"/>
      <c r="BN65" s="309"/>
      <c r="BO65" s="310">
        <f t="shared" si="20"/>
        <v>0</v>
      </c>
      <c r="BP65" s="311">
        <v>10</v>
      </c>
      <c r="BQ65" s="312">
        <v>49439</v>
      </c>
      <c r="BR65" s="313">
        <f t="shared" si="21"/>
        <v>404509.89800000004</v>
      </c>
      <c r="BS65" s="308">
        <v>9</v>
      </c>
      <c r="BT65" s="309">
        <v>59341</v>
      </c>
      <c r="BU65" s="310">
        <f t="shared" si="22"/>
        <v>436975.25580000004</v>
      </c>
      <c r="BV65" s="311">
        <v>0</v>
      </c>
      <c r="BW65" s="312">
        <v>0</v>
      </c>
      <c r="BX65" s="313">
        <f t="shared" si="23"/>
        <v>0</v>
      </c>
    </row>
    <row r="66" spans="1:77">
      <c r="A66" s="314" t="s">
        <v>441</v>
      </c>
      <c r="B66" s="315" t="s">
        <v>745</v>
      </c>
      <c r="C66" s="316">
        <v>107318</v>
      </c>
      <c r="D66" s="446">
        <v>10</v>
      </c>
      <c r="E66" s="308"/>
      <c r="F66" s="309"/>
      <c r="G66" s="310">
        <f t="shared" si="0"/>
        <v>0</v>
      </c>
      <c r="H66" s="311"/>
      <c r="I66" s="312"/>
      <c r="J66" s="313">
        <f t="shared" si="1"/>
        <v>0</v>
      </c>
      <c r="K66" s="308"/>
      <c r="L66" s="309"/>
      <c r="M66" s="310">
        <f t="shared" si="2"/>
        <v>0</v>
      </c>
      <c r="N66" s="311"/>
      <c r="O66" s="312"/>
      <c r="P66" s="313">
        <f t="shared" si="3"/>
        <v>0</v>
      </c>
      <c r="Q66" s="308"/>
      <c r="R66" s="309"/>
      <c r="S66" s="310">
        <f t="shared" si="4"/>
        <v>0</v>
      </c>
      <c r="T66" s="311"/>
      <c r="U66" s="312"/>
      <c r="V66" s="313">
        <f t="shared" si="5"/>
        <v>0</v>
      </c>
      <c r="W66" s="308"/>
      <c r="X66" s="309"/>
      <c r="Y66" s="310">
        <f t="shared" si="6"/>
        <v>0</v>
      </c>
      <c r="Z66" s="311"/>
      <c r="AA66" s="312"/>
      <c r="AB66" s="313">
        <f t="shared" si="7"/>
        <v>0</v>
      </c>
      <c r="AC66" s="308"/>
      <c r="AD66" s="309"/>
      <c r="AE66" s="310">
        <f t="shared" si="8"/>
        <v>0</v>
      </c>
      <c r="AF66" s="311"/>
      <c r="AG66" s="312"/>
      <c r="AH66" s="313">
        <f t="shared" si="9"/>
        <v>0</v>
      </c>
      <c r="AI66" s="308">
        <v>24</v>
      </c>
      <c r="AJ66" s="309">
        <v>39358</v>
      </c>
      <c r="AK66" s="310">
        <f t="shared" si="10"/>
        <v>944592</v>
      </c>
      <c r="AL66" s="311">
        <v>25</v>
      </c>
      <c r="AM66" s="312">
        <v>40626</v>
      </c>
      <c r="AN66" s="313">
        <f t="shared" si="11"/>
        <v>1015650</v>
      </c>
      <c r="AO66" s="308"/>
      <c r="AP66" s="309"/>
      <c r="AQ66" s="310">
        <f t="shared" si="12"/>
        <v>0</v>
      </c>
      <c r="AR66" s="311"/>
      <c r="AS66" s="312"/>
      <c r="AT66" s="313">
        <f t="shared" si="13"/>
        <v>0</v>
      </c>
      <c r="AU66" s="308"/>
      <c r="AV66" s="309"/>
      <c r="AW66" s="310">
        <f t="shared" si="14"/>
        <v>0</v>
      </c>
      <c r="AX66" s="311"/>
      <c r="AY66" s="312"/>
      <c r="AZ66" s="313">
        <f t="shared" si="15"/>
        <v>0</v>
      </c>
      <c r="BA66" s="308"/>
      <c r="BB66" s="309"/>
      <c r="BC66" s="310">
        <f t="shared" si="16"/>
        <v>0</v>
      </c>
      <c r="BD66" s="311"/>
      <c r="BE66" s="312"/>
      <c r="BF66" s="313">
        <f t="shared" si="17"/>
        <v>0</v>
      </c>
      <c r="BG66" s="308"/>
      <c r="BH66" s="309"/>
      <c r="BI66" s="310">
        <f t="shared" si="18"/>
        <v>0</v>
      </c>
      <c r="BJ66" s="311">
        <v>0</v>
      </c>
      <c r="BK66" s="312">
        <v>0</v>
      </c>
      <c r="BL66" s="313">
        <f t="shared" si="19"/>
        <v>0</v>
      </c>
      <c r="BM66" s="308"/>
      <c r="BN66" s="309"/>
      <c r="BO66" s="310">
        <f t="shared" si="20"/>
        <v>0</v>
      </c>
      <c r="BP66" s="311"/>
      <c r="BQ66" s="312"/>
      <c r="BR66" s="313">
        <f t="shared" si="21"/>
        <v>0</v>
      </c>
      <c r="BS66" s="308">
        <v>11</v>
      </c>
      <c r="BT66" s="309">
        <v>51941</v>
      </c>
      <c r="BU66" s="310">
        <f t="shared" si="22"/>
        <v>467479.38820000004</v>
      </c>
      <c r="BV66" s="311">
        <v>13</v>
      </c>
      <c r="BW66" s="312">
        <v>55106</v>
      </c>
      <c r="BX66" s="313">
        <f t="shared" si="23"/>
        <v>586140.47960000008</v>
      </c>
    </row>
    <row r="67" spans="1:77">
      <c r="A67" s="314" t="s">
        <v>441</v>
      </c>
      <c r="B67" s="400" t="s">
        <v>746</v>
      </c>
      <c r="C67" s="316">
        <v>106980</v>
      </c>
      <c r="D67" s="446">
        <v>10</v>
      </c>
      <c r="E67" s="308"/>
      <c r="F67" s="309"/>
      <c r="G67" s="310">
        <f t="shared" si="0"/>
        <v>0</v>
      </c>
      <c r="H67" s="311"/>
      <c r="I67" s="312"/>
      <c r="J67" s="313">
        <f t="shared" si="1"/>
        <v>0</v>
      </c>
      <c r="K67" s="308"/>
      <c r="L67" s="309"/>
      <c r="M67" s="310">
        <f t="shared" si="2"/>
        <v>0</v>
      </c>
      <c r="N67" s="311"/>
      <c r="O67" s="312"/>
      <c r="P67" s="313">
        <f t="shared" si="3"/>
        <v>0</v>
      </c>
      <c r="Q67" s="308"/>
      <c r="R67" s="309"/>
      <c r="S67" s="310">
        <f t="shared" si="4"/>
        <v>0</v>
      </c>
      <c r="T67" s="311"/>
      <c r="U67" s="312"/>
      <c r="V67" s="313">
        <f t="shared" si="5"/>
        <v>0</v>
      </c>
      <c r="W67" s="308"/>
      <c r="X67" s="309"/>
      <c r="Y67" s="310">
        <f t="shared" si="6"/>
        <v>0</v>
      </c>
      <c r="Z67" s="311"/>
      <c r="AA67" s="312"/>
      <c r="AB67" s="313">
        <f t="shared" si="7"/>
        <v>0</v>
      </c>
      <c r="AC67" s="308"/>
      <c r="AD67" s="309"/>
      <c r="AE67" s="310">
        <f t="shared" si="8"/>
        <v>0</v>
      </c>
      <c r="AF67" s="311"/>
      <c r="AG67" s="312"/>
      <c r="AH67" s="313">
        <f t="shared" si="9"/>
        <v>0</v>
      </c>
      <c r="AI67" s="308">
        <v>76</v>
      </c>
      <c r="AJ67" s="309">
        <v>41975</v>
      </c>
      <c r="AK67" s="310">
        <f t="shared" si="10"/>
        <v>3190100</v>
      </c>
      <c r="AL67" s="311">
        <v>73</v>
      </c>
      <c r="AM67" s="312">
        <v>42340</v>
      </c>
      <c r="AN67" s="313">
        <f t="shared" si="11"/>
        <v>3090820</v>
      </c>
      <c r="AO67" s="308"/>
      <c r="AP67" s="309"/>
      <c r="AQ67" s="310">
        <f t="shared" si="12"/>
        <v>0</v>
      </c>
      <c r="AR67" s="311"/>
      <c r="AS67" s="312"/>
      <c r="AT67" s="313">
        <f t="shared" si="13"/>
        <v>0</v>
      </c>
      <c r="AU67" s="308"/>
      <c r="AV67" s="309"/>
      <c r="AW67" s="310">
        <f t="shared" si="14"/>
        <v>0</v>
      </c>
      <c r="AX67" s="311"/>
      <c r="AY67" s="312"/>
      <c r="AZ67" s="313">
        <f t="shared" si="15"/>
        <v>0</v>
      </c>
      <c r="BA67" s="308"/>
      <c r="BB67" s="309"/>
      <c r="BC67" s="310">
        <f t="shared" si="16"/>
        <v>0</v>
      </c>
      <c r="BD67" s="311"/>
      <c r="BE67" s="312"/>
      <c r="BF67" s="313">
        <f t="shared" si="17"/>
        <v>0</v>
      </c>
      <c r="BG67" s="308"/>
      <c r="BH67" s="309"/>
      <c r="BI67" s="310">
        <f t="shared" si="18"/>
        <v>0</v>
      </c>
      <c r="BJ67" s="311">
        <v>0</v>
      </c>
      <c r="BK67" s="312">
        <v>0</v>
      </c>
      <c r="BL67" s="313">
        <f t="shared" si="19"/>
        <v>0</v>
      </c>
      <c r="BM67" s="308"/>
      <c r="BN67" s="309"/>
      <c r="BO67" s="310">
        <f t="shared" si="20"/>
        <v>0</v>
      </c>
      <c r="BP67" s="311"/>
      <c r="BQ67" s="312"/>
      <c r="BR67" s="313">
        <f t="shared" si="21"/>
        <v>0</v>
      </c>
      <c r="BS67" s="308">
        <v>18</v>
      </c>
      <c r="BT67" s="309">
        <v>51523</v>
      </c>
      <c r="BU67" s="310">
        <f t="shared" si="22"/>
        <v>758810.1348</v>
      </c>
      <c r="BV67" s="311">
        <v>14</v>
      </c>
      <c r="BW67" s="312">
        <v>53418</v>
      </c>
      <c r="BX67" s="313">
        <f t="shared" si="23"/>
        <v>611892.50640000007</v>
      </c>
    </row>
    <row r="68" spans="1:77">
      <c r="A68" s="314" t="s">
        <v>441</v>
      </c>
      <c r="B68" s="315" t="s">
        <v>747</v>
      </c>
      <c r="C68" s="316">
        <v>107460</v>
      </c>
      <c r="D68" s="446">
        <v>10</v>
      </c>
      <c r="E68" s="308"/>
      <c r="F68" s="309"/>
      <c r="G68" s="310">
        <f t="shared" si="0"/>
        <v>0</v>
      </c>
      <c r="H68" s="311"/>
      <c r="I68" s="312"/>
      <c r="J68" s="313">
        <f t="shared" si="1"/>
        <v>0</v>
      </c>
      <c r="K68" s="308"/>
      <c r="L68" s="309"/>
      <c r="M68" s="310">
        <f t="shared" si="2"/>
        <v>0</v>
      </c>
      <c r="N68" s="311"/>
      <c r="O68" s="312"/>
      <c r="P68" s="313">
        <f t="shared" si="3"/>
        <v>0</v>
      </c>
      <c r="Q68" s="308"/>
      <c r="R68" s="309"/>
      <c r="S68" s="310">
        <f t="shared" si="4"/>
        <v>0</v>
      </c>
      <c r="T68" s="311"/>
      <c r="U68" s="312"/>
      <c r="V68" s="313">
        <f t="shared" si="5"/>
        <v>0</v>
      </c>
      <c r="W68" s="308"/>
      <c r="X68" s="309"/>
      <c r="Y68" s="310">
        <f t="shared" si="6"/>
        <v>0</v>
      </c>
      <c r="Z68" s="311"/>
      <c r="AA68" s="312"/>
      <c r="AB68" s="313">
        <f t="shared" si="7"/>
        <v>0</v>
      </c>
      <c r="AC68" s="308"/>
      <c r="AD68" s="309"/>
      <c r="AE68" s="310">
        <f t="shared" si="8"/>
        <v>0</v>
      </c>
      <c r="AF68" s="311">
        <v>54</v>
      </c>
      <c r="AG68" s="312">
        <v>48685</v>
      </c>
      <c r="AH68" s="313">
        <f t="shared" si="9"/>
        <v>2628990</v>
      </c>
      <c r="AI68" s="308">
        <v>55</v>
      </c>
      <c r="AJ68" s="309">
        <v>47060</v>
      </c>
      <c r="AK68" s="310">
        <f t="shared" si="10"/>
        <v>2588300</v>
      </c>
      <c r="AL68" s="311">
        <v>0</v>
      </c>
      <c r="AM68" s="312">
        <v>0</v>
      </c>
      <c r="AN68" s="313">
        <f t="shared" si="11"/>
        <v>0</v>
      </c>
      <c r="AO68" s="308"/>
      <c r="AP68" s="309"/>
      <c r="AQ68" s="310">
        <f t="shared" si="12"/>
        <v>0</v>
      </c>
      <c r="AR68" s="311"/>
      <c r="AS68" s="312"/>
      <c r="AT68" s="313">
        <f t="shared" si="13"/>
        <v>0</v>
      </c>
      <c r="AU68" s="308"/>
      <c r="AV68" s="309"/>
      <c r="AW68" s="310">
        <f t="shared" si="14"/>
        <v>0</v>
      </c>
      <c r="AX68" s="311"/>
      <c r="AY68" s="312"/>
      <c r="AZ68" s="313">
        <f t="shared" si="15"/>
        <v>0</v>
      </c>
      <c r="BA68" s="308"/>
      <c r="BB68" s="309"/>
      <c r="BC68" s="310">
        <f t="shared" si="16"/>
        <v>0</v>
      </c>
      <c r="BD68" s="311"/>
      <c r="BE68" s="312"/>
      <c r="BF68" s="313">
        <f t="shared" si="17"/>
        <v>0</v>
      </c>
      <c r="BG68" s="308"/>
      <c r="BH68" s="309"/>
      <c r="BI68" s="310">
        <f t="shared" si="18"/>
        <v>0</v>
      </c>
      <c r="BJ68" s="311">
        <v>0</v>
      </c>
      <c r="BK68" s="312">
        <v>0</v>
      </c>
      <c r="BL68" s="313">
        <f t="shared" si="19"/>
        <v>0</v>
      </c>
      <c r="BM68" s="308"/>
      <c r="BN68" s="309"/>
      <c r="BO68" s="310">
        <f t="shared" si="20"/>
        <v>0</v>
      </c>
      <c r="BP68" s="311">
        <v>9</v>
      </c>
      <c r="BQ68" s="312">
        <v>54198</v>
      </c>
      <c r="BR68" s="313">
        <f t="shared" si="21"/>
        <v>399103.23240000004</v>
      </c>
      <c r="BS68" s="308">
        <v>13</v>
      </c>
      <c r="BT68" s="309">
        <v>53880</v>
      </c>
      <c r="BU68" s="310">
        <f t="shared" si="22"/>
        <v>573100.00800000003</v>
      </c>
      <c r="BV68" s="311">
        <v>0</v>
      </c>
      <c r="BW68" s="312">
        <v>0</v>
      </c>
      <c r="BX68" s="313">
        <f t="shared" si="23"/>
        <v>0</v>
      </c>
    </row>
    <row r="69" spans="1:77">
      <c r="A69" s="314" t="s">
        <v>441</v>
      </c>
      <c r="B69" s="315" t="s">
        <v>748</v>
      </c>
      <c r="C69" s="316">
        <v>107521</v>
      </c>
      <c r="D69" s="446">
        <v>10</v>
      </c>
      <c r="E69" s="308"/>
      <c r="F69" s="309"/>
      <c r="G69" s="310">
        <f t="shared" si="0"/>
        <v>0</v>
      </c>
      <c r="H69" s="311"/>
      <c r="I69" s="312"/>
      <c r="J69" s="313">
        <f t="shared" si="1"/>
        <v>0</v>
      </c>
      <c r="K69" s="308"/>
      <c r="L69" s="309"/>
      <c r="M69" s="310">
        <f t="shared" si="2"/>
        <v>0</v>
      </c>
      <c r="N69" s="311"/>
      <c r="O69" s="312"/>
      <c r="P69" s="313">
        <f t="shared" si="3"/>
        <v>0</v>
      </c>
      <c r="Q69" s="308"/>
      <c r="R69" s="309"/>
      <c r="S69" s="310">
        <f t="shared" si="4"/>
        <v>0</v>
      </c>
      <c r="T69" s="311"/>
      <c r="U69" s="312"/>
      <c r="V69" s="313">
        <f t="shared" si="5"/>
        <v>0</v>
      </c>
      <c r="W69" s="308"/>
      <c r="X69" s="309"/>
      <c r="Y69" s="310">
        <f t="shared" si="6"/>
        <v>0</v>
      </c>
      <c r="Z69" s="311"/>
      <c r="AA69" s="312"/>
      <c r="AB69" s="313">
        <f t="shared" si="7"/>
        <v>0</v>
      </c>
      <c r="AC69" s="308"/>
      <c r="AD69" s="309"/>
      <c r="AE69" s="310">
        <f t="shared" si="8"/>
        <v>0</v>
      </c>
      <c r="AF69" s="382">
        <v>34</v>
      </c>
      <c r="AG69" s="217">
        <v>42188</v>
      </c>
      <c r="AH69" s="313">
        <f t="shared" si="9"/>
        <v>1434392</v>
      </c>
      <c r="AI69" s="308">
        <v>36</v>
      </c>
      <c r="AJ69" s="309">
        <v>39749</v>
      </c>
      <c r="AK69" s="310">
        <f t="shared" si="10"/>
        <v>1430964</v>
      </c>
      <c r="AL69" s="311">
        <v>0</v>
      </c>
      <c r="AM69" s="312">
        <v>0</v>
      </c>
      <c r="AN69" s="313">
        <f t="shared" si="11"/>
        <v>0</v>
      </c>
      <c r="AO69" s="308"/>
      <c r="AP69" s="309"/>
      <c r="AQ69" s="310">
        <f t="shared" si="12"/>
        <v>0</v>
      </c>
      <c r="AR69" s="311"/>
      <c r="AS69" s="312"/>
      <c r="AT69" s="313">
        <f t="shared" si="13"/>
        <v>0</v>
      </c>
      <c r="AU69" s="308"/>
      <c r="AV69" s="309"/>
      <c r="AW69" s="310">
        <f t="shared" si="14"/>
        <v>0</v>
      </c>
      <c r="AX69" s="311"/>
      <c r="AY69" s="312"/>
      <c r="AZ69" s="313">
        <f t="shared" si="15"/>
        <v>0</v>
      </c>
      <c r="BA69" s="308"/>
      <c r="BB69" s="309"/>
      <c r="BC69" s="310">
        <f t="shared" si="16"/>
        <v>0</v>
      </c>
      <c r="BD69" s="311"/>
      <c r="BE69" s="312"/>
      <c r="BF69" s="313">
        <f t="shared" si="17"/>
        <v>0</v>
      </c>
      <c r="BG69" s="308"/>
      <c r="BH69" s="309"/>
      <c r="BI69" s="310">
        <f t="shared" si="18"/>
        <v>0</v>
      </c>
      <c r="BJ69" s="311">
        <v>0</v>
      </c>
      <c r="BK69" s="312">
        <v>0</v>
      </c>
      <c r="BL69" s="313">
        <f t="shared" si="19"/>
        <v>0</v>
      </c>
      <c r="BM69" s="308"/>
      <c r="BN69" s="309"/>
      <c r="BO69" s="310">
        <f t="shared" si="20"/>
        <v>0</v>
      </c>
      <c r="BP69" s="311">
        <v>7</v>
      </c>
      <c r="BQ69" s="312">
        <v>37160</v>
      </c>
      <c r="BR69" s="313">
        <f t="shared" si="21"/>
        <v>212830.18400000001</v>
      </c>
      <c r="BS69" s="308">
        <v>2</v>
      </c>
      <c r="BT69" s="309">
        <v>35487</v>
      </c>
      <c r="BU69" s="310">
        <f t="shared" si="22"/>
        <v>58070.926800000001</v>
      </c>
      <c r="BV69" s="311">
        <v>0</v>
      </c>
      <c r="BW69" s="312">
        <v>0</v>
      </c>
      <c r="BX69" s="313">
        <f t="shared" si="23"/>
        <v>0</v>
      </c>
    </row>
    <row r="70" spans="1:77">
      <c r="A70" s="314" t="s">
        <v>441</v>
      </c>
      <c r="B70" s="315" t="s">
        <v>749</v>
      </c>
      <c r="C70" s="316">
        <v>107549</v>
      </c>
      <c r="D70" s="446">
        <v>10</v>
      </c>
      <c r="E70" s="308"/>
      <c r="F70" s="309"/>
      <c r="G70" s="310">
        <f t="shared" si="0"/>
        <v>0</v>
      </c>
      <c r="H70" s="311"/>
      <c r="I70" s="312"/>
      <c r="J70" s="313">
        <f t="shared" si="1"/>
        <v>0</v>
      </c>
      <c r="K70" s="308"/>
      <c r="L70" s="309"/>
      <c r="M70" s="310">
        <f t="shared" si="2"/>
        <v>0</v>
      </c>
      <c r="N70" s="311"/>
      <c r="O70" s="312"/>
      <c r="P70" s="313">
        <f t="shared" si="3"/>
        <v>0</v>
      </c>
      <c r="Q70" s="308"/>
      <c r="R70" s="309"/>
      <c r="S70" s="310">
        <f t="shared" si="4"/>
        <v>0</v>
      </c>
      <c r="T70" s="311"/>
      <c r="U70" s="312"/>
      <c r="V70" s="313">
        <f t="shared" si="5"/>
        <v>0</v>
      </c>
      <c r="W70" s="308"/>
      <c r="X70" s="309"/>
      <c r="Y70" s="310">
        <f t="shared" si="6"/>
        <v>0</v>
      </c>
      <c r="Z70" s="311"/>
      <c r="AA70" s="312"/>
      <c r="AB70" s="313">
        <f t="shared" si="7"/>
        <v>0</v>
      </c>
      <c r="AC70" s="308"/>
      <c r="AD70" s="309"/>
      <c r="AE70" s="310">
        <f t="shared" si="8"/>
        <v>0</v>
      </c>
      <c r="AF70" s="311"/>
      <c r="AG70" s="312"/>
      <c r="AH70" s="313">
        <f t="shared" si="9"/>
        <v>0</v>
      </c>
      <c r="AI70" s="308">
        <v>29</v>
      </c>
      <c r="AJ70" s="309">
        <v>38844</v>
      </c>
      <c r="AK70" s="310">
        <f t="shared" si="10"/>
        <v>1126476</v>
      </c>
      <c r="AL70" s="311">
        <v>28</v>
      </c>
      <c r="AM70" s="312">
        <v>39281</v>
      </c>
      <c r="AN70" s="313">
        <f t="shared" si="11"/>
        <v>1099868</v>
      </c>
      <c r="AO70" s="308"/>
      <c r="AP70" s="309"/>
      <c r="AQ70" s="310">
        <f t="shared" si="12"/>
        <v>0</v>
      </c>
      <c r="AR70" s="311"/>
      <c r="AS70" s="312"/>
      <c r="AT70" s="313">
        <f t="shared" si="13"/>
        <v>0</v>
      </c>
      <c r="AU70" s="308"/>
      <c r="AV70" s="309"/>
      <c r="AW70" s="310">
        <f t="shared" si="14"/>
        <v>0</v>
      </c>
      <c r="AX70" s="311"/>
      <c r="AY70" s="312"/>
      <c r="AZ70" s="313">
        <f t="shared" si="15"/>
        <v>0</v>
      </c>
      <c r="BA70" s="308"/>
      <c r="BB70" s="309"/>
      <c r="BC70" s="310">
        <f t="shared" si="16"/>
        <v>0</v>
      </c>
      <c r="BD70" s="311"/>
      <c r="BE70" s="312"/>
      <c r="BF70" s="313">
        <f t="shared" si="17"/>
        <v>0</v>
      </c>
      <c r="BG70" s="308"/>
      <c r="BH70" s="309"/>
      <c r="BI70" s="310">
        <f t="shared" si="18"/>
        <v>0</v>
      </c>
      <c r="BJ70" s="311">
        <v>0</v>
      </c>
      <c r="BK70" s="312">
        <v>0</v>
      </c>
      <c r="BL70" s="313">
        <f t="shared" si="19"/>
        <v>0</v>
      </c>
      <c r="BM70" s="308"/>
      <c r="BN70" s="309"/>
      <c r="BO70" s="310">
        <f t="shared" si="20"/>
        <v>0</v>
      </c>
      <c r="BP70" s="311"/>
      <c r="BQ70" s="312"/>
      <c r="BR70" s="313">
        <f t="shared" si="21"/>
        <v>0</v>
      </c>
      <c r="BS70" s="308">
        <v>4</v>
      </c>
      <c r="BT70" s="309">
        <v>45505</v>
      </c>
      <c r="BU70" s="310">
        <f t="shared" si="22"/>
        <v>148928.764</v>
      </c>
      <c r="BV70" s="311">
        <v>6</v>
      </c>
      <c r="BW70" s="312">
        <v>47399</v>
      </c>
      <c r="BX70" s="313">
        <f t="shared" si="23"/>
        <v>232691.17080000002</v>
      </c>
    </row>
    <row r="71" spans="1:77">
      <c r="A71" s="314" t="s">
        <v>441</v>
      </c>
      <c r="B71" s="315" t="s">
        <v>750</v>
      </c>
      <c r="C71" s="316">
        <v>107619</v>
      </c>
      <c r="D71" s="446">
        <v>10</v>
      </c>
      <c r="E71" s="308"/>
      <c r="F71" s="309"/>
      <c r="G71" s="310">
        <f t="shared" ref="G71:G138" si="24">E71*F71</f>
        <v>0</v>
      </c>
      <c r="H71" s="311"/>
      <c r="I71" s="312"/>
      <c r="J71" s="313">
        <f t="shared" ref="J71:J138" si="25">H71*I71</f>
        <v>0</v>
      </c>
      <c r="K71" s="308"/>
      <c r="L71" s="309"/>
      <c r="M71" s="310">
        <f t="shared" ref="M71:M138" si="26">K71*L71</f>
        <v>0</v>
      </c>
      <c r="N71" s="311"/>
      <c r="O71" s="312"/>
      <c r="P71" s="313">
        <f t="shared" ref="P71:P138" si="27">N71*O71</f>
        <v>0</v>
      </c>
      <c r="Q71" s="308"/>
      <c r="R71" s="309"/>
      <c r="S71" s="310">
        <f t="shared" ref="S71:S138" si="28">Q71*R71</f>
        <v>0</v>
      </c>
      <c r="T71" s="311"/>
      <c r="U71" s="312"/>
      <c r="V71" s="313">
        <f t="shared" ref="V71:V138" si="29">T71*U71</f>
        <v>0</v>
      </c>
      <c r="W71" s="308"/>
      <c r="X71" s="309"/>
      <c r="Y71" s="310">
        <f t="shared" ref="Y71:Y138" si="30">W71*X71</f>
        <v>0</v>
      </c>
      <c r="Z71" s="311"/>
      <c r="AA71" s="312"/>
      <c r="AB71" s="313">
        <f t="shared" ref="AB71:AB138" si="31">Z71*AA71</f>
        <v>0</v>
      </c>
      <c r="AC71" s="308"/>
      <c r="AD71" s="309"/>
      <c r="AE71" s="310">
        <f t="shared" ref="AE71:AE138" si="32">AC71*AD71</f>
        <v>0</v>
      </c>
      <c r="AF71" s="311"/>
      <c r="AG71" s="312"/>
      <c r="AH71" s="313">
        <f t="shared" ref="AH71:AH138" si="33">AF71*AG71</f>
        <v>0</v>
      </c>
      <c r="AI71" s="308">
        <v>63</v>
      </c>
      <c r="AJ71" s="309">
        <v>38854</v>
      </c>
      <c r="AK71" s="310">
        <f t="shared" ref="AK71:AK138" si="34">AI71*AJ71</f>
        <v>2447802</v>
      </c>
      <c r="AL71" s="311">
        <v>65</v>
      </c>
      <c r="AM71" s="312">
        <v>38112</v>
      </c>
      <c r="AN71" s="313">
        <f t="shared" ref="AN71:AN138" si="35">AL71*AM71</f>
        <v>2477280</v>
      </c>
      <c r="AO71" s="308"/>
      <c r="AP71" s="309"/>
      <c r="AQ71" s="310">
        <f t="shared" ref="AQ71:AQ138" si="36">(AO71*AP71)*0.8182</f>
        <v>0</v>
      </c>
      <c r="AR71" s="311"/>
      <c r="AS71" s="312"/>
      <c r="AT71" s="313">
        <f t="shared" ref="AT71:AT138" si="37">(AR71*AS71)*0.8182</f>
        <v>0</v>
      </c>
      <c r="AU71" s="308"/>
      <c r="AV71" s="309"/>
      <c r="AW71" s="310">
        <f t="shared" ref="AW71:AW138" si="38">(AU71*AV71)*0.8182</f>
        <v>0</v>
      </c>
      <c r="AX71" s="311"/>
      <c r="AY71" s="312"/>
      <c r="AZ71" s="313">
        <f t="shared" ref="AZ71:AZ138" si="39">(AX71*AY71)*0.8182</f>
        <v>0</v>
      </c>
      <c r="BA71" s="308"/>
      <c r="BB71" s="309"/>
      <c r="BC71" s="310">
        <f t="shared" ref="BC71:BC138" si="40">(BA71*BB71)*0.8182</f>
        <v>0</v>
      </c>
      <c r="BD71" s="311"/>
      <c r="BE71" s="312"/>
      <c r="BF71" s="313">
        <f t="shared" ref="BF71:BF138" si="41">(BD71*BE71)*0.8182</f>
        <v>0</v>
      </c>
      <c r="BG71" s="308"/>
      <c r="BH71" s="309"/>
      <c r="BI71" s="310">
        <f t="shared" ref="BI71:BI138" si="42">(BG71*BH71)*0.8182</f>
        <v>0</v>
      </c>
      <c r="BJ71" s="311">
        <v>0</v>
      </c>
      <c r="BK71" s="312">
        <v>0</v>
      </c>
      <c r="BL71" s="313">
        <f t="shared" ref="BL71:BL138" si="43">(BJ71*BK71)*0.8182</f>
        <v>0</v>
      </c>
      <c r="BM71" s="308"/>
      <c r="BN71" s="309"/>
      <c r="BO71" s="310">
        <f t="shared" ref="BO71:BO138" si="44">(BM71*BN71)*0.8182</f>
        <v>0</v>
      </c>
      <c r="BP71" s="311"/>
      <c r="BQ71" s="312"/>
      <c r="BR71" s="313">
        <f t="shared" ref="BR71:BR138" si="45">(BP71*BQ71)*0.8182</f>
        <v>0</v>
      </c>
      <c r="BS71" s="308">
        <v>9</v>
      </c>
      <c r="BT71" s="309">
        <v>45428</v>
      </c>
      <c r="BU71" s="310">
        <f t="shared" ref="BU71:BU138" si="46">(BS71*BT71)*0.8182</f>
        <v>334522.70640000002</v>
      </c>
      <c r="BV71" s="311">
        <v>14</v>
      </c>
      <c r="BW71" s="312">
        <v>45942</v>
      </c>
      <c r="BX71" s="313">
        <f t="shared" ref="BX71:BX138" si="47">(BV71*BW71)*0.8182</f>
        <v>526256.4216</v>
      </c>
    </row>
    <row r="72" spans="1:77">
      <c r="A72" s="314" t="s">
        <v>441</v>
      </c>
      <c r="B72" s="315" t="s">
        <v>751</v>
      </c>
      <c r="C72" s="316">
        <v>107743</v>
      </c>
      <c r="D72" s="446">
        <v>10</v>
      </c>
      <c r="E72" s="308"/>
      <c r="F72" s="309"/>
      <c r="G72" s="310">
        <f t="shared" si="24"/>
        <v>0</v>
      </c>
      <c r="H72" s="380"/>
      <c r="I72" s="312"/>
      <c r="J72" s="313">
        <f t="shared" si="25"/>
        <v>0</v>
      </c>
      <c r="K72" s="308"/>
      <c r="L72" s="309"/>
      <c r="M72" s="310">
        <f t="shared" si="26"/>
        <v>0</v>
      </c>
      <c r="N72" s="380"/>
      <c r="O72" s="312"/>
      <c r="P72" s="313">
        <f t="shared" si="27"/>
        <v>0</v>
      </c>
      <c r="Q72" s="308"/>
      <c r="R72" s="309"/>
      <c r="S72" s="310">
        <f t="shared" si="28"/>
        <v>0</v>
      </c>
      <c r="T72" s="380"/>
      <c r="U72" s="312"/>
      <c r="V72" s="313">
        <f t="shared" si="29"/>
        <v>0</v>
      </c>
      <c r="W72" s="308"/>
      <c r="X72" s="309"/>
      <c r="Y72" s="310">
        <f t="shared" si="30"/>
        <v>0</v>
      </c>
      <c r="Z72" s="380"/>
      <c r="AA72" s="312"/>
      <c r="AB72" s="313">
        <f t="shared" si="31"/>
        <v>0</v>
      </c>
      <c r="AC72" s="308"/>
      <c r="AD72" s="309"/>
      <c r="AE72" s="310">
        <f t="shared" si="32"/>
        <v>0</v>
      </c>
      <c r="AF72" s="380">
        <v>18</v>
      </c>
      <c r="AG72" s="312">
        <v>46262</v>
      </c>
      <c r="AH72" s="313">
        <f t="shared" si="33"/>
        <v>832716</v>
      </c>
      <c r="AI72" s="308">
        <v>18</v>
      </c>
      <c r="AJ72" s="309">
        <v>45536</v>
      </c>
      <c r="AK72" s="310">
        <f t="shared" si="34"/>
        <v>819648</v>
      </c>
      <c r="AL72" s="311">
        <v>0</v>
      </c>
      <c r="AM72" s="312">
        <v>0</v>
      </c>
      <c r="AN72" s="313">
        <f t="shared" si="35"/>
        <v>0</v>
      </c>
      <c r="AO72" s="308"/>
      <c r="AP72" s="309"/>
      <c r="AQ72" s="310">
        <f t="shared" si="36"/>
        <v>0</v>
      </c>
      <c r="AR72" s="380"/>
      <c r="AS72" s="312"/>
      <c r="AT72" s="313">
        <f t="shared" si="37"/>
        <v>0</v>
      </c>
      <c r="AU72" s="308"/>
      <c r="AV72" s="309"/>
      <c r="AW72" s="310">
        <f t="shared" si="38"/>
        <v>0</v>
      </c>
      <c r="AX72" s="380"/>
      <c r="AY72" s="312"/>
      <c r="AZ72" s="313">
        <f t="shared" si="39"/>
        <v>0</v>
      </c>
      <c r="BA72" s="308"/>
      <c r="BB72" s="309"/>
      <c r="BC72" s="310">
        <f t="shared" si="40"/>
        <v>0</v>
      </c>
      <c r="BD72" s="380"/>
      <c r="BE72" s="312"/>
      <c r="BF72" s="313">
        <f t="shared" si="41"/>
        <v>0</v>
      </c>
      <c r="BG72" s="308"/>
      <c r="BH72" s="309"/>
      <c r="BI72" s="310">
        <f t="shared" si="42"/>
        <v>0</v>
      </c>
      <c r="BJ72" s="380">
        <v>0</v>
      </c>
      <c r="BK72" s="312">
        <v>0</v>
      </c>
      <c r="BL72" s="313">
        <f t="shared" si="43"/>
        <v>0</v>
      </c>
      <c r="BM72" s="308"/>
      <c r="BN72" s="309"/>
      <c r="BO72" s="310">
        <f t="shared" si="44"/>
        <v>0</v>
      </c>
      <c r="BP72" s="380">
        <v>4</v>
      </c>
      <c r="BQ72" s="312">
        <v>48214</v>
      </c>
      <c r="BR72" s="313">
        <f t="shared" si="45"/>
        <v>157794.77920000002</v>
      </c>
      <c r="BS72" s="308">
        <v>4</v>
      </c>
      <c r="BT72" s="309">
        <v>47199</v>
      </c>
      <c r="BU72" s="310">
        <f t="shared" si="46"/>
        <v>154472.8872</v>
      </c>
      <c r="BV72" s="311">
        <v>0</v>
      </c>
      <c r="BW72" s="312">
        <v>0</v>
      </c>
      <c r="BX72" s="313">
        <f t="shared" si="47"/>
        <v>0</v>
      </c>
    </row>
    <row r="73" spans="1:77">
      <c r="A73" s="314" t="s">
        <v>441</v>
      </c>
      <c r="B73" s="315" t="s">
        <v>752</v>
      </c>
      <c r="C73" s="316">
        <v>107974</v>
      </c>
      <c r="D73" s="446">
        <v>10</v>
      </c>
      <c r="E73" s="308"/>
      <c r="F73" s="309"/>
      <c r="G73" s="310">
        <f t="shared" si="24"/>
        <v>0</v>
      </c>
      <c r="H73" s="380"/>
      <c r="I73" s="312"/>
      <c r="J73" s="313">
        <f t="shared" si="25"/>
        <v>0</v>
      </c>
      <c r="K73" s="308"/>
      <c r="L73" s="309"/>
      <c r="M73" s="310">
        <f t="shared" si="26"/>
        <v>0</v>
      </c>
      <c r="N73" s="380"/>
      <c r="O73" s="312"/>
      <c r="P73" s="313">
        <f t="shared" si="27"/>
        <v>0</v>
      </c>
      <c r="Q73" s="308"/>
      <c r="R73" s="309"/>
      <c r="S73" s="310">
        <f t="shared" si="28"/>
        <v>0</v>
      </c>
      <c r="T73" s="380"/>
      <c r="U73" s="312"/>
      <c r="V73" s="313">
        <f t="shared" si="29"/>
        <v>0</v>
      </c>
      <c r="W73" s="308"/>
      <c r="X73" s="309"/>
      <c r="Y73" s="310">
        <f t="shared" si="30"/>
        <v>0</v>
      </c>
      <c r="Z73" s="380"/>
      <c r="AA73" s="312"/>
      <c r="AB73" s="313">
        <f t="shared" si="31"/>
        <v>0</v>
      </c>
      <c r="AC73" s="308"/>
      <c r="AD73" s="309"/>
      <c r="AE73" s="310">
        <f t="shared" si="32"/>
        <v>0</v>
      </c>
      <c r="AF73" s="380">
        <v>36</v>
      </c>
      <c r="AG73" s="312">
        <v>44962</v>
      </c>
      <c r="AH73" s="313">
        <f t="shared" si="33"/>
        <v>1618632</v>
      </c>
      <c r="AI73" s="308">
        <v>33</v>
      </c>
      <c r="AJ73" s="309">
        <v>45033</v>
      </c>
      <c r="AK73" s="310">
        <f t="shared" si="34"/>
        <v>1486089</v>
      </c>
      <c r="AL73" s="311">
        <v>0</v>
      </c>
      <c r="AM73" s="312">
        <v>0</v>
      </c>
      <c r="AN73" s="313">
        <f t="shared" si="35"/>
        <v>0</v>
      </c>
      <c r="AO73" s="308"/>
      <c r="AP73" s="309"/>
      <c r="AQ73" s="310">
        <f t="shared" si="36"/>
        <v>0</v>
      </c>
      <c r="AR73" s="380"/>
      <c r="AS73" s="312"/>
      <c r="AT73" s="313">
        <f t="shared" si="37"/>
        <v>0</v>
      </c>
      <c r="AU73" s="308"/>
      <c r="AV73" s="309"/>
      <c r="AW73" s="310">
        <f t="shared" si="38"/>
        <v>0</v>
      </c>
      <c r="AX73" s="380"/>
      <c r="AY73" s="312"/>
      <c r="AZ73" s="313">
        <f t="shared" si="39"/>
        <v>0</v>
      </c>
      <c r="BA73" s="308"/>
      <c r="BB73" s="309"/>
      <c r="BC73" s="310">
        <f t="shared" si="40"/>
        <v>0</v>
      </c>
      <c r="BD73" s="380"/>
      <c r="BE73" s="312"/>
      <c r="BF73" s="313">
        <f t="shared" si="41"/>
        <v>0</v>
      </c>
      <c r="BG73" s="308"/>
      <c r="BH73" s="309"/>
      <c r="BI73" s="310">
        <f t="shared" si="42"/>
        <v>0</v>
      </c>
      <c r="BJ73" s="380">
        <v>0</v>
      </c>
      <c r="BK73" s="312">
        <v>0</v>
      </c>
      <c r="BL73" s="313">
        <f t="shared" si="43"/>
        <v>0</v>
      </c>
      <c r="BM73" s="308"/>
      <c r="BN73" s="309"/>
      <c r="BO73" s="310">
        <f t="shared" si="44"/>
        <v>0</v>
      </c>
      <c r="BP73" s="380">
        <v>26</v>
      </c>
      <c r="BQ73" s="312">
        <v>50476</v>
      </c>
      <c r="BR73" s="313">
        <f t="shared" si="45"/>
        <v>1073786.0432</v>
      </c>
      <c r="BS73" s="308">
        <v>25</v>
      </c>
      <c r="BT73" s="309">
        <v>48345</v>
      </c>
      <c r="BU73" s="310">
        <f t="shared" si="46"/>
        <v>988896.97500000009</v>
      </c>
      <c r="BV73" s="311">
        <v>0</v>
      </c>
      <c r="BW73" s="312">
        <v>0</v>
      </c>
      <c r="BX73" s="313">
        <f t="shared" si="47"/>
        <v>0</v>
      </c>
    </row>
    <row r="74" spans="1:77">
      <c r="A74" s="314" t="s">
        <v>441</v>
      </c>
      <c r="B74" s="315" t="s">
        <v>753</v>
      </c>
      <c r="C74" s="316">
        <v>107637</v>
      </c>
      <c r="D74" s="446">
        <v>10</v>
      </c>
      <c r="E74" s="308"/>
      <c r="F74" s="309"/>
      <c r="G74" s="310">
        <f t="shared" si="24"/>
        <v>0</v>
      </c>
      <c r="H74" s="380"/>
      <c r="I74" s="312"/>
      <c r="J74" s="313">
        <f t="shared" si="25"/>
        <v>0</v>
      </c>
      <c r="K74" s="308"/>
      <c r="L74" s="309"/>
      <c r="M74" s="310">
        <f t="shared" si="26"/>
        <v>0</v>
      </c>
      <c r="N74" s="380"/>
      <c r="O74" s="312"/>
      <c r="P74" s="313">
        <f t="shared" si="27"/>
        <v>0</v>
      </c>
      <c r="Q74" s="308"/>
      <c r="R74" s="309"/>
      <c r="S74" s="310">
        <f t="shared" si="28"/>
        <v>0</v>
      </c>
      <c r="T74" s="380"/>
      <c r="U74" s="312"/>
      <c r="V74" s="313">
        <f t="shared" si="29"/>
        <v>0</v>
      </c>
      <c r="W74" s="308"/>
      <c r="X74" s="309"/>
      <c r="Y74" s="310">
        <f t="shared" si="30"/>
        <v>0</v>
      </c>
      <c r="Z74" s="380"/>
      <c r="AA74" s="312"/>
      <c r="AB74" s="313">
        <f t="shared" si="31"/>
        <v>0</v>
      </c>
      <c r="AC74" s="308"/>
      <c r="AD74" s="309"/>
      <c r="AE74" s="310">
        <f t="shared" si="32"/>
        <v>0</v>
      </c>
      <c r="AF74" s="380"/>
      <c r="AG74" s="312"/>
      <c r="AH74" s="313">
        <f t="shared" si="33"/>
        <v>0</v>
      </c>
      <c r="AI74" s="308">
        <v>47</v>
      </c>
      <c r="AJ74" s="309">
        <v>47313</v>
      </c>
      <c r="AK74" s="310">
        <f t="shared" si="34"/>
        <v>2223711</v>
      </c>
      <c r="AL74" s="311">
        <v>47</v>
      </c>
      <c r="AM74" s="312">
        <v>44551</v>
      </c>
      <c r="AN74" s="313">
        <f t="shared" si="35"/>
        <v>2093897</v>
      </c>
      <c r="AO74" s="308"/>
      <c r="AP74" s="309"/>
      <c r="AQ74" s="310">
        <f t="shared" si="36"/>
        <v>0</v>
      </c>
      <c r="AR74" s="380"/>
      <c r="AS74" s="312"/>
      <c r="AT74" s="313">
        <f t="shared" si="37"/>
        <v>0</v>
      </c>
      <c r="AU74" s="308"/>
      <c r="AV74" s="309"/>
      <c r="AW74" s="310">
        <f t="shared" si="38"/>
        <v>0</v>
      </c>
      <c r="AX74" s="380"/>
      <c r="AY74" s="312"/>
      <c r="AZ74" s="313">
        <f t="shared" si="39"/>
        <v>0</v>
      </c>
      <c r="BA74" s="308"/>
      <c r="BB74" s="309"/>
      <c r="BC74" s="310">
        <f t="shared" si="40"/>
        <v>0</v>
      </c>
      <c r="BD74" s="380"/>
      <c r="BE74" s="312"/>
      <c r="BF74" s="313">
        <f t="shared" si="41"/>
        <v>0</v>
      </c>
      <c r="BG74" s="308"/>
      <c r="BH74" s="309"/>
      <c r="BI74" s="310">
        <f t="shared" si="42"/>
        <v>0</v>
      </c>
      <c r="BJ74" s="380">
        <v>0</v>
      </c>
      <c r="BK74" s="312">
        <v>0</v>
      </c>
      <c r="BL74" s="313">
        <f t="shared" si="43"/>
        <v>0</v>
      </c>
      <c r="BM74" s="308"/>
      <c r="BN74" s="309"/>
      <c r="BO74" s="310">
        <f t="shared" si="44"/>
        <v>0</v>
      </c>
      <c r="BP74" s="380"/>
      <c r="BQ74" s="312"/>
      <c r="BR74" s="313">
        <f t="shared" si="45"/>
        <v>0</v>
      </c>
      <c r="BS74" s="308">
        <v>5</v>
      </c>
      <c r="BT74" s="309">
        <v>44731</v>
      </c>
      <c r="BU74" s="310">
        <f t="shared" si="46"/>
        <v>182994.52100000001</v>
      </c>
      <c r="BV74" s="311">
        <v>4</v>
      </c>
      <c r="BW74" s="312">
        <v>51325</v>
      </c>
      <c r="BX74" s="313">
        <f t="shared" si="47"/>
        <v>167976.46000000002</v>
      </c>
    </row>
    <row r="75" spans="1:77">
      <c r="A75" s="314" t="s">
        <v>441</v>
      </c>
      <c r="B75" s="315" t="s">
        <v>754</v>
      </c>
      <c r="C75" s="316">
        <v>107992</v>
      </c>
      <c r="D75" s="446">
        <v>10</v>
      </c>
      <c r="E75" s="308"/>
      <c r="F75" s="309"/>
      <c r="G75" s="310">
        <f t="shared" si="24"/>
        <v>0</v>
      </c>
      <c r="H75" s="380"/>
      <c r="I75" s="312"/>
      <c r="J75" s="313">
        <f t="shared" si="25"/>
        <v>0</v>
      </c>
      <c r="K75" s="308"/>
      <c r="L75" s="309"/>
      <c r="M75" s="310">
        <f t="shared" si="26"/>
        <v>0</v>
      </c>
      <c r="N75" s="380"/>
      <c r="O75" s="312"/>
      <c r="P75" s="313">
        <f t="shared" si="27"/>
        <v>0</v>
      </c>
      <c r="Q75" s="308"/>
      <c r="R75" s="309"/>
      <c r="S75" s="310">
        <f t="shared" si="28"/>
        <v>0</v>
      </c>
      <c r="T75" s="380"/>
      <c r="U75" s="312"/>
      <c r="V75" s="313">
        <f t="shared" si="29"/>
        <v>0</v>
      </c>
      <c r="W75" s="308"/>
      <c r="X75" s="309"/>
      <c r="Y75" s="310">
        <f t="shared" si="30"/>
        <v>0</v>
      </c>
      <c r="Z75" s="380"/>
      <c r="AA75" s="312"/>
      <c r="AB75" s="313">
        <f t="shared" si="31"/>
        <v>0</v>
      </c>
      <c r="AC75" s="308"/>
      <c r="AD75" s="309"/>
      <c r="AE75" s="310">
        <f t="shared" si="32"/>
        <v>0</v>
      </c>
      <c r="AF75" s="380"/>
      <c r="AG75" s="312"/>
      <c r="AH75" s="313">
        <f t="shared" si="33"/>
        <v>0</v>
      </c>
      <c r="AI75" s="308">
        <v>24</v>
      </c>
      <c r="AJ75" s="309">
        <v>40837</v>
      </c>
      <c r="AK75" s="310">
        <f t="shared" si="34"/>
        <v>980088</v>
      </c>
      <c r="AL75" s="311">
        <v>24</v>
      </c>
      <c r="AM75" s="312">
        <v>41654</v>
      </c>
      <c r="AN75" s="313">
        <f t="shared" si="35"/>
        <v>999696</v>
      </c>
      <c r="AO75" s="308"/>
      <c r="AP75" s="309"/>
      <c r="AQ75" s="310">
        <f t="shared" si="36"/>
        <v>0</v>
      </c>
      <c r="AR75" s="380"/>
      <c r="AS75" s="312"/>
      <c r="AT75" s="313">
        <f t="shared" si="37"/>
        <v>0</v>
      </c>
      <c r="AU75" s="308"/>
      <c r="AV75" s="309"/>
      <c r="AW75" s="310">
        <f t="shared" si="38"/>
        <v>0</v>
      </c>
      <c r="AX75" s="380"/>
      <c r="AY75" s="312"/>
      <c r="AZ75" s="313">
        <f t="shared" si="39"/>
        <v>0</v>
      </c>
      <c r="BA75" s="308"/>
      <c r="BB75" s="309"/>
      <c r="BC75" s="310">
        <f t="shared" si="40"/>
        <v>0</v>
      </c>
      <c r="BD75" s="380"/>
      <c r="BE75" s="312"/>
      <c r="BF75" s="313">
        <f t="shared" si="41"/>
        <v>0</v>
      </c>
      <c r="BG75" s="308"/>
      <c r="BH75" s="309"/>
      <c r="BI75" s="310">
        <f t="shared" si="42"/>
        <v>0</v>
      </c>
      <c r="BJ75" s="380">
        <v>0</v>
      </c>
      <c r="BK75" s="312">
        <v>0</v>
      </c>
      <c r="BL75" s="313">
        <f t="shared" si="43"/>
        <v>0</v>
      </c>
      <c r="BM75" s="308"/>
      <c r="BN75" s="309"/>
      <c r="BO75" s="310">
        <f t="shared" si="44"/>
        <v>0</v>
      </c>
      <c r="BP75" s="380"/>
      <c r="BQ75" s="312"/>
      <c r="BR75" s="313">
        <f t="shared" si="45"/>
        <v>0</v>
      </c>
      <c r="BS75" s="308">
        <v>6</v>
      </c>
      <c r="BT75" s="309">
        <v>48028</v>
      </c>
      <c r="BU75" s="310">
        <f t="shared" si="46"/>
        <v>235779.0576</v>
      </c>
      <c r="BV75" s="311">
        <v>6</v>
      </c>
      <c r="BW75" s="312">
        <v>48277</v>
      </c>
      <c r="BX75" s="313">
        <f t="shared" si="47"/>
        <v>237001.44840000002</v>
      </c>
    </row>
    <row r="76" spans="1:77">
      <c r="A76" s="314" t="s">
        <v>441</v>
      </c>
      <c r="B76" s="315" t="s">
        <v>755</v>
      </c>
      <c r="C76" s="316">
        <v>106999</v>
      </c>
      <c r="D76" s="446">
        <v>10</v>
      </c>
      <c r="E76" s="308"/>
      <c r="F76" s="309"/>
      <c r="G76" s="310">
        <f t="shared" si="24"/>
        <v>0</v>
      </c>
      <c r="H76" s="380"/>
      <c r="I76" s="312"/>
      <c r="J76" s="313">
        <f t="shared" si="25"/>
        <v>0</v>
      </c>
      <c r="K76" s="308"/>
      <c r="L76" s="309"/>
      <c r="M76" s="310">
        <f t="shared" si="26"/>
        <v>0</v>
      </c>
      <c r="N76" s="380"/>
      <c r="O76" s="312"/>
      <c r="P76" s="313">
        <f t="shared" si="27"/>
        <v>0</v>
      </c>
      <c r="Q76" s="308"/>
      <c r="R76" s="309"/>
      <c r="S76" s="310">
        <f t="shared" si="28"/>
        <v>0</v>
      </c>
      <c r="T76" s="380"/>
      <c r="U76" s="312"/>
      <c r="V76" s="313">
        <f t="shared" si="29"/>
        <v>0</v>
      </c>
      <c r="W76" s="308"/>
      <c r="X76" s="309"/>
      <c r="Y76" s="310">
        <f t="shared" si="30"/>
        <v>0</v>
      </c>
      <c r="Z76" s="380"/>
      <c r="AA76" s="312"/>
      <c r="AB76" s="313">
        <f t="shared" si="31"/>
        <v>0</v>
      </c>
      <c r="AC76" s="308"/>
      <c r="AD76" s="309"/>
      <c r="AE76" s="310">
        <f t="shared" si="32"/>
        <v>0</v>
      </c>
      <c r="AF76" s="380"/>
      <c r="AG76" s="312"/>
      <c r="AH76" s="313">
        <f t="shared" si="33"/>
        <v>0</v>
      </c>
      <c r="AI76" s="308">
        <v>30</v>
      </c>
      <c r="AJ76" s="309">
        <v>36308</v>
      </c>
      <c r="AK76" s="310">
        <f t="shared" si="34"/>
        <v>1089240</v>
      </c>
      <c r="AL76" s="311">
        <v>30</v>
      </c>
      <c r="AM76" s="312">
        <v>38918</v>
      </c>
      <c r="AN76" s="313">
        <f t="shared" si="35"/>
        <v>1167540</v>
      </c>
      <c r="AO76" s="308"/>
      <c r="AP76" s="309"/>
      <c r="AQ76" s="310">
        <f t="shared" si="36"/>
        <v>0</v>
      </c>
      <c r="AR76" s="380"/>
      <c r="AS76" s="312"/>
      <c r="AT76" s="313">
        <f t="shared" si="37"/>
        <v>0</v>
      </c>
      <c r="AU76" s="308"/>
      <c r="AV76" s="309"/>
      <c r="AW76" s="310">
        <f t="shared" si="38"/>
        <v>0</v>
      </c>
      <c r="AX76" s="380"/>
      <c r="AY76" s="312"/>
      <c r="AZ76" s="313">
        <f t="shared" si="39"/>
        <v>0</v>
      </c>
      <c r="BA76" s="308"/>
      <c r="BB76" s="309"/>
      <c r="BC76" s="310">
        <f t="shared" si="40"/>
        <v>0</v>
      </c>
      <c r="BD76" s="380"/>
      <c r="BE76" s="312"/>
      <c r="BF76" s="313">
        <f t="shared" si="41"/>
        <v>0</v>
      </c>
      <c r="BG76" s="308"/>
      <c r="BH76" s="309"/>
      <c r="BI76" s="310">
        <f t="shared" si="42"/>
        <v>0</v>
      </c>
      <c r="BJ76" s="380">
        <v>0</v>
      </c>
      <c r="BK76" s="312">
        <v>0</v>
      </c>
      <c r="BL76" s="313">
        <f t="shared" si="43"/>
        <v>0</v>
      </c>
      <c r="BM76" s="308"/>
      <c r="BN76" s="309"/>
      <c r="BO76" s="310">
        <f t="shared" si="44"/>
        <v>0</v>
      </c>
      <c r="BP76" s="380"/>
      <c r="BQ76" s="312"/>
      <c r="BR76" s="313">
        <f t="shared" si="45"/>
        <v>0</v>
      </c>
      <c r="BS76" s="308">
        <v>18</v>
      </c>
      <c r="BT76" s="309">
        <v>47538</v>
      </c>
      <c r="BU76" s="310">
        <f t="shared" si="46"/>
        <v>700120.64880000008</v>
      </c>
      <c r="BV76" s="311">
        <v>19</v>
      </c>
      <c r="BW76" s="312">
        <v>45805</v>
      </c>
      <c r="BX76" s="313">
        <f t="shared" si="47"/>
        <v>712075.36900000006</v>
      </c>
    </row>
    <row r="77" spans="1:77">
      <c r="A77" s="314" t="s">
        <v>441</v>
      </c>
      <c r="B77" s="315" t="s">
        <v>756</v>
      </c>
      <c r="C77" s="316">
        <v>107725</v>
      </c>
      <c r="D77" s="446">
        <v>10</v>
      </c>
      <c r="E77" s="308"/>
      <c r="F77" s="309"/>
      <c r="G77" s="310">
        <f t="shared" si="24"/>
        <v>0</v>
      </c>
      <c r="H77" s="380"/>
      <c r="I77" s="312"/>
      <c r="J77" s="313">
        <f t="shared" si="25"/>
        <v>0</v>
      </c>
      <c r="K77" s="308"/>
      <c r="L77" s="309"/>
      <c r="M77" s="310">
        <f t="shared" si="26"/>
        <v>0</v>
      </c>
      <c r="N77" s="380"/>
      <c r="O77" s="312"/>
      <c r="P77" s="313">
        <f t="shared" si="27"/>
        <v>0</v>
      </c>
      <c r="Q77" s="308"/>
      <c r="R77" s="309"/>
      <c r="S77" s="310">
        <f t="shared" si="28"/>
        <v>0</v>
      </c>
      <c r="T77" s="380"/>
      <c r="U77" s="312"/>
      <c r="V77" s="313">
        <f t="shared" si="29"/>
        <v>0</v>
      </c>
      <c r="W77" s="308"/>
      <c r="X77" s="309"/>
      <c r="Y77" s="310">
        <f t="shared" si="30"/>
        <v>0</v>
      </c>
      <c r="Z77" s="380"/>
      <c r="AA77" s="312"/>
      <c r="AB77" s="313">
        <f t="shared" si="31"/>
        <v>0</v>
      </c>
      <c r="AC77" s="308"/>
      <c r="AD77" s="309"/>
      <c r="AE77" s="310">
        <f t="shared" si="32"/>
        <v>0</v>
      </c>
      <c r="AF77" s="380"/>
      <c r="AG77" s="312"/>
      <c r="AH77" s="313">
        <f t="shared" si="33"/>
        <v>0</v>
      </c>
      <c r="AI77" s="308">
        <v>34</v>
      </c>
      <c r="AJ77" s="309">
        <v>39963</v>
      </c>
      <c r="AK77" s="310">
        <f t="shared" si="34"/>
        <v>1358742</v>
      </c>
      <c r="AL77" s="311">
        <v>36</v>
      </c>
      <c r="AM77" s="312">
        <v>39996</v>
      </c>
      <c r="AN77" s="313">
        <f t="shared" si="35"/>
        <v>1439856</v>
      </c>
      <c r="AO77" s="308"/>
      <c r="AP77" s="309"/>
      <c r="AQ77" s="310">
        <f t="shared" si="36"/>
        <v>0</v>
      </c>
      <c r="AR77" s="380"/>
      <c r="AS77" s="312"/>
      <c r="AT77" s="313">
        <f t="shared" si="37"/>
        <v>0</v>
      </c>
      <c r="AU77" s="308"/>
      <c r="AV77" s="309"/>
      <c r="AW77" s="310">
        <f t="shared" si="38"/>
        <v>0</v>
      </c>
      <c r="AX77" s="380"/>
      <c r="AY77" s="312"/>
      <c r="AZ77" s="313">
        <f t="shared" si="39"/>
        <v>0</v>
      </c>
      <c r="BA77" s="308"/>
      <c r="BB77" s="309"/>
      <c r="BC77" s="310">
        <f t="shared" si="40"/>
        <v>0</v>
      </c>
      <c r="BD77" s="380"/>
      <c r="BE77" s="312"/>
      <c r="BF77" s="313">
        <f t="shared" si="41"/>
        <v>0</v>
      </c>
      <c r="BG77" s="308"/>
      <c r="BH77" s="309"/>
      <c r="BI77" s="310">
        <f t="shared" si="42"/>
        <v>0</v>
      </c>
      <c r="BJ77" s="380">
        <v>0</v>
      </c>
      <c r="BK77" s="312">
        <v>0</v>
      </c>
      <c r="BL77" s="313">
        <f t="shared" si="43"/>
        <v>0</v>
      </c>
      <c r="BM77" s="308"/>
      <c r="BN77" s="309"/>
      <c r="BO77" s="310">
        <f t="shared" si="44"/>
        <v>0</v>
      </c>
      <c r="BP77" s="380"/>
      <c r="BQ77" s="312"/>
      <c r="BR77" s="313">
        <f t="shared" si="45"/>
        <v>0</v>
      </c>
      <c r="BS77" s="308">
        <v>4</v>
      </c>
      <c r="BT77" s="309">
        <v>59261</v>
      </c>
      <c r="BU77" s="310">
        <f t="shared" si="46"/>
        <v>193949.4008</v>
      </c>
      <c r="BV77" s="311">
        <v>4</v>
      </c>
      <c r="BW77" s="312">
        <v>62459</v>
      </c>
      <c r="BX77" s="313">
        <f t="shared" si="47"/>
        <v>204415.81520000001</v>
      </c>
    </row>
    <row r="78" spans="1:77">
      <c r="A78" s="314" t="s">
        <v>441</v>
      </c>
      <c r="B78" s="315" t="s">
        <v>757</v>
      </c>
      <c r="C78" s="316">
        <v>107585</v>
      </c>
      <c r="D78" s="446">
        <v>10</v>
      </c>
      <c r="E78" s="308"/>
      <c r="F78" s="309"/>
      <c r="G78" s="310">
        <f t="shared" si="24"/>
        <v>0</v>
      </c>
      <c r="H78" s="380"/>
      <c r="I78" s="312"/>
      <c r="J78" s="313">
        <f t="shared" si="25"/>
        <v>0</v>
      </c>
      <c r="K78" s="308"/>
      <c r="L78" s="309"/>
      <c r="M78" s="310">
        <f t="shared" si="26"/>
        <v>0</v>
      </c>
      <c r="N78" s="380"/>
      <c r="O78" s="312"/>
      <c r="P78" s="313">
        <f t="shared" si="27"/>
        <v>0</v>
      </c>
      <c r="Q78" s="308"/>
      <c r="R78" s="309"/>
      <c r="S78" s="310">
        <f t="shared" si="28"/>
        <v>0</v>
      </c>
      <c r="T78" s="380"/>
      <c r="U78" s="312"/>
      <c r="V78" s="313">
        <f t="shared" si="29"/>
        <v>0</v>
      </c>
      <c r="W78" s="308"/>
      <c r="X78" s="309"/>
      <c r="Y78" s="310">
        <f t="shared" si="30"/>
        <v>0</v>
      </c>
      <c r="Z78" s="380"/>
      <c r="AA78" s="312"/>
      <c r="AB78" s="313">
        <f t="shared" si="31"/>
        <v>0</v>
      </c>
      <c r="AC78" s="308"/>
      <c r="AD78" s="309"/>
      <c r="AE78" s="310">
        <f t="shared" si="32"/>
        <v>0</v>
      </c>
      <c r="AF78" s="380"/>
      <c r="AG78" s="312"/>
      <c r="AH78" s="313">
        <f t="shared" si="33"/>
        <v>0</v>
      </c>
      <c r="AI78" s="308">
        <v>53</v>
      </c>
      <c r="AJ78" s="309">
        <v>40607</v>
      </c>
      <c r="AK78" s="310">
        <f t="shared" si="34"/>
        <v>2152171</v>
      </c>
      <c r="AL78" s="311">
        <v>57</v>
      </c>
      <c r="AM78" s="312">
        <v>40605</v>
      </c>
      <c r="AN78" s="313">
        <f t="shared" si="35"/>
        <v>2314485</v>
      </c>
      <c r="AO78" s="308"/>
      <c r="AP78" s="309"/>
      <c r="AQ78" s="310">
        <f t="shared" si="36"/>
        <v>0</v>
      </c>
      <c r="AR78" s="380"/>
      <c r="AS78" s="312"/>
      <c r="AT78" s="313">
        <f t="shared" si="37"/>
        <v>0</v>
      </c>
      <c r="AU78" s="308"/>
      <c r="AV78" s="309"/>
      <c r="AW78" s="310">
        <f t="shared" si="38"/>
        <v>0</v>
      </c>
      <c r="AX78" s="380"/>
      <c r="AY78" s="312"/>
      <c r="AZ78" s="313">
        <f t="shared" si="39"/>
        <v>0</v>
      </c>
      <c r="BA78" s="308"/>
      <c r="BB78" s="309"/>
      <c r="BC78" s="310">
        <f t="shared" si="40"/>
        <v>0</v>
      </c>
      <c r="BD78" s="380"/>
      <c r="BE78" s="312"/>
      <c r="BF78" s="313">
        <f t="shared" si="41"/>
        <v>0</v>
      </c>
      <c r="BG78" s="308"/>
      <c r="BH78" s="309"/>
      <c r="BI78" s="310">
        <f t="shared" si="42"/>
        <v>0</v>
      </c>
      <c r="BJ78" s="380">
        <v>0</v>
      </c>
      <c r="BK78" s="312">
        <v>0</v>
      </c>
      <c r="BL78" s="313">
        <f t="shared" si="43"/>
        <v>0</v>
      </c>
      <c r="BM78" s="308"/>
      <c r="BN78" s="309"/>
      <c r="BO78" s="310">
        <f t="shared" si="44"/>
        <v>0</v>
      </c>
      <c r="BP78" s="380"/>
      <c r="BQ78" s="312"/>
      <c r="BR78" s="313">
        <f t="shared" si="45"/>
        <v>0</v>
      </c>
      <c r="BS78" s="308"/>
      <c r="BT78" s="309"/>
      <c r="BU78" s="310">
        <f t="shared" si="46"/>
        <v>0</v>
      </c>
      <c r="BV78" s="311">
        <v>0</v>
      </c>
      <c r="BW78" s="312">
        <v>0</v>
      </c>
      <c r="BX78" s="313">
        <f t="shared" si="47"/>
        <v>0</v>
      </c>
    </row>
    <row r="79" spans="1:77">
      <c r="A79" s="325" t="s">
        <v>442</v>
      </c>
      <c r="B79" s="326" t="s">
        <v>992</v>
      </c>
      <c r="C79" s="325">
        <v>130943</v>
      </c>
      <c r="D79" s="341">
        <v>1</v>
      </c>
      <c r="E79" s="308">
        <v>336</v>
      </c>
      <c r="F79" s="309">
        <v>125605</v>
      </c>
      <c r="G79" s="310">
        <f>E79*F79</f>
        <v>42203280</v>
      </c>
      <c r="H79" s="311">
        <v>341</v>
      </c>
      <c r="I79" s="312">
        <v>129217</v>
      </c>
      <c r="J79" s="313">
        <f>H79*I79</f>
        <v>44062997</v>
      </c>
      <c r="K79" s="308">
        <v>302</v>
      </c>
      <c r="L79" s="309">
        <v>83569</v>
      </c>
      <c r="M79" s="310">
        <f>K79*L79</f>
        <v>25237838</v>
      </c>
      <c r="N79" s="311">
        <v>309</v>
      </c>
      <c r="O79" s="312">
        <v>86890</v>
      </c>
      <c r="P79" s="313">
        <f>N79*O79</f>
        <v>26849010</v>
      </c>
      <c r="Q79" s="308">
        <v>285</v>
      </c>
      <c r="R79" s="309">
        <v>68977</v>
      </c>
      <c r="S79" s="310">
        <f>Q79*R79</f>
        <v>19658445</v>
      </c>
      <c r="T79" s="311">
        <v>290</v>
      </c>
      <c r="U79" s="312">
        <v>73807</v>
      </c>
      <c r="V79" s="313">
        <f>T79*U79</f>
        <v>21404030</v>
      </c>
      <c r="W79" s="308">
        <v>108</v>
      </c>
      <c r="X79" s="309">
        <v>54705</v>
      </c>
      <c r="Y79" s="310">
        <f>W79*X79</f>
        <v>5908140</v>
      </c>
      <c r="Z79" s="311">
        <v>97</v>
      </c>
      <c r="AA79" s="312">
        <v>58245</v>
      </c>
      <c r="AB79" s="313">
        <f>Z79*AA79</f>
        <v>5649765</v>
      </c>
      <c r="AC79" s="308"/>
      <c r="AD79" s="309"/>
      <c r="AE79" s="310">
        <f>AC79*AD79</f>
        <v>0</v>
      </c>
      <c r="AF79" s="311"/>
      <c r="AG79" s="312"/>
      <c r="AH79" s="313">
        <f>AF79*AG79</f>
        <v>0</v>
      </c>
      <c r="AI79" s="308"/>
      <c r="AJ79" s="309"/>
      <c r="AK79" s="310">
        <f>AI79*AJ79</f>
        <v>0</v>
      </c>
      <c r="AL79" s="311"/>
      <c r="AM79" s="312"/>
      <c r="AN79" s="313">
        <f>AL79*AM79</f>
        <v>0</v>
      </c>
      <c r="AO79" s="308">
        <v>42</v>
      </c>
      <c r="AP79" s="309">
        <v>133971</v>
      </c>
      <c r="AQ79" s="310">
        <f>(AO79*AP79)*0.8182</f>
        <v>4603833.0323999999</v>
      </c>
      <c r="AR79" s="311">
        <v>41</v>
      </c>
      <c r="AS79" s="312">
        <v>140997</v>
      </c>
      <c r="AT79" s="313">
        <f>(AR79*AS79)*0.8182</f>
        <v>4729913.5614</v>
      </c>
      <c r="AU79" s="308">
        <v>20</v>
      </c>
      <c r="AV79" s="309">
        <v>102262</v>
      </c>
      <c r="AW79" s="310">
        <f>(AU79*AV79)*0.8182</f>
        <v>1673415.368</v>
      </c>
      <c r="AX79" s="311">
        <v>19</v>
      </c>
      <c r="AY79" s="312">
        <v>103885</v>
      </c>
      <c r="AZ79" s="313">
        <f>(AX79*AY79)*0.8182</f>
        <v>1614975.433</v>
      </c>
      <c r="BA79" s="308">
        <v>13</v>
      </c>
      <c r="BB79" s="309">
        <v>88736</v>
      </c>
      <c r="BC79" s="310">
        <f>(BA79*BB79)*0.8182</f>
        <v>943849.33760000009</v>
      </c>
      <c r="BD79" s="311">
        <v>12</v>
      </c>
      <c r="BE79" s="312">
        <v>84843</v>
      </c>
      <c r="BF79" s="313">
        <f>(BD79*BE79)*0.8182</f>
        <v>833022.51120000007</v>
      </c>
      <c r="BG79" s="308">
        <v>10</v>
      </c>
      <c r="BH79" s="309">
        <v>70285</v>
      </c>
      <c r="BI79" s="310">
        <f>(BG79*BH79)*0.8182</f>
        <v>575071.87</v>
      </c>
      <c r="BJ79" s="311">
        <v>8</v>
      </c>
      <c r="BK79" s="312">
        <v>61823</v>
      </c>
      <c r="BL79" s="313">
        <f>(BJ79*BK79)*0.8182</f>
        <v>404668.62880000001</v>
      </c>
      <c r="BM79" s="308">
        <v>1</v>
      </c>
      <c r="BN79" s="309">
        <v>57907</v>
      </c>
      <c r="BO79" s="310">
        <f>(BM79*BN79)*0.8182</f>
        <v>47379.507400000002</v>
      </c>
      <c r="BP79" s="311"/>
      <c r="BQ79" s="312"/>
      <c r="BR79" s="313">
        <f>(BP79*BQ79)*0.8182</f>
        <v>0</v>
      </c>
      <c r="BS79" s="308"/>
      <c r="BT79" s="309"/>
      <c r="BU79" s="310">
        <f>(BS79*BT79)*0.8182</f>
        <v>0</v>
      </c>
      <c r="BV79" s="311"/>
      <c r="BW79" s="312"/>
      <c r="BX79" s="313">
        <f>(BV79*BW79)*0.8182</f>
        <v>0</v>
      </c>
      <c r="BY79" s="290"/>
    </row>
    <row r="80" spans="1:77">
      <c r="A80" s="325" t="s">
        <v>442</v>
      </c>
      <c r="B80" s="326" t="s">
        <v>993</v>
      </c>
      <c r="C80" s="325">
        <v>130934</v>
      </c>
      <c r="D80" s="341">
        <v>4</v>
      </c>
      <c r="E80" s="308">
        <v>26</v>
      </c>
      <c r="F80" s="309">
        <v>81471</v>
      </c>
      <c r="G80" s="310">
        <f>E80*F80</f>
        <v>2118246</v>
      </c>
      <c r="H80" s="311">
        <v>27</v>
      </c>
      <c r="I80" s="312">
        <v>79657</v>
      </c>
      <c r="J80" s="313">
        <f>H80*I80</f>
        <v>2150739</v>
      </c>
      <c r="K80" s="308">
        <v>90</v>
      </c>
      <c r="L80" s="309">
        <v>64200</v>
      </c>
      <c r="M80" s="310">
        <f>K80*L80</f>
        <v>5778000</v>
      </c>
      <c r="N80" s="311">
        <v>63</v>
      </c>
      <c r="O80" s="312">
        <v>65318</v>
      </c>
      <c r="P80" s="313">
        <f>N80*O80</f>
        <v>4115034</v>
      </c>
      <c r="Q80" s="448">
        <v>8</v>
      </c>
      <c r="R80" s="309">
        <v>56942</v>
      </c>
      <c r="S80" s="310">
        <f>Q80*R80</f>
        <v>455536</v>
      </c>
      <c r="T80" s="449">
        <v>47</v>
      </c>
      <c r="U80" s="312">
        <v>60437</v>
      </c>
      <c r="V80" s="313">
        <f>T80*U80</f>
        <v>2840539</v>
      </c>
      <c r="W80" s="308">
        <v>12</v>
      </c>
      <c r="X80" s="309">
        <v>43159</v>
      </c>
      <c r="Y80" s="310">
        <f>W80*X80</f>
        <v>517908</v>
      </c>
      <c r="Z80" s="311">
        <v>6</v>
      </c>
      <c r="AA80" s="312">
        <v>47357</v>
      </c>
      <c r="AB80" s="313">
        <f>Z80*AA80</f>
        <v>284142</v>
      </c>
      <c r="AC80" s="308">
        <v>1</v>
      </c>
      <c r="AD80" s="309">
        <v>38786</v>
      </c>
      <c r="AE80" s="310">
        <f>AC80*AD80</f>
        <v>38786</v>
      </c>
      <c r="AF80" s="311">
        <v>1</v>
      </c>
      <c r="AG80" s="312">
        <v>38786</v>
      </c>
      <c r="AH80" s="313">
        <f>AF80*AG80</f>
        <v>38786</v>
      </c>
      <c r="AI80" s="308"/>
      <c r="AJ80" s="309"/>
      <c r="AK80" s="310">
        <f>AI80*AJ80</f>
        <v>0</v>
      </c>
      <c r="AL80" s="311"/>
      <c r="AM80" s="312"/>
      <c r="AN80" s="313">
        <f>AL80*AM80</f>
        <v>0</v>
      </c>
      <c r="AO80" s="308">
        <v>11</v>
      </c>
      <c r="AP80" s="309">
        <v>96782</v>
      </c>
      <c r="AQ80" s="310">
        <f>(AO80*AP80)*0.8182</f>
        <v>871057.35640000005</v>
      </c>
      <c r="AR80" s="311">
        <v>12</v>
      </c>
      <c r="AS80" s="312">
        <v>99973</v>
      </c>
      <c r="AT80" s="313">
        <f>(AR80*AS80)*0.8182</f>
        <v>981574.90320000006</v>
      </c>
      <c r="AU80" s="308">
        <v>33</v>
      </c>
      <c r="AV80" s="309">
        <v>68593</v>
      </c>
      <c r="AW80" s="310">
        <f>(AU80*AV80)*0.8182</f>
        <v>1852052.1558000001</v>
      </c>
      <c r="AX80" s="311">
        <v>22</v>
      </c>
      <c r="AY80" s="312">
        <v>73671</v>
      </c>
      <c r="AZ80" s="313">
        <f>(AX80*AY80)*0.8182</f>
        <v>1326107.4684000001</v>
      </c>
      <c r="BA80" s="308">
        <v>1</v>
      </c>
      <c r="BB80" s="309">
        <v>68340</v>
      </c>
      <c r="BC80" s="310">
        <f>(BA80*BB80)*0.8182</f>
        <v>55915.788</v>
      </c>
      <c r="BD80" s="311">
        <v>14</v>
      </c>
      <c r="BE80" s="312">
        <v>57000</v>
      </c>
      <c r="BF80" s="313">
        <f>(BD80*BE80)*0.8182</f>
        <v>652923.6</v>
      </c>
      <c r="BG80" s="308">
        <v>2</v>
      </c>
      <c r="BH80" s="309">
        <v>51500</v>
      </c>
      <c r="BI80" s="310">
        <f>(BG80*BH80)*0.8182</f>
        <v>84274.6</v>
      </c>
      <c r="BJ80" s="311">
        <v>1</v>
      </c>
      <c r="BK80" s="312">
        <v>39000</v>
      </c>
      <c r="BL80" s="313">
        <f>(BJ80*BK80)*0.8182</f>
        <v>31909.800000000003</v>
      </c>
      <c r="BM80" s="308"/>
      <c r="BN80" s="309"/>
      <c r="BO80" s="310">
        <f>(BM80*BN80)*0.8182</f>
        <v>0</v>
      </c>
      <c r="BP80" s="311"/>
      <c r="BQ80" s="312"/>
      <c r="BR80" s="313">
        <f>(BP80*BQ80)*0.8182</f>
        <v>0</v>
      </c>
      <c r="BS80" s="308"/>
      <c r="BT80" s="309"/>
      <c r="BU80" s="310">
        <f>(BS80*BT80)*0.8182</f>
        <v>0</v>
      </c>
      <c r="BV80" s="311"/>
      <c r="BW80" s="312"/>
      <c r="BX80" s="313">
        <f>(BV80*BW80)*0.8182</f>
        <v>0</v>
      </c>
      <c r="BY80" s="290"/>
    </row>
    <row r="81" spans="1:77">
      <c r="A81" s="325" t="s">
        <v>442</v>
      </c>
      <c r="B81" s="326" t="s">
        <v>994</v>
      </c>
      <c r="C81" s="325">
        <v>130891</v>
      </c>
      <c r="D81" s="341">
        <v>9</v>
      </c>
      <c r="E81" s="308"/>
      <c r="F81" s="309"/>
      <c r="G81" s="310">
        <f>E81*F81</f>
        <v>0</v>
      </c>
      <c r="H81" s="311"/>
      <c r="I81" s="312"/>
      <c r="J81" s="313">
        <f>H81*I81</f>
        <v>0</v>
      </c>
      <c r="K81" s="308"/>
      <c r="L81" s="309"/>
      <c r="M81" s="310">
        <f>K81*L81</f>
        <v>0</v>
      </c>
      <c r="N81" s="311"/>
      <c r="O81" s="312"/>
      <c r="P81" s="313">
        <f>N81*O81</f>
        <v>0</v>
      </c>
      <c r="Q81" s="308"/>
      <c r="R81" s="309"/>
      <c r="S81" s="310">
        <f>Q81*R81</f>
        <v>0</v>
      </c>
      <c r="T81" s="311"/>
      <c r="U81" s="312"/>
      <c r="V81" s="313">
        <f>T81*U81</f>
        <v>0</v>
      </c>
      <c r="W81" s="308"/>
      <c r="X81" s="309"/>
      <c r="Y81" s="310">
        <f>W81*X81</f>
        <v>0</v>
      </c>
      <c r="Z81" s="311"/>
      <c r="AA81" s="312"/>
      <c r="AB81" s="313">
        <f>Z81*AA81</f>
        <v>0</v>
      </c>
      <c r="AC81" s="308"/>
      <c r="AD81" s="309"/>
      <c r="AE81" s="310">
        <f>AC81*AD81</f>
        <v>0</v>
      </c>
      <c r="AF81" s="311"/>
      <c r="AG81" s="312"/>
      <c r="AH81" s="313">
        <f>AF81*AG81</f>
        <v>0</v>
      </c>
      <c r="AI81" s="308">
        <v>82</v>
      </c>
      <c r="AJ81" s="309">
        <v>62399</v>
      </c>
      <c r="AK81" s="310">
        <f>AI81*AJ81</f>
        <v>5116718</v>
      </c>
      <c r="AL81" s="311">
        <v>83</v>
      </c>
      <c r="AM81" s="312">
        <v>63416</v>
      </c>
      <c r="AN81" s="313">
        <f>AL81*AM81</f>
        <v>5263528</v>
      </c>
      <c r="AO81" s="308"/>
      <c r="AP81" s="309"/>
      <c r="AQ81" s="310">
        <f>(AO81*AP81)*0.8182</f>
        <v>0</v>
      </c>
      <c r="AR81" s="311"/>
      <c r="AS81" s="312"/>
      <c r="AT81" s="313">
        <f>(AR81*AS81)*0.8182</f>
        <v>0</v>
      </c>
      <c r="AU81" s="308"/>
      <c r="AV81" s="309"/>
      <c r="AW81" s="310">
        <f>(AU81*AV81)*0.8182</f>
        <v>0</v>
      </c>
      <c r="AX81" s="311"/>
      <c r="AY81" s="312"/>
      <c r="AZ81" s="313">
        <f>(AX81*AY81)*0.8182</f>
        <v>0</v>
      </c>
      <c r="BA81" s="308"/>
      <c r="BB81" s="309"/>
      <c r="BC81" s="310">
        <f>(BA81*BB81)*0.8182</f>
        <v>0</v>
      </c>
      <c r="BD81" s="311"/>
      <c r="BE81" s="312"/>
      <c r="BF81" s="313">
        <f>(BD81*BE81)*0.8182</f>
        <v>0</v>
      </c>
      <c r="BG81" s="308"/>
      <c r="BH81" s="309"/>
      <c r="BI81" s="310">
        <f>(BG81*BH81)*0.8182</f>
        <v>0</v>
      </c>
      <c r="BJ81" s="311"/>
      <c r="BK81" s="312"/>
      <c r="BL81" s="313">
        <f>(BJ81*BK81)*0.8182</f>
        <v>0</v>
      </c>
      <c r="BM81" s="308"/>
      <c r="BN81" s="309"/>
      <c r="BO81" s="310">
        <f>(BM81*BN81)*0.8182</f>
        <v>0</v>
      </c>
      <c r="BP81" s="311"/>
      <c r="BQ81" s="312"/>
      <c r="BR81" s="313">
        <f>(BP81*BQ81)*0.8182</f>
        <v>0</v>
      </c>
      <c r="BS81" s="308">
        <v>37</v>
      </c>
      <c r="BT81" s="309">
        <v>79473</v>
      </c>
      <c r="BU81" s="310">
        <f>(BS81*BT81)*0.8182</f>
        <v>2405917.9182000002</v>
      </c>
      <c r="BV81" s="311">
        <v>36</v>
      </c>
      <c r="BW81" s="312">
        <v>80047</v>
      </c>
      <c r="BX81" s="313">
        <f>(BV81*BW81)*0.8182</f>
        <v>2357800.3944000001</v>
      </c>
      <c r="BY81" s="290"/>
    </row>
    <row r="82" spans="1:77">
      <c r="A82" s="325" t="s">
        <v>442</v>
      </c>
      <c r="B82" s="326" t="s">
        <v>995</v>
      </c>
      <c r="C82" s="325">
        <v>130916</v>
      </c>
      <c r="D82" s="341">
        <v>9</v>
      </c>
      <c r="E82" s="308"/>
      <c r="F82" s="309"/>
      <c r="G82" s="310">
        <f>E82*F82</f>
        <v>0</v>
      </c>
      <c r="H82" s="311"/>
      <c r="I82" s="312"/>
      <c r="J82" s="313">
        <f>H82*I82</f>
        <v>0</v>
      </c>
      <c r="K82" s="308"/>
      <c r="L82" s="309"/>
      <c r="M82" s="310">
        <f>K82*L82</f>
        <v>0</v>
      </c>
      <c r="N82" s="311"/>
      <c r="O82" s="312"/>
      <c r="P82" s="313">
        <f>N82*O82</f>
        <v>0</v>
      </c>
      <c r="Q82" s="308"/>
      <c r="R82" s="309"/>
      <c r="S82" s="310">
        <f>Q82*R82</f>
        <v>0</v>
      </c>
      <c r="T82" s="311"/>
      <c r="U82" s="312"/>
      <c r="V82" s="313">
        <f>T82*U82</f>
        <v>0</v>
      </c>
      <c r="W82" s="308"/>
      <c r="X82" s="309"/>
      <c r="Y82" s="310">
        <f>W82*X82</f>
        <v>0</v>
      </c>
      <c r="Z82" s="311"/>
      <c r="AA82" s="312"/>
      <c r="AB82" s="313">
        <f>Z82*AA82</f>
        <v>0</v>
      </c>
      <c r="AC82" s="308"/>
      <c r="AD82" s="309"/>
      <c r="AE82" s="310">
        <f>AC82*AD82</f>
        <v>0</v>
      </c>
      <c r="AF82" s="311"/>
      <c r="AG82" s="312"/>
      <c r="AH82" s="313">
        <f>AF82*AG82</f>
        <v>0</v>
      </c>
      <c r="AI82" s="308">
        <v>129</v>
      </c>
      <c r="AJ82" s="309">
        <v>64253</v>
      </c>
      <c r="AK82" s="310">
        <f>AI82*AJ82</f>
        <v>8288637</v>
      </c>
      <c r="AL82" s="311">
        <v>125</v>
      </c>
      <c r="AM82" s="312">
        <v>64291</v>
      </c>
      <c r="AN82" s="313">
        <f>AL82*AM82</f>
        <v>8036375</v>
      </c>
      <c r="AO82" s="308"/>
      <c r="AP82" s="309"/>
      <c r="AQ82" s="310">
        <f>(AO82*AP82)*0.8182</f>
        <v>0</v>
      </c>
      <c r="AR82" s="311"/>
      <c r="AS82" s="312"/>
      <c r="AT82" s="313">
        <f>(AR82*AS82)*0.8182</f>
        <v>0</v>
      </c>
      <c r="AU82" s="308"/>
      <c r="AV82" s="309"/>
      <c r="AW82" s="310">
        <f>(AU82*AV82)*0.8182</f>
        <v>0</v>
      </c>
      <c r="AX82" s="311"/>
      <c r="AY82" s="312"/>
      <c r="AZ82" s="313">
        <f>(AX82*AY82)*0.8182</f>
        <v>0</v>
      </c>
      <c r="BA82" s="308"/>
      <c r="BB82" s="309"/>
      <c r="BC82" s="310">
        <f>(BA82*BB82)*0.8182</f>
        <v>0</v>
      </c>
      <c r="BD82" s="311"/>
      <c r="BE82" s="312"/>
      <c r="BF82" s="313">
        <f>(BD82*BE82)*0.8182</f>
        <v>0</v>
      </c>
      <c r="BG82" s="308"/>
      <c r="BH82" s="309"/>
      <c r="BI82" s="310">
        <f>(BG82*BH82)*0.8182</f>
        <v>0</v>
      </c>
      <c r="BJ82" s="311"/>
      <c r="BK82" s="312"/>
      <c r="BL82" s="313">
        <f>(BJ82*BK82)*0.8182</f>
        <v>0</v>
      </c>
      <c r="BM82" s="308"/>
      <c r="BN82" s="309"/>
      <c r="BO82" s="310">
        <f>(BM82*BN82)*0.8182</f>
        <v>0</v>
      </c>
      <c r="BP82" s="311"/>
      <c r="BQ82" s="312"/>
      <c r="BR82" s="313">
        <f>(BP82*BQ82)*0.8182</f>
        <v>0</v>
      </c>
      <c r="BS82" s="308">
        <v>48</v>
      </c>
      <c r="BT82" s="309">
        <v>79329</v>
      </c>
      <c r="BU82" s="310">
        <f>(BS82*BT82)*0.8182</f>
        <v>3115535.4144000001</v>
      </c>
      <c r="BV82" s="311">
        <v>48</v>
      </c>
      <c r="BW82" s="312">
        <v>76696</v>
      </c>
      <c r="BX82" s="313">
        <f>(BV82*BW82)*0.8182</f>
        <v>3012128.0256000003</v>
      </c>
      <c r="BY82" s="290"/>
    </row>
    <row r="83" spans="1:77">
      <c r="A83" s="325" t="s">
        <v>442</v>
      </c>
      <c r="B83" s="450" t="s">
        <v>996</v>
      </c>
      <c r="C83" s="325">
        <v>130907</v>
      </c>
      <c r="D83" s="341">
        <v>10</v>
      </c>
      <c r="E83" s="308"/>
      <c r="F83" s="309"/>
      <c r="G83" s="310">
        <f>E83*F83</f>
        <v>0</v>
      </c>
      <c r="H83" s="311"/>
      <c r="I83" s="312"/>
      <c r="J83" s="313">
        <f>H83*I83</f>
        <v>0</v>
      </c>
      <c r="K83" s="308"/>
      <c r="L83" s="309"/>
      <c r="M83" s="310">
        <f>K83*L83</f>
        <v>0</v>
      </c>
      <c r="N83" s="311"/>
      <c r="O83" s="312"/>
      <c r="P83" s="313">
        <f>N83*O83</f>
        <v>0</v>
      </c>
      <c r="Q83" s="308"/>
      <c r="R83" s="309"/>
      <c r="S83" s="310">
        <f>Q83*R83</f>
        <v>0</v>
      </c>
      <c r="T83" s="311"/>
      <c r="U83" s="312"/>
      <c r="V83" s="313">
        <f>T83*U83</f>
        <v>0</v>
      </c>
      <c r="W83" s="308"/>
      <c r="X83" s="309"/>
      <c r="Y83" s="310">
        <f>W83*X83</f>
        <v>0</v>
      </c>
      <c r="Z83" s="311"/>
      <c r="AA83" s="312"/>
      <c r="AB83" s="313">
        <f>Z83*AA83</f>
        <v>0</v>
      </c>
      <c r="AC83" s="308"/>
      <c r="AD83" s="309"/>
      <c r="AE83" s="310">
        <f>AC83*AD83</f>
        <v>0</v>
      </c>
      <c r="AF83" s="311"/>
      <c r="AG83" s="312"/>
      <c r="AH83" s="313">
        <f>AF83*AG83</f>
        <v>0</v>
      </c>
      <c r="AI83" s="308">
        <v>58</v>
      </c>
      <c r="AJ83" s="309">
        <v>62232</v>
      </c>
      <c r="AK83" s="310">
        <f>AI83*AJ83</f>
        <v>3609456</v>
      </c>
      <c r="AL83" s="311">
        <v>59</v>
      </c>
      <c r="AM83" s="312">
        <v>62774</v>
      </c>
      <c r="AN83" s="313">
        <f>AL83*AM83</f>
        <v>3703666</v>
      </c>
      <c r="AO83" s="308"/>
      <c r="AP83" s="309"/>
      <c r="AQ83" s="310">
        <f>(AO83*AP83)*0.8182</f>
        <v>0</v>
      </c>
      <c r="AR83" s="311"/>
      <c r="AS83" s="312"/>
      <c r="AT83" s="313">
        <f>(AR83*AS83)*0.8182</f>
        <v>0</v>
      </c>
      <c r="AU83" s="308"/>
      <c r="AV83" s="309"/>
      <c r="AW83" s="310">
        <f>(AU83*AV83)*0.8182</f>
        <v>0</v>
      </c>
      <c r="AX83" s="311"/>
      <c r="AY83" s="312"/>
      <c r="AZ83" s="313">
        <f>(AX83*AY83)*0.8182</f>
        <v>0</v>
      </c>
      <c r="BA83" s="308"/>
      <c r="BB83" s="309"/>
      <c r="BC83" s="310">
        <f>(BA83*BB83)*0.8182</f>
        <v>0</v>
      </c>
      <c r="BD83" s="311"/>
      <c r="BE83" s="312"/>
      <c r="BF83" s="313">
        <f>(BD83*BE83)*0.8182</f>
        <v>0</v>
      </c>
      <c r="BG83" s="308"/>
      <c r="BH83" s="309"/>
      <c r="BI83" s="310">
        <f>(BG83*BH83)*0.8182</f>
        <v>0</v>
      </c>
      <c r="BJ83" s="311"/>
      <c r="BK83" s="312"/>
      <c r="BL83" s="313">
        <f>(BJ83*BK83)*0.8182</f>
        <v>0</v>
      </c>
      <c r="BM83" s="308"/>
      <c r="BN83" s="309"/>
      <c r="BO83" s="310">
        <f>(BM83*BN83)*0.8182</f>
        <v>0</v>
      </c>
      <c r="BP83" s="311"/>
      <c r="BQ83" s="312"/>
      <c r="BR83" s="313">
        <f>(BP83*BQ83)*0.8182</f>
        <v>0</v>
      </c>
      <c r="BS83" s="308">
        <v>20</v>
      </c>
      <c r="BT83" s="309">
        <v>80218</v>
      </c>
      <c r="BU83" s="310">
        <f>(BS83*BT83)*0.8182</f>
        <v>1312687.352</v>
      </c>
      <c r="BV83" s="311">
        <v>22</v>
      </c>
      <c r="BW83" s="312">
        <v>79684</v>
      </c>
      <c r="BX83" s="313">
        <f>(BV83*BW83)*0.8182</f>
        <v>1434343.8736</v>
      </c>
      <c r="BY83" s="290"/>
    </row>
    <row r="84" spans="1:77">
      <c r="A84" s="346" t="s">
        <v>450</v>
      </c>
      <c r="B84" s="347" t="s">
        <v>630</v>
      </c>
      <c r="C84" s="348">
        <v>134097</v>
      </c>
      <c r="D84" s="349">
        <v>1</v>
      </c>
      <c r="E84" s="308">
        <v>443</v>
      </c>
      <c r="F84" s="309">
        <f>(35684234+8592999)/E84</f>
        <v>99948.607223476298</v>
      </c>
      <c r="G84" s="310">
        <f t="shared" si="24"/>
        <v>44277233</v>
      </c>
      <c r="H84" s="380">
        <v>417</v>
      </c>
      <c r="I84" s="358">
        <v>103504.49160671463</v>
      </c>
      <c r="J84" s="313">
        <f t="shared" si="25"/>
        <v>43161373</v>
      </c>
      <c r="K84" s="308">
        <v>364</v>
      </c>
      <c r="L84" s="309">
        <v>70367.425824175822</v>
      </c>
      <c r="M84" s="310">
        <f t="shared" si="26"/>
        <v>25613743</v>
      </c>
      <c r="N84" s="387">
        <v>364</v>
      </c>
      <c r="O84" s="388">
        <v>72607.060439560446</v>
      </c>
      <c r="P84" s="313">
        <f t="shared" si="27"/>
        <v>26428970.000000004</v>
      </c>
      <c r="Q84" s="308">
        <v>326</v>
      </c>
      <c r="R84" s="309">
        <f>(13120540+8518995)/Q84</f>
        <v>66378.941717791415</v>
      </c>
      <c r="S84" s="310">
        <f t="shared" si="28"/>
        <v>21639535</v>
      </c>
      <c r="T84" s="387">
        <v>291</v>
      </c>
      <c r="U84" s="388">
        <v>69474.883161512029</v>
      </c>
      <c r="V84" s="313">
        <f t="shared" si="29"/>
        <v>20217191</v>
      </c>
      <c r="W84" s="308">
        <v>15</v>
      </c>
      <c r="X84" s="309">
        <v>33742</v>
      </c>
      <c r="Y84" s="310">
        <f t="shared" si="30"/>
        <v>506130</v>
      </c>
      <c r="Z84" s="387">
        <v>8</v>
      </c>
      <c r="AA84" s="388">
        <v>29729</v>
      </c>
      <c r="AB84" s="313">
        <f t="shared" si="31"/>
        <v>237832</v>
      </c>
      <c r="AC84" s="308">
        <v>109</v>
      </c>
      <c r="AD84" s="309">
        <v>49084.633027522934</v>
      </c>
      <c r="AE84" s="310">
        <f t="shared" si="32"/>
        <v>5350225</v>
      </c>
      <c r="AF84" s="387">
        <v>122</v>
      </c>
      <c r="AG84" s="388">
        <v>50864.2</v>
      </c>
      <c r="AH84" s="313">
        <f t="shared" si="33"/>
        <v>6205432.3999999994</v>
      </c>
      <c r="AI84" s="308"/>
      <c r="AJ84" s="309"/>
      <c r="AK84" s="310">
        <f t="shared" si="34"/>
        <v>0</v>
      </c>
      <c r="AL84" s="311"/>
      <c r="AM84" s="312"/>
      <c r="AN84" s="313">
        <f t="shared" si="35"/>
        <v>0</v>
      </c>
      <c r="AO84" s="308">
        <v>8</v>
      </c>
      <c r="AP84" s="309">
        <v>115389</v>
      </c>
      <c r="AQ84" s="310">
        <f t="shared" si="36"/>
        <v>755290.23840000003</v>
      </c>
      <c r="AR84" s="387">
        <v>5</v>
      </c>
      <c r="AS84" s="388">
        <v>119936</v>
      </c>
      <c r="AT84" s="313">
        <f t="shared" si="37"/>
        <v>490658.17600000004</v>
      </c>
      <c r="AU84" s="308">
        <v>1</v>
      </c>
      <c r="AV84" s="309">
        <v>119437</v>
      </c>
      <c r="AW84" s="310">
        <f t="shared" si="38"/>
        <v>97723.353400000007</v>
      </c>
      <c r="AX84" s="387">
        <v>1</v>
      </c>
      <c r="AY84" s="388">
        <v>123020</v>
      </c>
      <c r="AZ84" s="313">
        <f t="shared" si="39"/>
        <v>100654.96400000001</v>
      </c>
      <c r="BA84" s="308">
        <v>1</v>
      </c>
      <c r="BB84" s="309">
        <v>50000</v>
      </c>
      <c r="BC84" s="310">
        <f t="shared" si="40"/>
        <v>40910</v>
      </c>
      <c r="BD84" s="387">
        <v>1</v>
      </c>
      <c r="BE84" s="388">
        <v>56650</v>
      </c>
      <c r="BF84" s="313">
        <f t="shared" si="41"/>
        <v>46351.03</v>
      </c>
      <c r="BG84" s="308"/>
      <c r="BH84" s="309"/>
      <c r="BI84" s="310">
        <f t="shared" si="42"/>
        <v>0</v>
      </c>
      <c r="BJ84" s="380"/>
      <c r="BK84" s="358"/>
      <c r="BL84" s="313">
        <f t="shared" si="43"/>
        <v>0</v>
      </c>
      <c r="BM84" s="308">
        <v>82</v>
      </c>
      <c r="BN84" s="309">
        <v>63189.42682926829</v>
      </c>
      <c r="BO84" s="310">
        <f t="shared" si="44"/>
        <v>4239530.3006000007</v>
      </c>
      <c r="BP84" s="387">
        <v>89</v>
      </c>
      <c r="BQ84" s="388">
        <v>65213.876404494382</v>
      </c>
      <c r="BR84" s="313">
        <f t="shared" si="45"/>
        <v>4748861.4369999999</v>
      </c>
      <c r="BS84" s="308"/>
      <c r="BT84" s="309"/>
      <c r="BU84" s="310">
        <f t="shared" si="46"/>
        <v>0</v>
      </c>
      <c r="BV84" s="311"/>
      <c r="BW84" s="312"/>
      <c r="BX84" s="313">
        <f t="shared" si="47"/>
        <v>0</v>
      </c>
    </row>
    <row r="85" spans="1:77">
      <c r="A85" s="346" t="s">
        <v>450</v>
      </c>
      <c r="B85" s="377" t="s">
        <v>635</v>
      </c>
      <c r="C85" s="346">
        <v>132903</v>
      </c>
      <c r="D85" s="346">
        <v>1</v>
      </c>
      <c r="E85" s="308">
        <v>188</v>
      </c>
      <c r="F85" s="309">
        <v>109392.64893617021</v>
      </c>
      <c r="G85" s="310">
        <f t="shared" si="24"/>
        <v>20565818</v>
      </c>
      <c r="H85" s="380">
        <v>184</v>
      </c>
      <c r="I85" s="388">
        <v>111517.94021739131</v>
      </c>
      <c r="J85" s="313">
        <f t="shared" si="25"/>
        <v>20519301</v>
      </c>
      <c r="K85" s="308">
        <v>279</v>
      </c>
      <c r="L85" s="309">
        <v>76640.827956989247</v>
      </c>
      <c r="M85" s="310">
        <f t="shared" si="26"/>
        <v>21382791</v>
      </c>
      <c r="N85" s="387">
        <v>290</v>
      </c>
      <c r="O85" s="388">
        <v>76476.137931034478</v>
      </c>
      <c r="P85" s="313">
        <f t="shared" si="27"/>
        <v>22178080</v>
      </c>
      <c r="Q85" s="308">
        <v>295</v>
      </c>
      <c r="R85" s="309">
        <v>61870.240677966103</v>
      </c>
      <c r="S85" s="310">
        <f t="shared" si="28"/>
        <v>18251721</v>
      </c>
      <c r="T85" s="387">
        <v>268</v>
      </c>
      <c r="U85" s="388">
        <v>63270.570895522389</v>
      </c>
      <c r="V85" s="313">
        <f t="shared" si="29"/>
        <v>16956513</v>
      </c>
      <c r="W85" s="308">
        <v>243</v>
      </c>
      <c r="X85" s="309">
        <v>42483.349794238682</v>
      </c>
      <c r="Y85" s="310">
        <f t="shared" si="30"/>
        <v>10323454</v>
      </c>
      <c r="Z85" s="387">
        <v>236</v>
      </c>
      <c r="AA85" s="388">
        <v>44014.131355932201</v>
      </c>
      <c r="AB85" s="313">
        <f t="shared" si="31"/>
        <v>10387335</v>
      </c>
      <c r="AC85" s="308">
        <v>51</v>
      </c>
      <c r="AD85" s="309">
        <v>56249.568627450979</v>
      </c>
      <c r="AE85" s="310">
        <f t="shared" si="32"/>
        <v>2868728</v>
      </c>
      <c r="AF85" s="387">
        <v>50</v>
      </c>
      <c r="AG85" s="388">
        <v>55110.66</v>
      </c>
      <c r="AH85" s="313">
        <f t="shared" si="33"/>
        <v>2755533</v>
      </c>
      <c r="AI85" s="308"/>
      <c r="AJ85" s="309"/>
      <c r="AK85" s="310">
        <f t="shared" si="34"/>
        <v>0</v>
      </c>
      <c r="AL85" s="311"/>
      <c r="AM85" s="312"/>
      <c r="AN85" s="313">
        <f t="shared" si="35"/>
        <v>0</v>
      </c>
      <c r="AO85" s="308">
        <v>40</v>
      </c>
      <c r="AP85" s="309">
        <v>154290.29999999999</v>
      </c>
      <c r="AQ85" s="310">
        <f t="shared" si="36"/>
        <v>5049612.9384000003</v>
      </c>
      <c r="AR85" s="387">
        <v>44</v>
      </c>
      <c r="AS85" s="388">
        <v>163539</v>
      </c>
      <c r="AT85" s="313">
        <f t="shared" si="37"/>
        <v>5887534.8311999999</v>
      </c>
      <c r="AU85" s="308">
        <v>14</v>
      </c>
      <c r="AV85" s="309">
        <v>118705.71428571429</v>
      </c>
      <c r="AW85" s="310">
        <f t="shared" si="38"/>
        <v>1359750.216</v>
      </c>
      <c r="AX85" s="387">
        <v>16</v>
      </c>
      <c r="AY85" s="388">
        <v>123017.125</v>
      </c>
      <c r="AZ85" s="313">
        <f t="shared" si="39"/>
        <v>1610441.7868000001</v>
      </c>
      <c r="BA85" s="308">
        <v>5</v>
      </c>
      <c r="BB85" s="309">
        <v>77688.2</v>
      </c>
      <c r="BC85" s="310">
        <f t="shared" si="40"/>
        <v>317822.42619999999</v>
      </c>
      <c r="BD85" s="387">
        <v>6</v>
      </c>
      <c r="BE85" s="388">
        <v>134869.83333333334</v>
      </c>
      <c r="BF85" s="313">
        <f t="shared" si="41"/>
        <v>662102.98580000002</v>
      </c>
      <c r="BG85" s="308">
        <v>41</v>
      </c>
      <c r="BH85" s="309">
        <v>61204.146341463413</v>
      </c>
      <c r="BI85" s="310">
        <f t="shared" si="42"/>
        <v>2053166.534</v>
      </c>
      <c r="BJ85" s="387">
        <v>42</v>
      </c>
      <c r="BK85" s="388">
        <v>61457.928571428572</v>
      </c>
      <c r="BL85" s="313">
        <f t="shared" si="43"/>
        <v>2111964.8406000002</v>
      </c>
      <c r="BM85" s="308">
        <v>2</v>
      </c>
      <c r="BN85" s="309">
        <v>102088</v>
      </c>
      <c r="BO85" s="310">
        <f t="shared" si="44"/>
        <v>167056.80319999999</v>
      </c>
      <c r="BP85" s="387">
        <v>3</v>
      </c>
      <c r="BQ85" s="388">
        <v>96525.333333333299</v>
      </c>
      <c r="BR85" s="313">
        <f t="shared" si="45"/>
        <v>236931.08319999991</v>
      </c>
      <c r="BS85" s="308"/>
      <c r="BT85" s="309"/>
      <c r="BU85" s="310">
        <f t="shared" si="46"/>
        <v>0</v>
      </c>
      <c r="BV85" s="311"/>
      <c r="BW85" s="312"/>
      <c r="BX85" s="313">
        <f t="shared" si="47"/>
        <v>0</v>
      </c>
    </row>
    <row r="86" spans="1:77">
      <c r="A86" s="346" t="s">
        <v>450</v>
      </c>
      <c r="B86" s="347" t="s">
        <v>631</v>
      </c>
      <c r="C86" s="348">
        <v>134130</v>
      </c>
      <c r="D86" s="349">
        <v>1</v>
      </c>
      <c r="E86" s="308">
        <v>481</v>
      </c>
      <c r="F86" s="309">
        <v>110571.06544698543</v>
      </c>
      <c r="G86" s="310">
        <f t="shared" si="24"/>
        <v>53184682.479999997</v>
      </c>
      <c r="H86" s="380">
        <v>453</v>
      </c>
      <c r="I86" s="358">
        <v>116690.90222958058</v>
      </c>
      <c r="J86" s="313">
        <f t="shared" si="25"/>
        <v>52860978.710000001</v>
      </c>
      <c r="K86" s="308">
        <v>396</v>
      </c>
      <c r="L86" s="309">
        <v>73157.091363636369</v>
      </c>
      <c r="M86" s="310">
        <f t="shared" si="26"/>
        <v>28970208.180000003</v>
      </c>
      <c r="N86" s="387">
        <v>403</v>
      </c>
      <c r="O86" s="388">
        <v>75669.292009925557</v>
      </c>
      <c r="P86" s="313">
        <f t="shared" si="27"/>
        <v>30494724.68</v>
      </c>
      <c r="Q86" s="308">
        <v>341</v>
      </c>
      <c r="R86" s="309">
        <v>65074.208651026391</v>
      </c>
      <c r="S86" s="310">
        <f t="shared" si="28"/>
        <v>22190305.149999999</v>
      </c>
      <c r="T86" s="387">
        <v>308</v>
      </c>
      <c r="U86" s="388">
        <v>66353.568409090905</v>
      </c>
      <c r="V86" s="313">
        <f t="shared" si="29"/>
        <v>20436899.07</v>
      </c>
      <c r="W86" s="308"/>
      <c r="X86" s="309"/>
      <c r="Y86" s="310">
        <f t="shared" si="30"/>
        <v>0</v>
      </c>
      <c r="Z86" s="387"/>
      <c r="AA86" s="388"/>
      <c r="AB86" s="313">
        <f t="shared" si="31"/>
        <v>0</v>
      </c>
      <c r="AC86" s="308">
        <v>117</v>
      </c>
      <c r="AD86" s="309">
        <v>49165.382649572646</v>
      </c>
      <c r="AE86" s="310">
        <f t="shared" si="32"/>
        <v>5752349.7699999996</v>
      </c>
      <c r="AF86" s="387">
        <v>116</v>
      </c>
      <c r="AG86" s="388">
        <v>52196.231810344827</v>
      </c>
      <c r="AH86" s="313">
        <f t="shared" si="33"/>
        <v>6054762.8899999997</v>
      </c>
      <c r="AI86" s="308"/>
      <c r="AJ86" s="309"/>
      <c r="AK86" s="310">
        <f t="shared" si="34"/>
        <v>0</v>
      </c>
      <c r="AL86" s="311"/>
      <c r="AM86" s="312"/>
      <c r="AN86" s="313">
        <f t="shared" si="35"/>
        <v>0</v>
      </c>
      <c r="AO86" s="308">
        <v>287</v>
      </c>
      <c r="AP86" s="309">
        <v>130893.64693379792</v>
      </c>
      <c r="AQ86" s="310">
        <f t="shared" si="36"/>
        <v>30736891.211394005</v>
      </c>
      <c r="AR86" s="387">
        <v>260</v>
      </c>
      <c r="AS86" s="388">
        <v>137588.47192307693</v>
      </c>
      <c r="AT86" s="313">
        <f t="shared" si="37"/>
        <v>29269470.809140004</v>
      </c>
      <c r="AU86" s="308">
        <v>155</v>
      </c>
      <c r="AV86" s="309">
        <v>88758.796580645154</v>
      </c>
      <c r="AW86" s="310">
        <f t="shared" si="38"/>
        <v>11256479.341154</v>
      </c>
      <c r="AX86" s="387">
        <v>155</v>
      </c>
      <c r="AY86" s="388">
        <v>91334.424967741943</v>
      </c>
      <c r="AZ86" s="313">
        <f t="shared" si="39"/>
        <v>11583123.108834002</v>
      </c>
      <c r="BA86" s="308">
        <v>189</v>
      </c>
      <c r="BB86" s="309">
        <v>70832.431111111116</v>
      </c>
      <c r="BC86" s="310">
        <f t="shared" si="40"/>
        <v>10953512.980536001</v>
      </c>
      <c r="BD86" s="387">
        <v>197</v>
      </c>
      <c r="BE86" s="388">
        <v>72530.202182741123</v>
      </c>
      <c r="BF86" s="313">
        <f t="shared" si="41"/>
        <v>11690809.650906002</v>
      </c>
      <c r="BG86" s="308"/>
      <c r="BH86" s="309"/>
      <c r="BI86" s="310">
        <f t="shared" si="42"/>
        <v>0</v>
      </c>
      <c r="BJ86" s="387"/>
      <c r="BK86" s="388"/>
      <c r="BL86" s="313">
        <f t="shared" si="43"/>
        <v>0</v>
      </c>
      <c r="BM86" s="308">
        <v>43</v>
      </c>
      <c r="BN86" s="309">
        <v>77814.387906976743</v>
      </c>
      <c r="BO86" s="310">
        <f t="shared" si="44"/>
        <v>2737712.483976</v>
      </c>
      <c r="BP86" s="387">
        <v>46</v>
      </c>
      <c r="BQ86" s="388">
        <v>88341.466956521734</v>
      </c>
      <c r="BR86" s="313">
        <f t="shared" si="45"/>
        <v>3324925.4601359996</v>
      </c>
      <c r="BS86" s="308"/>
      <c r="BT86" s="309"/>
      <c r="BU86" s="310">
        <f t="shared" si="46"/>
        <v>0</v>
      </c>
      <c r="BV86" s="311"/>
      <c r="BW86" s="312"/>
      <c r="BX86" s="313">
        <f t="shared" si="47"/>
        <v>0</v>
      </c>
    </row>
    <row r="87" spans="1:77">
      <c r="A87" s="346" t="s">
        <v>450</v>
      </c>
      <c r="B87" s="347" t="s">
        <v>632</v>
      </c>
      <c r="C87" s="348">
        <v>137351</v>
      </c>
      <c r="D87" s="349">
        <v>1</v>
      </c>
      <c r="E87" s="308">
        <v>251</v>
      </c>
      <c r="F87" s="309">
        <v>101656.55378486056</v>
      </c>
      <c r="G87" s="310">
        <f t="shared" si="24"/>
        <v>25515795</v>
      </c>
      <c r="H87" s="380">
        <v>263</v>
      </c>
      <c r="I87" s="358">
        <v>101913.37642585552</v>
      </c>
      <c r="J87" s="313">
        <f t="shared" si="25"/>
        <v>26803218</v>
      </c>
      <c r="K87" s="308">
        <v>262</v>
      </c>
      <c r="L87" s="309">
        <v>73294.366412213742</v>
      </c>
      <c r="M87" s="310">
        <f t="shared" si="26"/>
        <v>19203124</v>
      </c>
      <c r="N87" s="387">
        <v>281</v>
      </c>
      <c r="O87" s="388">
        <v>73814.110320284701</v>
      </c>
      <c r="P87" s="313">
        <f t="shared" si="27"/>
        <v>20741765</v>
      </c>
      <c r="Q87" s="308">
        <v>333</v>
      </c>
      <c r="R87" s="309">
        <v>62333.201201201198</v>
      </c>
      <c r="S87" s="310">
        <f t="shared" si="28"/>
        <v>20756956</v>
      </c>
      <c r="T87" s="387">
        <v>318</v>
      </c>
      <c r="U87" s="388">
        <v>63050.028301886792</v>
      </c>
      <c r="V87" s="313">
        <f t="shared" si="29"/>
        <v>20049909</v>
      </c>
      <c r="W87" s="308">
        <v>130</v>
      </c>
      <c r="X87" s="309">
        <v>53194.223076923074</v>
      </c>
      <c r="Y87" s="310">
        <f t="shared" si="30"/>
        <v>6915249</v>
      </c>
      <c r="Z87" s="387">
        <v>119</v>
      </c>
      <c r="AA87" s="388">
        <v>53627.092436974788</v>
      </c>
      <c r="AB87" s="313">
        <f t="shared" si="31"/>
        <v>6381624</v>
      </c>
      <c r="AC87" s="308">
        <v>14</v>
      </c>
      <c r="AD87" s="309">
        <v>62748.571428571428</v>
      </c>
      <c r="AE87" s="310">
        <f t="shared" si="32"/>
        <v>878480</v>
      </c>
      <c r="AF87" s="387">
        <v>12</v>
      </c>
      <c r="AG87" s="388">
        <v>62264.5</v>
      </c>
      <c r="AH87" s="313">
        <f t="shared" si="33"/>
        <v>747174</v>
      </c>
      <c r="AI87" s="308"/>
      <c r="AJ87" s="309"/>
      <c r="AK87" s="310">
        <f t="shared" si="34"/>
        <v>0</v>
      </c>
      <c r="AL87" s="311"/>
      <c r="AM87" s="312"/>
      <c r="AN87" s="313">
        <f t="shared" si="35"/>
        <v>0</v>
      </c>
      <c r="AO87" s="308">
        <v>85</v>
      </c>
      <c r="AP87" s="309">
        <v>124973.48235294118</v>
      </c>
      <c r="AQ87" s="310">
        <f t="shared" si="36"/>
        <v>8691530.7772000004</v>
      </c>
      <c r="AR87" s="387">
        <v>83</v>
      </c>
      <c r="AS87" s="388">
        <v>124551.92771084337</v>
      </c>
      <c r="AT87" s="313">
        <f t="shared" si="37"/>
        <v>8458396.1420000009</v>
      </c>
      <c r="AU87" s="308">
        <v>48</v>
      </c>
      <c r="AV87" s="309">
        <v>90485.333333333328</v>
      </c>
      <c r="AW87" s="310">
        <f t="shared" si="38"/>
        <v>3553684.7872000001</v>
      </c>
      <c r="AX87" s="389">
        <v>46</v>
      </c>
      <c r="AY87" s="388">
        <v>91852.413043478256</v>
      </c>
      <c r="AZ87" s="313">
        <f t="shared" si="39"/>
        <v>3457067.6402000003</v>
      </c>
      <c r="BA87" s="308">
        <v>56</v>
      </c>
      <c r="BB87" s="309">
        <v>71848.41071428571</v>
      </c>
      <c r="BC87" s="310">
        <f t="shared" si="40"/>
        <v>3292036.7002000003</v>
      </c>
      <c r="BD87" s="387">
        <v>59</v>
      </c>
      <c r="BE87" s="388">
        <v>74826.711864406781</v>
      </c>
      <c r="BF87" s="313">
        <f t="shared" si="41"/>
        <v>3612169.7232000004</v>
      </c>
      <c r="BG87" s="308">
        <v>74</v>
      </c>
      <c r="BH87" s="309">
        <v>56892.175675675673</v>
      </c>
      <c r="BI87" s="310">
        <f t="shared" si="42"/>
        <v>3444639.1822000002</v>
      </c>
      <c r="BJ87" s="387">
        <v>79</v>
      </c>
      <c r="BK87" s="388">
        <v>56278.050632911392</v>
      </c>
      <c r="BL87" s="313">
        <f t="shared" si="43"/>
        <v>3637689.3812000002</v>
      </c>
      <c r="BM87" s="308">
        <v>2</v>
      </c>
      <c r="BN87" s="309">
        <v>57654.5</v>
      </c>
      <c r="BO87" s="310">
        <f t="shared" si="44"/>
        <v>94345.823799999998</v>
      </c>
      <c r="BP87" s="387">
        <v>2</v>
      </c>
      <c r="BQ87" s="388">
        <v>57654.5</v>
      </c>
      <c r="BR87" s="313">
        <f t="shared" si="45"/>
        <v>94345.823799999998</v>
      </c>
      <c r="BS87" s="308"/>
      <c r="BT87" s="309"/>
      <c r="BU87" s="310">
        <f t="shared" si="46"/>
        <v>0</v>
      </c>
      <c r="BV87" s="311"/>
      <c r="BW87" s="312"/>
      <c r="BX87" s="313">
        <f t="shared" si="47"/>
        <v>0</v>
      </c>
    </row>
    <row r="88" spans="1:77">
      <c r="A88" s="346" t="s">
        <v>450</v>
      </c>
      <c r="B88" s="347" t="s">
        <v>633</v>
      </c>
      <c r="C88" s="348">
        <v>133669</v>
      </c>
      <c r="D88" s="349">
        <v>2</v>
      </c>
      <c r="E88" s="308">
        <v>183</v>
      </c>
      <c r="F88" s="309">
        <v>93828.3461748634</v>
      </c>
      <c r="G88" s="310">
        <f t="shared" si="24"/>
        <v>17170587.350000001</v>
      </c>
      <c r="H88" s="380">
        <v>221</v>
      </c>
      <c r="I88" s="358">
        <v>90687.0130316742</v>
      </c>
      <c r="J88" s="313">
        <f t="shared" si="25"/>
        <v>20041829.879999999</v>
      </c>
      <c r="K88" s="308">
        <v>192</v>
      </c>
      <c r="L88" s="309">
        <v>68708.630104166674</v>
      </c>
      <c r="M88" s="310">
        <f t="shared" si="26"/>
        <v>13192056.98</v>
      </c>
      <c r="N88" s="387">
        <v>268</v>
      </c>
      <c r="O88" s="388">
        <v>69184.001455223857</v>
      </c>
      <c r="P88" s="313">
        <f t="shared" si="27"/>
        <v>18541312.389999993</v>
      </c>
      <c r="Q88" s="308">
        <v>220</v>
      </c>
      <c r="R88" s="309">
        <v>62733.794409090908</v>
      </c>
      <c r="S88" s="310">
        <f t="shared" si="28"/>
        <v>13801434.77</v>
      </c>
      <c r="T88" s="387">
        <v>271</v>
      </c>
      <c r="U88" s="388">
        <v>63178.257859778591</v>
      </c>
      <c r="V88" s="313">
        <f t="shared" si="29"/>
        <v>17121307.879999999</v>
      </c>
      <c r="W88" s="308">
        <v>137</v>
      </c>
      <c r="X88" s="309">
        <v>43733.229343065694</v>
      </c>
      <c r="Y88" s="310">
        <f t="shared" si="30"/>
        <v>5991452.4199999999</v>
      </c>
      <c r="Z88" s="387">
        <v>202</v>
      </c>
      <c r="AA88" s="388">
        <v>43666.48386138615</v>
      </c>
      <c r="AB88" s="313">
        <f t="shared" si="31"/>
        <v>8820629.7400000021</v>
      </c>
      <c r="AC88" s="308">
        <v>2</v>
      </c>
      <c r="AD88" s="309">
        <v>49379.86</v>
      </c>
      <c r="AE88" s="310">
        <f t="shared" si="32"/>
        <v>98759.72</v>
      </c>
      <c r="AF88" s="387">
        <v>4</v>
      </c>
      <c r="AG88" s="388">
        <v>49379.86</v>
      </c>
      <c r="AH88" s="313">
        <f t="shared" si="33"/>
        <v>197519.44</v>
      </c>
      <c r="AI88" s="308"/>
      <c r="AJ88" s="309"/>
      <c r="AK88" s="310">
        <f t="shared" si="34"/>
        <v>0</v>
      </c>
      <c r="AL88" s="311"/>
      <c r="AM88" s="312"/>
      <c r="AN88" s="313">
        <f t="shared" si="35"/>
        <v>0</v>
      </c>
      <c r="AO88" s="308">
        <v>6</v>
      </c>
      <c r="AP88" s="309">
        <v>135905.81833333333</v>
      </c>
      <c r="AQ88" s="310">
        <f t="shared" si="36"/>
        <v>667188.84336199996</v>
      </c>
      <c r="AR88" s="387">
        <v>4</v>
      </c>
      <c r="AS88" s="388">
        <v>121876.21249999999</v>
      </c>
      <c r="AT88" s="313">
        <f t="shared" si="37"/>
        <v>398876.46827000001</v>
      </c>
      <c r="AU88" s="308">
        <v>15</v>
      </c>
      <c r="AV88" s="309">
        <v>101899.65066666665</v>
      </c>
      <c r="AW88" s="310">
        <f t="shared" si="38"/>
        <v>1250614.4126319999</v>
      </c>
      <c r="AX88" s="389">
        <v>14</v>
      </c>
      <c r="AY88" s="388">
        <v>92825.944285714286</v>
      </c>
      <c r="AZ88" s="313">
        <f t="shared" si="39"/>
        <v>1063302.6266040001</v>
      </c>
      <c r="BA88" s="308">
        <v>10</v>
      </c>
      <c r="BB88" s="309">
        <v>78958.997000000003</v>
      </c>
      <c r="BC88" s="310">
        <f t="shared" si="40"/>
        <v>646042.513454</v>
      </c>
      <c r="BD88" s="389">
        <v>11</v>
      </c>
      <c r="BE88" s="388">
        <v>81638.392727272716</v>
      </c>
      <c r="BF88" s="313">
        <f t="shared" si="41"/>
        <v>734761.86222399992</v>
      </c>
      <c r="BG88" s="308">
        <v>30</v>
      </c>
      <c r="BH88" s="309">
        <v>60900.182333333338</v>
      </c>
      <c r="BI88" s="310">
        <f t="shared" si="42"/>
        <v>1494855.8755540003</v>
      </c>
      <c r="BJ88" s="387">
        <v>44</v>
      </c>
      <c r="BK88" s="388">
        <v>59728.925909090911</v>
      </c>
      <c r="BL88" s="313">
        <f t="shared" si="43"/>
        <v>2150289.1158680003</v>
      </c>
      <c r="BM88" s="308">
        <v>2</v>
      </c>
      <c r="BN88" s="309">
        <v>81663.63</v>
      </c>
      <c r="BO88" s="310">
        <f t="shared" si="44"/>
        <v>133634.36413200002</v>
      </c>
      <c r="BP88" s="387">
        <v>2</v>
      </c>
      <c r="BQ88" s="388">
        <v>81663.63</v>
      </c>
      <c r="BR88" s="313">
        <f t="shared" si="45"/>
        <v>133634.36413200002</v>
      </c>
      <c r="BS88" s="308"/>
      <c r="BT88" s="309"/>
      <c r="BU88" s="310">
        <f t="shared" si="46"/>
        <v>0</v>
      </c>
      <c r="BV88" s="311"/>
      <c r="BW88" s="312"/>
      <c r="BX88" s="313">
        <f t="shared" si="47"/>
        <v>0</v>
      </c>
    </row>
    <row r="89" spans="1:77">
      <c r="A89" s="346" t="s">
        <v>450</v>
      </c>
      <c r="B89" s="377" t="s">
        <v>634</v>
      </c>
      <c r="C89" s="348">
        <v>133951</v>
      </c>
      <c r="D89" s="349">
        <v>2</v>
      </c>
      <c r="E89" s="308">
        <v>204</v>
      </c>
      <c r="F89" s="309">
        <v>102905.73529411765</v>
      </c>
      <c r="G89" s="310">
        <f t="shared" si="24"/>
        <v>20992770</v>
      </c>
      <c r="H89" s="390">
        <v>190</v>
      </c>
      <c r="I89" s="388">
        <v>103951.24210526315</v>
      </c>
      <c r="J89" s="313">
        <f t="shared" si="25"/>
        <v>19750736</v>
      </c>
      <c r="K89" s="308">
        <v>271</v>
      </c>
      <c r="L89" s="309">
        <v>75315.346863468629</v>
      </c>
      <c r="M89" s="310">
        <f t="shared" si="26"/>
        <v>20410459</v>
      </c>
      <c r="N89" s="387">
        <v>243</v>
      </c>
      <c r="O89" s="388">
        <v>75356.242798353909</v>
      </c>
      <c r="P89" s="313">
        <f t="shared" si="27"/>
        <v>18311567</v>
      </c>
      <c r="Q89" s="308">
        <v>203</v>
      </c>
      <c r="R89" s="309">
        <v>71005.029556650246</v>
      </c>
      <c r="S89" s="310">
        <f t="shared" si="28"/>
        <v>14414021</v>
      </c>
      <c r="T89" s="387">
        <v>226</v>
      </c>
      <c r="U89" s="388">
        <v>71922.929203539825</v>
      </c>
      <c r="V89" s="313">
        <f t="shared" si="29"/>
        <v>16254582</v>
      </c>
      <c r="W89" s="308">
        <v>90</v>
      </c>
      <c r="X89" s="309">
        <v>52565.788888888892</v>
      </c>
      <c r="Y89" s="310">
        <f t="shared" si="30"/>
        <v>4730921</v>
      </c>
      <c r="Z89" s="387">
        <v>88</v>
      </c>
      <c r="AA89" s="388">
        <v>52137.079545454544</v>
      </c>
      <c r="AB89" s="313">
        <f t="shared" si="31"/>
        <v>4588063</v>
      </c>
      <c r="AC89" s="308">
        <v>39</v>
      </c>
      <c r="AD89" s="309">
        <v>59365.461538461539</v>
      </c>
      <c r="AE89" s="310">
        <f t="shared" si="32"/>
        <v>2315253</v>
      </c>
      <c r="AF89" s="387">
        <v>42</v>
      </c>
      <c r="AG89" s="388">
        <v>59657.404761904763</v>
      </c>
      <c r="AH89" s="313">
        <f t="shared" si="33"/>
        <v>2505611</v>
      </c>
      <c r="AI89" s="308"/>
      <c r="AJ89" s="309"/>
      <c r="AK89" s="310">
        <f t="shared" si="34"/>
        <v>0</v>
      </c>
      <c r="AL89" s="311"/>
      <c r="AM89" s="312"/>
      <c r="AN89" s="313">
        <f t="shared" si="35"/>
        <v>0</v>
      </c>
      <c r="AO89" s="308">
        <v>11</v>
      </c>
      <c r="AP89" s="309">
        <v>146562.45454545456</v>
      </c>
      <c r="AQ89" s="310">
        <f t="shared" si="36"/>
        <v>1319091.4034000002</v>
      </c>
      <c r="AR89" s="387">
        <v>21</v>
      </c>
      <c r="AS89" s="388">
        <v>157213.42857142858</v>
      </c>
      <c r="AT89" s="313">
        <f t="shared" si="37"/>
        <v>2701272.5723999999</v>
      </c>
      <c r="AU89" s="308">
        <v>16</v>
      </c>
      <c r="AV89" s="309">
        <v>117251.75</v>
      </c>
      <c r="AW89" s="310">
        <f t="shared" si="38"/>
        <v>1534966.1096000001</v>
      </c>
      <c r="AX89" s="389">
        <v>19</v>
      </c>
      <c r="AY89" s="388">
        <v>141636.15789473685</v>
      </c>
      <c r="AZ89" s="313">
        <f t="shared" si="39"/>
        <v>2201847.3834000002</v>
      </c>
      <c r="BA89" s="308">
        <v>4</v>
      </c>
      <c r="BB89" s="309">
        <v>110410.5</v>
      </c>
      <c r="BC89" s="310">
        <f t="shared" si="40"/>
        <v>361351.48440000002</v>
      </c>
      <c r="BD89" s="389">
        <v>8</v>
      </c>
      <c r="BE89" s="388">
        <v>82748.5</v>
      </c>
      <c r="BF89" s="313">
        <f t="shared" si="41"/>
        <v>541638.58160000003</v>
      </c>
      <c r="BG89" s="308">
        <v>5</v>
      </c>
      <c r="BH89" s="309">
        <v>74997.2</v>
      </c>
      <c r="BI89" s="310">
        <f t="shared" si="42"/>
        <v>306813.54519999999</v>
      </c>
      <c r="BJ89" s="387">
        <v>8</v>
      </c>
      <c r="BK89" s="388">
        <v>81940.5</v>
      </c>
      <c r="BL89" s="313">
        <f t="shared" si="43"/>
        <v>536349.73680000007</v>
      </c>
      <c r="BM89" s="308">
        <v>9</v>
      </c>
      <c r="BN89" s="309">
        <v>73153.333333333328</v>
      </c>
      <c r="BO89" s="310">
        <f t="shared" si="44"/>
        <v>538686.51600000006</v>
      </c>
      <c r="BP89" s="387">
        <v>9</v>
      </c>
      <c r="BQ89" s="388">
        <v>74684.888888888891</v>
      </c>
      <c r="BR89" s="313">
        <f t="shared" si="45"/>
        <v>549964.58480000007</v>
      </c>
      <c r="BS89" s="308"/>
      <c r="BT89" s="309"/>
      <c r="BU89" s="310">
        <f t="shared" si="46"/>
        <v>0</v>
      </c>
      <c r="BV89" s="311"/>
      <c r="BW89" s="312"/>
      <c r="BX89" s="313">
        <f t="shared" si="47"/>
        <v>0</v>
      </c>
    </row>
    <row r="90" spans="1:77">
      <c r="A90" s="346" t="s">
        <v>450</v>
      </c>
      <c r="B90" s="347" t="s">
        <v>636</v>
      </c>
      <c r="C90" s="348">
        <v>133650</v>
      </c>
      <c r="D90" s="349">
        <v>3</v>
      </c>
      <c r="E90" s="308">
        <v>83</v>
      </c>
      <c r="F90" s="309">
        <v>83790.879518072295</v>
      </c>
      <c r="G90" s="310">
        <f t="shared" si="24"/>
        <v>6954643.0000000009</v>
      </c>
      <c r="H90" s="390">
        <v>101</v>
      </c>
      <c r="I90" s="388">
        <v>85096.557821782175</v>
      </c>
      <c r="J90" s="313">
        <f t="shared" si="25"/>
        <v>8594752.3399999999</v>
      </c>
      <c r="K90" s="308">
        <v>123</v>
      </c>
      <c r="L90" s="309">
        <v>72389.487804878052</v>
      </c>
      <c r="M90" s="310">
        <f t="shared" si="26"/>
        <v>8903907</v>
      </c>
      <c r="N90" s="387">
        <v>161</v>
      </c>
      <c r="O90" s="388">
        <v>72795.705838509326</v>
      </c>
      <c r="P90" s="313">
        <f t="shared" si="27"/>
        <v>11720108.640000001</v>
      </c>
      <c r="Q90" s="308">
        <v>120</v>
      </c>
      <c r="R90" s="309">
        <v>59908.15</v>
      </c>
      <c r="S90" s="310">
        <f t="shared" si="28"/>
        <v>7188978</v>
      </c>
      <c r="T90" s="387">
        <v>160</v>
      </c>
      <c r="U90" s="388">
        <v>60362.862500000003</v>
      </c>
      <c r="V90" s="313">
        <f t="shared" si="29"/>
        <v>9658058</v>
      </c>
      <c r="W90" s="308">
        <v>45</v>
      </c>
      <c r="X90" s="309">
        <v>50390.533333333333</v>
      </c>
      <c r="Y90" s="310">
        <f t="shared" si="30"/>
        <v>2267574</v>
      </c>
      <c r="Z90" s="387">
        <v>70</v>
      </c>
      <c r="AA90" s="388">
        <v>51311.061428571425</v>
      </c>
      <c r="AB90" s="313">
        <f t="shared" si="31"/>
        <v>3591774.3</v>
      </c>
      <c r="AC90" s="308"/>
      <c r="AD90" s="309"/>
      <c r="AE90" s="310">
        <f t="shared" si="32"/>
        <v>0</v>
      </c>
      <c r="AF90" s="387"/>
      <c r="AG90" s="388"/>
      <c r="AH90" s="313">
        <f t="shared" si="33"/>
        <v>0</v>
      </c>
      <c r="AI90" s="308"/>
      <c r="AJ90" s="309"/>
      <c r="AK90" s="310">
        <f t="shared" si="34"/>
        <v>0</v>
      </c>
      <c r="AL90" s="311"/>
      <c r="AM90" s="312"/>
      <c r="AN90" s="313">
        <f t="shared" si="35"/>
        <v>0</v>
      </c>
      <c r="AO90" s="308">
        <v>66</v>
      </c>
      <c r="AP90" s="309">
        <v>104384.22727272728</v>
      </c>
      <c r="AQ90" s="310">
        <f t="shared" si="36"/>
        <v>5636873.5338000003</v>
      </c>
      <c r="AR90" s="387">
        <v>84</v>
      </c>
      <c r="AS90" s="388">
        <v>108394.98452380951</v>
      </c>
      <c r="AT90" s="313">
        <f t="shared" si="37"/>
        <v>7449857.2123400001</v>
      </c>
      <c r="AU90" s="308">
        <v>63</v>
      </c>
      <c r="AV90" s="309">
        <v>86731.873015873018</v>
      </c>
      <c r="AW90" s="310">
        <f t="shared" si="38"/>
        <v>4470733.1655999999</v>
      </c>
      <c r="AX90" s="389">
        <v>88</v>
      </c>
      <c r="AY90" s="388">
        <v>89363.958636363634</v>
      </c>
      <c r="AZ90" s="313">
        <f t="shared" si="39"/>
        <v>6434348.004152</v>
      </c>
      <c r="BA90" s="308">
        <v>54</v>
      </c>
      <c r="BB90" s="309">
        <v>74520.277777777781</v>
      </c>
      <c r="BC90" s="310">
        <f t="shared" si="40"/>
        <v>3292514.5290000001</v>
      </c>
      <c r="BD90" s="389">
        <v>81</v>
      </c>
      <c r="BE90" s="388">
        <v>75887.740740740745</v>
      </c>
      <c r="BF90" s="313">
        <f t="shared" si="41"/>
        <v>5029399.3074000003</v>
      </c>
      <c r="BG90" s="308">
        <v>25</v>
      </c>
      <c r="BH90" s="309">
        <v>52274.720000000001</v>
      </c>
      <c r="BI90" s="310">
        <f t="shared" si="42"/>
        <v>1069279.3976</v>
      </c>
      <c r="BJ90" s="387">
        <v>41</v>
      </c>
      <c r="BK90" s="388">
        <v>55050.780487804877</v>
      </c>
      <c r="BL90" s="313">
        <f t="shared" si="43"/>
        <v>1846744.4924000001</v>
      </c>
      <c r="BM90" s="308"/>
      <c r="BN90" s="309"/>
      <c r="BO90" s="310">
        <f t="shared" si="44"/>
        <v>0</v>
      </c>
      <c r="BP90" s="389"/>
      <c r="BQ90" s="388"/>
      <c r="BR90" s="313">
        <f t="shared" si="45"/>
        <v>0</v>
      </c>
      <c r="BS90" s="308"/>
      <c r="BT90" s="309"/>
      <c r="BU90" s="310">
        <f t="shared" si="46"/>
        <v>0</v>
      </c>
      <c r="BV90" s="311"/>
      <c r="BW90" s="312"/>
      <c r="BX90" s="313">
        <f t="shared" si="47"/>
        <v>0</v>
      </c>
    </row>
    <row r="91" spans="1:77">
      <c r="A91" s="346" t="s">
        <v>450</v>
      </c>
      <c r="B91" s="347" t="s">
        <v>637</v>
      </c>
      <c r="C91" s="348">
        <v>136172</v>
      </c>
      <c r="D91" s="349">
        <v>3</v>
      </c>
      <c r="E91" s="308">
        <v>69</v>
      </c>
      <c r="F91" s="309">
        <f>(5276003+1464108)/69</f>
        <v>97682.768115942032</v>
      </c>
      <c r="G91" s="310">
        <f t="shared" si="24"/>
        <v>6740111</v>
      </c>
      <c r="H91" s="391">
        <v>69</v>
      </c>
      <c r="I91" s="388">
        <v>91493.723043478254</v>
      </c>
      <c r="J91" s="313">
        <f t="shared" si="25"/>
        <v>6313066.8899999997</v>
      </c>
      <c r="K91" s="308">
        <v>112</v>
      </c>
      <c r="L91" s="309">
        <f>(5192211+2654296)/112</f>
        <v>70058.09821428571</v>
      </c>
      <c r="M91" s="310">
        <f t="shared" si="26"/>
        <v>7846507</v>
      </c>
      <c r="N91" s="389">
        <v>113</v>
      </c>
      <c r="O91" s="388">
        <v>67164.267699115051</v>
      </c>
      <c r="P91" s="313">
        <f t="shared" si="27"/>
        <v>7589562.2500000009</v>
      </c>
      <c r="Q91" s="308">
        <v>177</v>
      </c>
      <c r="R91" s="309">
        <f>(5314469+4223920)/177</f>
        <v>53889.203389830509</v>
      </c>
      <c r="S91" s="310">
        <f t="shared" si="28"/>
        <v>9538389</v>
      </c>
      <c r="T91" s="389">
        <v>176</v>
      </c>
      <c r="U91" s="388">
        <v>55500.421931818179</v>
      </c>
      <c r="V91" s="313">
        <f t="shared" si="29"/>
        <v>9768074.2599999998</v>
      </c>
      <c r="W91" s="308">
        <v>95</v>
      </c>
      <c r="X91" s="309">
        <f>(1696479+2309368)/95</f>
        <v>42166.810526315792</v>
      </c>
      <c r="Y91" s="310">
        <f t="shared" si="30"/>
        <v>4005847.0000000005</v>
      </c>
      <c r="Z91" s="389">
        <v>76</v>
      </c>
      <c r="AA91" s="388">
        <v>43224.718157894735</v>
      </c>
      <c r="AB91" s="313">
        <f t="shared" si="31"/>
        <v>3285078.58</v>
      </c>
      <c r="AC91" s="308"/>
      <c r="AD91" s="309"/>
      <c r="AE91" s="310">
        <f t="shared" si="32"/>
        <v>0</v>
      </c>
      <c r="AF91" s="389">
        <v>1</v>
      </c>
      <c r="AG91" s="388">
        <v>45000</v>
      </c>
      <c r="AH91" s="313">
        <f t="shared" si="33"/>
        <v>45000</v>
      </c>
      <c r="AI91" s="308"/>
      <c r="AJ91" s="309"/>
      <c r="AK91" s="310">
        <f t="shared" si="34"/>
        <v>0</v>
      </c>
      <c r="AL91" s="380"/>
      <c r="AM91" s="312"/>
      <c r="AN91" s="313">
        <f t="shared" si="35"/>
        <v>0</v>
      </c>
      <c r="AO91" s="308">
        <v>12</v>
      </c>
      <c r="AP91" s="309">
        <f>(1184581+369326)/12</f>
        <v>129492.25</v>
      </c>
      <c r="AQ91" s="310">
        <f t="shared" si="36"/>
        <v>1271406.7074</v>
      </c>
      <c r="AR91" s="389">
        <v>11</v>
      </c>
      <c r="AS91" s="388">
        <v>133198.66090909092</v>
      </c>
      <c r="AT91" s="313">
        <f t="shared" si="37"/>
        <v>1198814.587914</v>
      </c>
      <c r="AU91" s="308">
        <v>17</v>
      </c>
      <c r="AV91" s="309">
        <f>(1004025+676275)/17</f>
        <v>98841.176470588238</v>
      </c>
      <c r="AW91" s="310">
        <f t="shared" si="38"/>
        <v>1374821.46</v>
      </c>
      <c r="AX91" s="389">
        <v>11</v>
      </c>
      <c r="AY91" s="388">
        <v>108746.27545454545</v>
      </c>
      <c r="AZ91" s="313">
        <f t="shared" si="39"/>
        <v>978738.22834600008</v>
      </c>
      <c r="BA91" s="308">
        <v>2</v>
      </c>
      <c r="BB91" s="309">
        <f>145714/2</f>
        <v>72857</v>
      </c>
      <c r="BC91" s="310">
        <f t="shared" si="40"/>
        <v>119223.19480000001</v>
      </c>
      <c r="BD91" s="389">
        <v>2</v>
      </c>
      <c r="BE91" s="388">
        <v>116000</v>
      </c>
      <c r="BF91" s="313">
        <f t="shared" si="41"/>
        <v>189822.40000000002</v>
      </c>
      <c r="BG91" s="308">
        <v>9</v>
      </c>
      <c r="BH91" s="309">
        <f>(96781+414426)/9</f>
        <v>56800.777777777781</v>
      </c>
      <c r="BI91" s="310">
        <f t="shared" si="42"/>
        <v>418269.5674</v>
      </c>
      <c r="BJ91" s="389">
        <v>7</v>
      </c>
      <c r="BK91" s="388">
        <v>63492.304285714286</v>
      </c>
      <c r="BL91" s="313">
        <f t="shared" si="43"/>
        <v>363645.82356600004</v>
      </c>
      <c r="BM91" s="308">
        <v>20</v>
      </c>
      <c r="BN91" s="309">
        <f>(492950+376940)/20</f>
        <v>43494.5</v>
      </c>
      <c r="BO91" s="310">
        <f t="shared" si="44"/>
        <v>711743.99800000002</v>
      </c>
      <c r="BP91" s="389">
        <v>22</v>
      </c>
      <c r="BQ91" s="388">
        <v>44606.17</v>
      </c>
      <c r="BR91" s="313">
        <f t="shared" si="45"/>
        <v>802928.90246800007</v>
      </c>
      <c r="BS91" s="308"/>
      <c r="BT91" s="309"/>
      <c r="BU91" s="310">
        <f t="shared" si="46"/>
        <v>0</v>
      </c>
      <c r="BV91" s="380"/>
      <c r="BW91" s="312"/>
      <c r="BX91" s="313">
        <f t="shared" si="47"/>
        <v>0</v>
      </c>
    </row>
    <row r="92" spans="1:77">
      <c r="A92" s="346" t="s">
        <v>450</v>
      </c>
      <c r="B92" s="347" t="s">
        <v>638</v>
      </c>
      <c r="C92" s="348">
        <v>138354</v>
      </c>
      <c r="D92" s="349">
        <v>3</v>
      </c>
      <c r="E92" s="308">
        <v>43</v>
      </c>
      <c r="F92" s="309">
        <v>87881.139534883725</v>
      </c>
      <c r="G92" s="310">
        <f t="shared" si="24"/>
        <v>3778889</v>
      </c>
      <c r="H92" s="391">
        <v>46</v>
      </c>
      <c r="I92" s="388">
        <v>88232.217391304352</v>
      </c>
      <c r="J92" s="313">
        <f t="shared" si="25"/>
        <v>4058682</v>
      </c>
      <c r="K92" s="308">
        <v>83</v>
      </c>
      <c r="L92" s="309">
        <v>65638.506024096379</v>
      </c>
      <c r="M92" s="310">
        <f t="shared" si="26"/>
        <v>5447995.9999999991</v>
      </c>
      <c r="N92" s="389">
        <v>76</v>
      </c>
      <c r="O92" s="388">
        <v>65590.736842105267</v>
      </c>
      <c r="P92" s="313">
        <f t="shared" si="27"/>
        <v>4984896</v>
      </c>
      <c r="Q92" s="308">
        <v>82</v>
      </c>
      <c r="R92" s="309">
        <v>56708.780487804877</v>
      </c>
      <c r="S92" s="310">
        <f t="shared" si="28"/>
        <v>4650120</v>
      </c>
      <c r="T92" s="389">
        <v>77</v>
      </c>
      <c r="U92" s="388">
        <v>54577</v>
      </c>
      <c r="V92" s="313">
        <f t="shared" si="29"/>
        <v>4202429</v>
      </c>
      <c r="W92" s="308">
        <v>30</v>
      </c>
      <c r="X92" s="309">
        <v>44180</v>
      </c>
      <c r="Y92" s="310">
        <f t="shared" si="30"/>
        <v>1325400</v>
      </c>
      <c r="Z92" s="389">
        <v>31</v>
      </c>
      <c r="AA92" s="388">
        <v>45650.06451612903</v>
      </c>
      <c r="AB92" s="313">
        <f t="shared" si="31"/>
        <v>1415152</v>
      </c>
      <c r="AC92" s="308">
        <v>11</v>
      </c>
      <c r="AD92" s="309">
        <v>43261.727272727272</v>
      </c>
      <c r="AE92" s="310">
        <f t="shared" si="32"/>
        <v>475879</v>
      </c>
      <c r="AF92" s="389">
        <v>10</v>
      </c>
      <c r="AG92" s="388">
        <v>45955.9</v>
      </c>
      <c r="AH92" s="313">
        <f t="shared" si="33"/>
        <v>459559</v>
      </c>
      <c r="AI92" s="308"/>
      <c r="AJ92" s="309"/>
      <c r="AK92" s="310">
        <f t="shared" si="34"/>
        <v>0</v>
      </c>
      <c r="AL92" s="380"/>
      <c r="AM92" s="312"/>
      <c r="AN92" s="313">
        <f t="shared" si="35"/>
        <v>0</v>
      </c>
      <c r="AO92" s="308">
        <v>20</v>
      </c>
      <c r="AP92" s="309">
        <v>113213.3</v>
      </c>
      <c r="AQ92" s="310">
        <f t="shared" si="36"/>
        <v>1852622.4412</v>
      </c>
      <c r="AR92" s="389">
        <v>21</v>
      </c>
      <c r="AS92" s="388">
        <v>109257.28571428571</v>
      </c>
      <c r="AT92" s="313">
        <f t="shared" si="37"/>
        <v>1877280.5346000001</v>
      </c>
      <c r="AU92" s="308">
        <v>14</v>
      </c>
      <c r="AV92" s="309">
        <v>93979.571428571435</v>
      </c>
      <c r="AW92" s="310">
        <f t="shared" si="38"/>
        <v>1076517.1947999999</v>
      </c>
      <c r="AX92" s="389">
        <v>12</v>
      </c>
      <c r="AY92" s="388">
        <v>93094.833333333328</v>
      </c>
      <c r="AZ92" s="313">
        <f t="shared" si="39"/>
        <v>914042.31160000002</v>
      </c>
      <c r="BA92" s="308">
        <v>4</v>
      </c>
      <c r="BB92" s="309">
        <v>67253</v>
      </c>
      <c r="BC92" s="310">
        <f t="shared" si="40"/>
        <v>220105.61840000001</v>
      </c>
      <c r="BD92" s="389">
        <v>4</v>
      </c>
      <c r="BE92" s="388">
        <v>64837.25</v>
      </c>
      <c r="BF92" s="313">
        <f t="shared" si="41"/>
        <v>212199.3518</v>
      </c>
      <c r="BG92" s="308">
        <v>15</v>
      </c>
      <c r="BH92" s="309">
        <v>54798.73333333333</v>
      </c>
      <c r="BI92" s="310">
        <f t="shared" si="42"/>
        <v>672544.85420000006</v>
      </c>
      <c r="BJ92" s="389">
        <v>16</v>
      </c>
      <c r="BK92" s="388">
        <v>52268.8125</v>
      </c>
      <c r="BL92" s="313">
        <f t="shared" si="43"/>
        <v>684261.47820000001</v>
      </c>
      <c r="BM92" s="308">
        <v>30</v>
      </c>
      <c r="BN92" s="309">
        <v>60510.23333333333</v>
      </c>
      <c r="BO92" s="310">
        <f t="shared" si="44"/>
        <v>1485284.1874000002</v>
      </c>
      <c r="BP92" s="389">
        <v>31</v>
      </c>
      <c r="BQ92" s="388">
        <v>58164.806451612902</v>
      </c>
      <c r="BR92" s="313">
        <f t="shared" si="45"/>
        <v>1475303.7838000001</v>
      </c>
      <c r="BS92" s="308"/>
      <c r="BT92" s="309"/>
      <c r="BU92" s="310">
        <f t="shared" si="46"/>
        <v>0</v>
      </c>
      <c r="BV92" s="380"/>
      <c r="BW92" s="312"/>
      <c r="BX92" s="313">
        <f t="shared" si="47"/>
        <v>0</v>
      </c>
    </row>
    <row r="93" spans="1:77">
      <c r="A93" s="346" t="s">
        <v>450</v>
      </c>
      <c r="B93" s="401" t="s">
        <v>639</v>
      </c>
      <c r="C93" s="402">
        <v>433660</v>
      </c>
      <c r="D93" s="403">
        <v>4</v>
      </c>
      <c r="E93" s="308">
        <v>38</v>
      </c>
      <c r="F93" s="309">
        <v>88321.868421052626</v>
      </c>
      <c r="G93" s="310">
        <f t="shared" si="24"/>
        <v>3356231</v>
      </c>
      <c r="H93" s="391">
        <v>34</v>
      </c>
      <c r="I93" s="388">
        <v>86887.00264705882</v>
      </c>
      <c r="J93" s="313">
        <f t="shared" si="25"/>
        <v>2954158.09</v>
      </c>
      <c r="K93" s="308">
        <v>77</v>
      </c>
      <c r="L93" s="309">
        <v>69872.272727272721</v>
      </c>
      <c r="M93" s="310">
        <f t="shared" si="26"/>
        <v>5380164.9999999991</v>
      </c>
      <c r="N93" s="389">
        <v>71</v>
      </c>
      <c r="O93" s="388">
        <v>69613.266760563391</v>
      </c>
      <c r="P93" s="313">
        <f t="shared" si="27"/>
        <v>4942541.9400000004</v>
      </c>
      <c r="Q93" s="308">
        <v>82</v>
      </c>
      <c r="R93" s="309">
        <v>56560.085365853658</v>
      </c>
      <c r="S93" s="310">
        <f t="shared" si="28"/>
        <v>4637927</v>
      </c>
      <c r="T93" s="389">
        <v>81</v>
      </c>
      <c r="U93" s="388">
        <v>57114.170370370368</v>
      </c>
      <c r="V93" s="313">
        <f t="shared" si="29"/>
        <v>4626247.8</v>
      </c>
      <c r="W93" s="308">
        <v>49</v>
      </c>
      <c r="X93" s="309">
        <v>39668.306122448979</v>
      </c>
      <c r="Y93" s="310">
        <f t="shared" si="30"/>
        <v>1943747</v>
      </c>
      <c r="Z93" s="389">
        <v>44</v>
      </c>
      <c r="AA93" s="388">
        <v>63939.491136363635</v>
      </c>
      <c r="AB93" s="313">
        <f t="shared" si="31"/>
        <v>2813337.61</v>
      </c>
      <c r="AC93" s="308">
        <v>1</v>
      </c>
      <c r="AD93" s="309">
        <v>46460</v>
      </c>
      <c r="AE93" s="310">
        <f t="shared" si="32"/>
        <v>46460</v>
      </c>
      <c r="AF93" s="311"/>
      <c r="AG93" s="358"/>
      <c r="AH93" s="313">
        <f t="shared" si="33"/>
        <v>0</v>
      </c>
      <c r="AI93" s="308"/>
      <c r="AJ93" s="309"/>
      <c r="AK93" s="310">
        <f t="shared" si="34"/>
        <v>0</v>
      </c>
      <c r="AL93" s="380"/>
      <c r="AM93" s="312"/>
      <c r="AN93" s="313">
        <f t="shared" si="35"/>
        <v>0</v>
      </c>
      <c r="AO93" s="308">
        <v>15</v>
      </c>
      <c r="AP93" s="309">
        <v>116045.8</v>
      </c>
      <c r="AQ93" s="310">
        <f t="shared" si="36"/>
        <v>1424230.1034000001</v>
      </c>
      <c r="AR93" s="389">
        <v>15</v>
      </c>
      <c r="AS93" s="388">
        <v>110379.62133333334</v>
      </c>
      <c r="AT93" s="313">
        <f t="shared" si="37"/>
        <v>1354689.092624</v>
      </c>
      <c r="AU93" s="308">
        <v>10</v>
      </c>
      <c r="AV93" s="309">
        <v>99785</v>
      </c>
      <c r="AW93" s="310">
        <f t="shared" si="38"/>
        <v>816440.87</v>
      </c>
      <c r="AX93" s="389">
        <v>8</v>
      </c>
      <c r="AY93" s="388">
        <v>102638.50750000001</v>
      </c>
      <c r="AZ93" s="313">
        <f t="shared" si="39"/>
        <v>671830.61469200009</v>
      </c>
      <c r="BA93" s="308">
        <v>17</v>
      </c>
      <c r="BB93" s="309">
        <v>72477.588235294112</v>
      </c>
      <c r="BC93" s="310">
        <f t="shared" si="40"/>
        <v>1008119.7658000001</v>
      </c>
      <c r="BD93" s="389">
        <v>13</v>
      </c>
      <c r="BE93" s="388">
        <v>74612.983076923076</v>
      </c>
      <c r="BF93" s="313">
        <f t="shared" si="41"/>
        <v>793628.45579600008</v>
      </c>
      <c r="BG93" s="308">
        <v>17</v>
      </c>
      <c r="BH93" s="309">
        <v>63766.588235294119</v>
      </c>
      <c r="BI93" s="310">
        <f t="shared" si="42"/>
        <v>886954.9824000001</v>
      </c>
      <c r="BJ93" s="389">
        <v>15</v>
      </c>
      <c r="BK93" s="388">
        <v>68575.357999999993</v>
      </c>
      <c r="BL93" s="313">
        <f t="shared" si="43"/>
        <v>841625.3687339999</v>
      </c>
      <c r="BM93" s="308"/>
      <c r="BN93" s="309"/>
      <c r="BO93" s="310">
        <f t="shared" si="44"/>
        <v>0</v>
      </c>
      <c r="BP93" s="311"/>
      <c r="BQ93" s="358"/>
      <c r="BR93" s="313">
        <f t="shared" si="45"/>
        <v>0</v>
      </c>
      <c r="BS93" s="308"/>
      <c r="BT93" s="309"/>
      <c r="BU93" s="310">
        <f t="shared" si="46"/>
        <v>0</v>
      </c>
      <c r="BV93" s="380"/>
      <c r="BW93" s="312"/>
      <c r="BX93" s="313">
        <f t="shared" si="47"/>
        <v>0</v>
      </c>
    </row>
    <row r="94" spans="1:77">
      <c r="A94" s="346" t="s">
        <v>450</v>
      </c>
      <c r="B94" s="347" t="s">
        <v>640</v>
      </c>
      <c r="C94" s="348">
        <v>262129</v>
      </c>
      <c r="D94" s="349">
        <v>6</v>
      </c>
      <c r="E94" s="308">
        <v>18</v>
      </c>
      <c r="F94" s="309">
        <v>80762.794629629629</v>
      </c>
      <c r="G94" s="310">
        <f t="shared" si="24"/>
        <v>1453730.3033333332</v>
      </c>
      <c r="H94" s="391">
        <v>19</v>
      </c>
      <c r="I94" s="388">
        <v>83075.095263157898</v>
      </c>
      <c r="J94" s="313">
        <f t="shared" si="25"/>
        <v>1578426.81</v>
      </c>
      <c r="K94" s="308">
        <v>30</v>
      </c>
      <c r="L94" s="309">
        <v>64604.347666666661</v>
      </c>
      <c r="M94" s="310">
        <f t="shared" si="26"/>
        <v>1938130.43</v>
      </c>
      <c r="N94" s="389">
        <v>28</v>
      </c>
      <c r="O94" s="388">
        <v>66688.202857142853</v>
      </c>
      <c r="P94" s="313">
        <f t="shared" si="27"/>
        <v>1867269.68</v>
      </c>
      <c r="Q94" s="308">
        <v>20</v>
      </c>
      <c r="R94" s="309">
        <v>51507.022000000004</v>
      </c>
      <c r="S94" s="310">
        <f t="shared" si="28"/>
        <v>1030140.4400000001</v>
      </c>
      <c r="T94" s="389">
        <v>25</v>
      </c>
      <c r="U94" s="388">
        <v>53879.287199999999</v>
      </c>
      <c r="V94" s="313">
        <f t="shared" si="29"/>
        <v>1346982.18</v>
      </c>
      <c r="W94" s="308">
        <v>1</v>
      </c>
      <c r="X94" s="309">
        <v>39392.949999999997</v>
      </c>
      <c r="Y94" s="310">
        <f t="shared" si="30"/>
        <v>39392.949999999997</v>
      </c>
      <c r="Z94" s="389">
        <v>1</v>
      </c>
      <c r="AA94" s="388">
        <v>40709.129999999997</v>
      </c>
      <c r="AB94" s="313">
        <f t="shared" si="31"/>
        <v>40709.129999999997</v>
      </c>
      <c r="AC94" s="308"/>
      <c r="AD94" s="309"/>
      <c r="AE94" s="310">
        <f t="shared" si="32"/>
        <v>0</v>
      </c>
      <c r="AF94" s="311"/>
      <c r="AG94" s="358"/>
      <c r="AH94" s="313">
        <f t="shared" si="33"/>
        <v>0</v>
      </c>
      <c r="AI94" s="308"/>
      <c r="AJ94" s="309"/>
      <c r="AK94" s="310">
        <f t="shared" si="34"/>
        <v>0</v>
      </c>
      <c r="AL94" s="380"/>
      <c r="AM94" s="312"/>
      <c r="AN94" s="313">
        <f t="shared" si="35"/>
        <v>0</v>
      </c>
      <c r="AO94" s="308"/>
      <c r="AP94" s="309"/>
      <c r="AQ94" s="310">
        <f t="shared" si="36"/>
        <v>0</v>
      </c>
      <c r="AR94" s="311"/>
      <c r="AS94" s="358"/>
      <c r="AT94" s="313">
        <f t="shared" si="37"/>
        <v>0</v>
      </c>
      <c r="AU94" s="308"/>
      <c r="AV94" s="309"/>
      <c r="AW94" s="310">
        <f t="shared" si="38"/>
        <v>0</v>
      </c>
      <c r="AX94" s="311"/>
      <c r="AY94" s="358"/>
      <c r="AZ94" s="313">
        <f t="shared" si="39"/>
        <v>0</v>
      </c>
      <c r="BA94" s="308"/>
      <c r="BB94" s="309"/>
      <c r="BC94" s="310">
        <f t="shared" si="40"/>
        <v>0</v>
      </c>
      <c r="BD94" s="311"/>
      <c r="BE94" s="358"/>
      <c r="BF94" s="313">
        <f t="shared" si="41"/>
        <v>0</v>
      </c>
      <c r="BG94" s="308"/>
      <c r="BH94" s="309"/>
      <c r="BI94" s="310">
        <f t="shared" si="42"/>
        <v>0</v>
      </c>
      <c r="BJ94" s="311"/>
      <c r="BK94" s="358"/>
      <c r="BL94" s="313">
        <f t="shared" si="43"/>
        <v>0</v>
      </c>
      <c r="BM94" s="308"/>
      <c r="BN94" s="309"/>
      <c r="BO94" s="310">
        <f t="shared" si="44"/>
        <v>0</v>
      </c>
      <c r="BP94" s="311"/>
      <c r="BQ94" s="358"/>
      <c r="BR94" s="313">
        <f t="shared" si="45"/>
        <v>0</v>
      </c>
      <c r="BS94" s="308"/>
      <c r="BT94" s="309"/>
      <c r="BU94" s="310">
        <f t="shared" si="46"/>
        <v>0</v>
      </c>
      <c r="BV94" s="380"/>
      <c r="BW94" s="312"/>
      <c r="BX94" s="313">
        <f t="shared" si="47"/>
        <v>0</v>
      </c>
    </row>
    <row r="95" spans="1:77">
      <c r="A95" s="354" t="s">
        <v>450</v>
      </c>
      <c r="B95" s="355" t="s">
        <v>236</v>
      </c>
      <c r="C95" s="360">
        <v>133021</v>
      </c>
      <c r="D95" s="356">
        <v>7</v>
      </c>
      <c r="E95" s="308"/>
      <c r="F95" s="309"/>
      <c r="G95" s="310">
        <f t="shared" si="24"/>
        <v>0</v>
      </c>
      <c r="H95" s="311"/>
      <c r="I95" s="312"/>
      <c r="J95" s="313">
        <f t="shared" si="25"/>
        <v>0</v>
      </c>
      <c r="K95" s="308"/>
      <c r="L95" s="309"/>
      <c r="M95" s="310">
        <f t="shared" si="26"/>
        <v>0</v>
      </c>
      <c r="N95" s="311"/>
      <c r="O95" s="312"/>
      <c r="P95" s="313">
        <f t="shared" si="27"/>
        <v>0</v>
      </c>
      <c r="Q95" s="308"/>
      <c r="R95" s="309"/>
      <c r="S95" s="310">
        <f t="shared" si="28"/>
        <v>0</v>
      </c>
      <c r="T95" s="311"/>
      <c r="U95" s="312"/>
      <c r="V95" s="313">
        <f t="shared" si="29"/>
        <v>0</v>
      </c>
      <c r="W95" s="308"/>
      <c r="X95" s="309"/>
      <c r="Y95" s="310">
        <f t="shared" si="30"/>
        <v>0</v>
      </c>
      <c r="Z95" s="311"/>
      <c r="AA95" s="312"/>
      <c r="AB95" s="313">
        <f t="shared" si="31"/>
        <v>0</v>
      </c>
      <c r="AC95" s="308"/>
      <c r="AD95" s="309"/>
      <c r="AE95" s="310">
        <f t="shared" si="32"/>
        <v>0</v>
      </c>
      <c r="AF95" s="311"/>
      <c r="AG95" s="312"/>
      <c r="AH95" s="313">
        <f t="shared" si="33"/>
        <v>0</v>
      </c>
      <c r="AI95" s="308">
        <v>49</v>
      </c>
      <c r="AJ95" s="309">
        <v>43574</v>
      </c>
      <c r="AK95" s="310">
        <f t="shared" si="34"/>
        <v>2135126</v>
      </c>
      <c r="AL95" s="380">
        <v>47</v>
      </c>
      <c r="AM95" s="312">
        <v>43222</v>
      </c>
      <c r="AN95" s="313">
        <f t="shared" si="35"/>
        <v>2031434</v>
      </c>
      <c r="AO95" s="308"/>
      <c r="AP95" s="309"/>
      <c r="AQ95" s="310">
        <f t="shared" si="36"/>
        <v>0</v>
      </c>
      <c r="AR95" s="311"/>
      <c r="AS95" s="312"/>
      <c r="AT95" s="313">
        <f t="shared" si="37"/>
        <v>0</v>
      </c>
      <c r="AU95" s="308"/>
      <c r="AV95" s="309"/>
      <c r="AW95" s="310">
        <f t="shared" si="38"/>
        <v>0</v>
      </c>
      <c r="AX95" s="311"/>
      <c r="AY95" s="312"/>
      <c r="AZ95" s="313">
        <f t="shared" si="39"/>
        <v>0</v>
      </c>
      <c r="BA95" s="308"/>
      <c r="BB95" s="309"/>
      <c r="BC95" s="310">
        <f t="shared" si="40"/>
        <v>0</v>
      </c>
      <c r="BD95" s="311"/>
      <c r="BE95" s="312"/>
      <c r="BF95" s="313">
        <f t="shared" si="41"/>
        <v>0</v>
      </c>
      <c r="BG95" s="308"/>
      <c r="BH95" s="309"/>
      <c r="BI95" s="310">
        <f t="shared" si="42"/>
        <v>0</v>
      </c>
      <c r="BJ95" s="311"/>
      <c r="BK95" s="312"/>
      <c r="BL95" s="313">
        <f t="shared" si="43"/>
        <v>0</v>
      </c>
      <c r="BM95" s="308"/>
      <c r="BN95" s="309"/>
      <c r="BO95" s="310">
        <f t="shared" si="44"/>
        <v>0</v>
      </c>
      <c r="BP95" s="311"/>
      <c r="BQ95" s="312"/>
      <c r="BR95" s="313">
        <f t="shared" si="45"/>
        <v>0</v>
      </c>
      <c r="BS95" s="308"/>
      <c r="BT95" s="309"/>
      <c r="BU95" s="310">
        <f t="shared" si="46"/>
        <v>0</v>
      </c>
      <c r="BV95" s="380"/>
      <c r="BW95" s="312"/>
      <c r="BX95" s="313">
        <f t="shared" si="47"/>
        <v>0</v>
      </c>
    </row>
    <row r="96" spans="1:77">
      <c r="A96" s="354" t="s">
        <v>450</v>
      </c>
      <c r="B96" s="359" t="s">
        <v>246</v>
      </c>
      <c r="C96" s="360">
        <v>135717</v>
      </c>
      <c r="D96" s="356">
        <v>7</v>
      </c>
      <c r="E96" s="308"/>
      <c r="F96" s="309"/>
      <c r="G96" s="310">
        <f t="shared" si="24"/>
        <v>0</v>
      </c>
      <c r="H96" s="311"/>
      <c r="I96" s="312"/>
      <c r="J96" s="313">
        <f t="shared" si="25"/>
        <v>0</v>
      </c>
      <c r="K96" s="308"/>
      <c r="L96" s="309"/>
      <c r="M96" s="310">
        <f t="shared" si="26"/>
        <v>0</v>
      </c>
      <c r="N96" s="311"/>
      <c r="O96" s="312"/>
      <c r="P96" s="313">
        <f t="shared" si="27"/>
        <v>0</v>
      </c>
      <c r="Q96" s="308"/>
      <c r="R96" s="309"/>
      <c r="S96" s="310">
        <f t="shared" si="28"/>
        <v>0</v>
      </c>
      <c r="T96" s="311"/>
      <c r="U96" s="312"/>
      <c r="V96" s="313">
        <f t="shared" si="29"/>
        <v>0</v>
      </c>
      <c r="W96" s="308"/>
      <c r="X96" s="309"/>
      <c r="Y96" s="310">
        <f t="shared" si="30"/>
        <v>0</v>
      </c>
      <c r="Z96" s="311"/>
      <c r="AA96" s="312"/>
      <c r="AB96" s="313">
        <f t="shared" si="31"/>
        <v>0</v>
      </c>
      <c r="AC96" s="308"/>
      <c r="AD96" s="309"/>
      <c r="AE96" s="310">
        <f t="shared" si="32"/>
        <v>0</v>
      </c>
      <c r="AF96" s="311"/>
      <c r="AG96" s="312"/>
      <c r="AH96" s="313">
        <f t="shared" si="33"/>
        <v>0</v>
      </c>
      <c r="AI96" s="308">
        <v>701</v>
      </c>
      <c r="AJ96" s="309">
        <v>59772</v>
      </c>
      <c r="AK96" s="310">
        <f t="shared" si="34"/>
        <v>41900172</v>
      </c>
      <c r="AL96" s="380">
        <v>689</v>
      </c>
      <c r="AM96" s="312">
        <v>60224</v>
      </c>
      <c r="AN96" s="313">
        <f t="shared" si="35"/>
        <v>41494336</v>
      </c>
      <c r="AO96" s="308"/>
      <c r="AP96" s="309"/>
      <c r="AQ96" s="310">
        <f t="shared" si="36"/>
        <v>0</v>
      </c>
      <c r="AR96" s="311"/>
      <c r="AS96" s="312"/>
      <c r="AT96" s="313">
        <f t="shared" si="37"/>
        <v>0</v>
      </c>
      <c r="AU96" s="308"/>
      <c r="AV96" s="309"/>
      <c r="AW96" s="310">
        <f t="shared" si="38"/>
        <v>0</v>
      </c>
      <c r="AX96" s="311"/>
      <c r="AY96" s="312"/>
      <c r="AZ96" s="313">
        <f t="shared" si="39"/>
        <v>0</v>
      </c>
      <c r="BA96" s="308"/>
      <c r="BB96" s="309"/>
      <c r="BC96" s="310">
        <f t="shared" si="40"/>
        <v>0</v>
      </c>
      <c r="BD96" s="311"/>
      <c r="BE96" s="312"/>
      <c r="BF96" s="313">
        <f t="shared" si="41"/>
        <v>0</v>
      </c>
      <c r="BG96" s="308"/>
      <c r="BH96" s="309"/>
      <c r="BI96" s="310">
        <f t="shared" si="42"/>
        <v>0</v>
      </c>
      <c r="BJ96" s="311"/>
      <c r="BK96" s="312"/>
      <c r="BL96" s="313">
        <f t="shared" si="43"/>
        <v>0</v>
      </c>
      <c r="BM96" s="308"/>
      <c r="BN96" s="309"/>
      <c r="BO96" s="310">
        <f t="shared" si="44"/>
        <v>0</v>
      </c>
      <c r="BP96" s="311"/>
      <c r="BQ96" s="312"/>
      <c r="BR96" s="313">
        <f t="shared" si="45"/>
        <v>0</v>
      </c>
      <c r="BS96" s="308"/>
      <c r="BT96" s="309"/>
      <c r="BU96" s="310">
        <f t="shared" si="46"/>
        <v>0</v>
      </c>
      <c r="BV96" s="380"/>
      <c r="BW96" s="312"/>
      <c r="BX96" s="313">
        <f t="shared" si="47"/>
        <v>0</v>
      </c>
    </row>
    <row r="97" spans="1:76">
      <c r="A97" s="354" t="s">
        <v>450</v>
      </c>
      <c r="B97" s="442" t="s">
        <v>13</v>
      </c>
      <c r="C97" s="443">
        <v>136233</v>
      </c>
      <c r="D97" s="444">
        <v>7</v>
      </c>
      <c r="E97" s="308"/>
      <c r="F97" s="309"/>
      <c r="G97" s="310">
        <f t="shared" si="24"/>
        <v>0</v>
      </c>
      <c r="H97" s="311"/>
      <c r="I97" s="312"/>
      <c r="J97" s="313">
        <f t="shared" si="25"/>
        <v>0</v>
      </c>
      <c r="K97" s="308"/>
      <c r="L97" s="309"/>
      <c r="M97" s="310">
        <f t="shared" si="26"/>
        <v>0</v>
      </c>
      <c r="N97" s="311"/>
      <c r="O97" s="312"/>
      <c r="P97" s="313">
        <f t="shared" si="27"/>
        <v>0</v>
      </c>
      <c r="Q97" s="308"/>
      <c r="R97" s="309"/>
      <c r="S97" s="310">
        <f t="shared" si="28"/>
        <v>0</v>
      </c>
      <c r="T97" s="311"/>
      <c r="U97" s="312"/>
      <c r="V97" s="313">
        <f t="shared" si="29"/>
        <v>0</v>
      </c>
      <c r="W97" s="308"/>
      <c r="X97" s="309"/>
      <c r="Y97" s="310">
        <f t="shared" si="30"/>
        <v>0</v>
      </c>
      <c r="Z97" s="311"/>
      <c r="AA97" s="312"/>
      <c r="AB97" s="313">
        <f t="shared" si="31"/>
        <v>0</v>
      </c>
      <c r="AC97" s="308"/>
      <c r="AD97" s="309"/>
      <c r="AE97" s="310">
        <f t="shared" si="32"/>
        <v>0</v>
      </c>
      <c r="AF97" s="311"/>
      <c r="AG97" s="312"/>
      <c r="AH97" s="313">
        <f t="shared" si="33"/>
        <v>0</v>
      </c>
      <c r="AI97" s="308">
        <v>90</v>
      </c>
      <c r="AJ97" s="309">
        <v>53536</v>
      </c>
      <c r="AK97" s="310">
        <f t="shared" si="34"/>
        <v>4818240</v>
      </c>
      <c r="AL97" s="380">
        <v>92</v>
      </c>
      <c r="AM97" s="312">
        <v>54996</v>
      </c>
      <c r="AN97" s="313">
        <f t="shared" si="35"/>
        <v>5059632</v>
      </c>
      <c r="AO97" s="308"/>
      <c r="AP97" s="309"/>
      <c r="AQ97" s="310">
        <f t="shared" si="36"/>
        <v>0</v>
      </c>
      <c r="AR97" s="311"/>
      <c r="AS97" s="312"/>
      <c r="AT97" s="313">
        <f t="shared" si="37"/>
        <v>0</v>
      </c>
      <c r="AU97" s="308"/>
      <c r="AV97" s="309"/>
      <c r="AW97" s="310">
        <f t="shared" si="38"/>
        <v>0</v>
      </c>
      <c r="AX97" s="311"/>
      <c r="AY97" s="312"/>
      <c r="AZ97" s="313">
        <f t="shared" si="39"/>
        <v>0</v>
      </c>
      <c r="BA97" s="308"/>
      <c r="BB97" s="309"/>
      <c r="BC97" s="310">
        <f t="shared" si="40"/>
        <v>0</v>
      </c>
      <c r="BD97" s="311"/>
      <c r="BE97" s="312"/>
      <c r="BF97" s="313">
        <f t="shared" si="41"/>
        <v>0</v>
      </c>
      <c r="BG97" s="308"/>
      <c r="BH97" s="309"/>
      <c r="BI97" s="310">
        <f t="shared" si="42"/>
        <v>0</v>
      </c>
      <c r="BJ97" s="311"/>
      <c r="BK97" s="312"/>
      <c r="BL97" s="313">
        <f t="shared" si="43"/>
        <v>0</v>
      </c>
      <c r="BM97" s="308"/>
      <c r="BN97" s="309"/>
      <c r="BO97" s="310">
        <f t="shared" si="44"/>
        <v>0</v>
      </c>
      <c r="BP97" s="311"/>
      <c r="BQ97" s="312"/>
      <c r="BR97" s="313">
        <f t="shared" si="45"/>
        <v>0</v>
      </c>
      <c r="BS97" s="308"/>
      <c r="BT97" s="309"/>
      <c r="BU97" s="310">
        <f t="shared" si="46"/>
        <v>0</v>
      </c>
      <c r="BV97" s="380"/>
      <c r="BW97" s="312"/>
      <c r="BX97" s="313">
        <f t="shared" si="47"/>
        <v>0</v>
      </c>
    </row>
    <row r="98" spans="1:76">
      <c r="A98" s="354" t="s">
        <v>450</v>
      </c>
      <c r="B98" s="359" t="s">
        <v>253</v>
      </c>
      <c r="C98" s="360">
        <v>137078</v>
      </c>
      <c r="D98" s="356">
        <v>7</v>
      </c>
      <c r="E98" s="308"/>
      <c r="F98" s="309"/>
      <c r="G98" s="310">
        <f t="shared" si="24"/>
        <v>0</v>
      </c>
      <c r="H98" s="311"/>
      <c r="I98" s="312"/>
      <c r="J98" s="313">
        <f t="shared" si="25"/>
        <v>0</v>
      </c>
      <c r="K98" s="308"/>
      <c r="L98" s="309"/>
      <c r="M98" s="310">
        <f t="shared" si="26"/>
        <v>0</v>
      </c>
      <c r="N98" s="311"/>
      <c r="O98" s="312"/>
      <c r="P98" s="313">
        <f t="shared" si="27"/>
        <v>0</v>
      </c>
      <c r="Q98" s="308"/>
      <c r="R98" s="309"/>
      <c r="S98" s="310">
        <f t="shared" si="28"/>
        <v>0</v>
      </c>
      <c r="T98" s="311"/>
      <c r="U98" s="312"/>
      <c r="V98" s="313">
        <f t="shared" si="29"/>
        <v>0</v>
      </c>
      <c r="W98" s="308"/>
      <c r="X98" s="309"/>
      <c r="Y98" s="310">
        <f t="shared" si="30"/>
        <v>0</v>
      </c>
      <c r="Z98" s="311"/>
      <c r="AA98" s="312"/>
      <c r="AB98" s="313">
        <f t="shared" si="31"/>
        <v>0</v>
      </c>
      <c r="AC98" s="308"/>
      <c r="AD98" s="309"/>
      <c r="AE98" s="310">
        <f t="shared" si="32"/>
        <v>0</v>
      </c>
      <c r="AF98" s="311"/>
      <c r="AG98" s="312"/>
      <c r="AH98" s="313">
        <f t="shared" si="33"/>
        <v>0</v>
      </c>
      <c r="AI98" s="308">
        <v>316</v>
      </c>
      <c r="AJ98" s="309">
        <v>57294</v>
      </c>
      <c r="AK98" s="310">
        <f t="shared" si="34"/>
        <v>18104904</v>
      </c>
      <c r="AL98" s="380">
        <v>309</v>
      </c>
      <c r="AM98" s="312">
        <v>56735</v>
      </c>
      <c r="AN98" s="313">
        <f t="shared" si="35"/>
        <v>17531115</v>
      </c>
      <c r="AO98" s="308"/>
      <c r="AP98" s="309"/>
      <c r="AQ98" s="310">
        <f t="shared" si="36"/>
        <v>0</v>
      </c>
      <c r="AR98" s="311"/>
      <c r="AS98" s="312"/>
      <c r="AT98" s="313">
        <f t="shared" si="37"/>
        <v>0</v>
      </c>
      <c r="AU98" s="308"/>
      <c r="AV98" s="309"/>
      <c r="AW98" s="310">
        <f t="shared" si="38"/>
        <v>0</v>
      </c>
      <c r="AX98" s="311"/>
      <c r="AY98" s="312"/>
      <c r="AZ98" s="313">
        <f t="shared" si="39"/>
        <v>0</v>
      </c>
      <c r="BA98" s="308"/>
      <c r="BB98" s="309"/>
      <c r="BC98" s="310">
        <f t="shared" si="40"/>
        <v>0</v>
      </c>
      <c r="BD98" s="311"/>
      <c r="BE98" s="312"/>
      <c r="BF98" s="313">
        <f t="shared" si="41"/>
        <v>0</v>
      </c>
      <c r="BG98" s="308"/>
      <c r="BH98" s="309"/>
      <c r="BI98" s="310">
        <f t="shared" si="42"/>
        <v>0</v>
      </c>
      <c r="BJ98" s="311"/>
      <c r="BK98" s="312"/>
      <c r="BL98" s="313">
        <f t="shared" si="43"/>
        <v>0</v>
      </c>
      <c r="BM98" s="308"/>
      <c r="BN98" s="309"/>
      <c r="BO98" s="310">
        <f t="shared" si="44"/>
        <v>0</v>
      </c>
      <c r="BP98" s="311"/>
      <c r="BQ98" s="312"/>
      <c r="BR98" s="313">
        <f t="shared" si="45"/>
        <v>0</v>
      </c>
      <c r="BS98" s="308"/>
      <c r="BT98" s="309"/>
      <c r="BU98" s="310">
        <f t="shared" si="46"/>
        <v>0</v>
      </c>
      <c r="BV98" s="380"/>
      <c r="BW98" s="312"/>
      <c r="BX98" s="313">
        <f t="shared" si="47"/>
        <v>0</v>
      </c>
    </row>
    <row r="99" spans="1:76">
      <c r="A99" s="354" t="s">
        <v>450</v>
      </c>
      <c r="B99" s="359" t="s">
        <v>233</v>
      </c>
      <c r="C99" s="360">
        <v>132693</v>
      </c>
      <c r="D99" s="356">
        <v>8</v>
      </c>
      <c r="E99" s="308"/>
      <c r="F99" s="309"/>
      <c r="G99" s="310">
        <f t="shared" si="24"/>
        <v>0</v>
      </c>
      <c r="H99" s="311"/>
      <c r="I99" s="312"/>
      <c r="J99" s="313">
        <f t="shared" si="25"/>
        <v>0</v>
      </c>
      <c r="K99" s="308"/>
      <c r="L99" s="309"/>
      <c r="M99" s="310">
        <f t="shared" si="26"/>
        <v>0</v>
      </c>
      <c r="N99" s="311"/>
      <c r="O99" s="312"/>
      <c r="P99" s="313">
        <f t="shared" si="27"/>
        <v>0</v>
      </c>
      <c r="Q99" s="308"/>
      <c r="R99" s="309"/>
      <c r="S99" s="310">
        <f t="shared" si="28"/>
        <v>0</v>
      </c>
      <c r="T99" s="311"/>
      <c r="U99" s="312"/>
      <c r="V99" s="313">
        <f t="shared" si="29"/>
        <v>0</v>
      </c>
      <c r="W99" s="308"/>
      <c r="X99" s="309"/>
      <c r="Y99" s="310">
        <f t="shared" si="30"/>
        <v>0</v>
      </c>
      <c r="Z99" s="311"/>
      <c r="AA99" s="312"/>
      <c r="AB99" s="313">
        <f t="shared" si="31"/>
        <v>0</v>
      </c>
      <c r="AC99" s="308"/>
      <c r="AD99" s="309"/>
      <c r="AE99" s="310">
        <f t="shared" si="32"/>
        <v>0</v>
      </c>
      <c r="AF99" s="311"/>
      <c r="AG99" s="312"/>
      <c r="AH99" s="313">
        <f t="shared" si="33"/>
        <v>0</v>
      </c>
      <c r="AI99" s="308">
        <v>208</v>
      </c>
      <c r="AJ99" s="309">
        <v>52753</v>
      </c>
      <c r="AK99" s="310">
        <f t="shared" si="34"/>
        <v>10972624</v>
      </c>
      <c r="AL99" s="380">
        <v>215</v>
      </c>
      <c r="AM99" s="312">
        <v>53007</v>
      </c>
      <c r="AN99" s="313">
        <f t="shared" si="35"/>
        <v>11396505</v>
      </c>
      <c r="AO99" s="308"/>
      <c r="AP99" s="309"/>
      <c r="AQ99" s="310">
        <f t="shared" si="36"/>
        <v>0</v>
      </c>
      <c r="AR99" s="311"/>
      <c r="AS99" s="312"/>
      <c r="AT99" s="313">
        <f t="shared" si="37"/>
        <v>0</v>
      </c>
      <c r="AU99" s="308"/>
      <c r="AV99" s="309"/>
      <c r="AW99" s="310">
        <f t="shared" si="38"/>
        <v>0</v>
      </c>
      <c r="AX99" s="311"/>
      <c r="AY99" s="312"/>
      <c r="AZ99" s="313">
        <f t="shared" si="39"/>
        <v>0</v>
      </c>
      <c r="BA99" s="308"/>
      <c r="BB99" s="309"/>
      <c r="BC99" s="310">
        <f t="shared" si="40"/>
        <v>0</v>
      </c>
      <c r="BD99" s="311"/>
      <c r="BE99" s="312"/>
      <c r="BF99" s="313">
        <f t="shared" si="41"/>
        <v>0</v>
      </c>
      <c r="BG99" s="308"/>
      <c r="BH99" s="309"/>
      <c r="BI99" s="310">
        <f t="shared" si="42"/>
        <v>0</v>
      </c>
      <c r="BJ99" s="311"/>
      <c r="BK99" s="312"/>
      <c r="BL99" s="313">
        <f t="shared" si="43"/>
        <v>0</v>
      </c>
      <c r="BM99" s="308"/>
      <c r="BN99" s="309"/>
      <c r="BO99" s="310">
        <f t="shared" si="44"/>
        <v>0</v>
      </c>
      <c r="BP99" s="311"/>
      <c r="BQ99" s="312"/>
      <c r="BR99" s="313">
        <f t="shared" si="45"/>
        <v>0</v>
      </c>
      <c r="BS99" s="308"/>
      <c r="BT99" s="309"/>
      <c r="BU99" s="310">
        <f t="shared" si="46"/>
        <v>0</v>
      </c>
      <c r="BV99" s="380"/>
      <c r="BW99" s="312"/>
      <c r="BX99" s="313">
        <f t="shared" si="47"/>
        <v>0</v>
      </c>
    </row>
    <row r="100" spans="1:76">
      <c r="A100" s="354" t="s">
        <v>450</v>
      </c>
      <c r="B100" s="359" t="s">
        <v>234</v>
      </c>
      <c r="C100" s="360">
        <v>132709</v>
      </c>
      <c r="D100" s="356">
        <v>8</v>
      </c>
      <c r="E100" s="308"/>
      <c r="F100" s="309"/>
      <c r="G100" s="310">
        <f t="shared" si="24"/>
        <v>0</v>
      </c>
      <c r="H100" s="311"/>
      <c r="I100" s="312"/>
      <c r="J100" s="313">
        <f t="shared" si="25"/>
        <v>0</v>
      </c>
      <c r="K100" s="308"/>
      <c r="L100" s="309"/>
      <c r="M100" s="310">
        <f t="shared" si="26"/>
        <v>0</v>
      </c>
      <c r="N100" s="311"/>
      <c r="O100" s="312"/>
      <c r="P100" s="313">
        <f t="shared" si="27"/>
        <v>0</v>
      </c>
      <c r="Q100" s="308"/>
      <c r="R100" s="309"/>
      <c r="S100" s="310">
        <f t="shared" si="28"/>
        <v>0</v>
      </c>
      <c r="T100" s="311"/>
      <c r="U100" s="312"/>
      <c r="V100" s="313">
        <f t="shared" si="29"/>
        <v>0</v>
      </c>
      <c r="W100" s="308"/>
      <c r="X100" s="309"/>
      <c r="Y100" s="310">
        <f t="shared" si="30"/>
        <v>0</v>
      </c>
      <c r="Z100" s="311"/>
      <c r="AA100" s="312"/>
      <c r="AB100" s="313">
        <f t="shared" si="31"/>
        <v>0</v>
      </c>
      <c r="AC100" s="308"/>
      <c r="AD100" s="309"/>
      <c r="AE100" s="310">
        <f t="shared" si="32"/>
        <v>0</v>
      </c>
      <c r="AF100" s="311"/>
      <c r="AG100" s="312"/>
      <c r="AH100" s="313">
        <f t="shared" si="33"/>
        <v>0</v>
      </c>
      <c r="AI100" s="308">
        <v>351</v>
      </c>
      <c r="AJ100" s="309">
        <v>55442</v>
      </c>
      <c r="AK100" s="310">
        <f t="shared" si="34"/>
        <v>19460142</v>
      </c>
      <c r="AL100" s="380">
        <v>352</v>
      </c>
      <c r="AM100" s="312">
        <v>55917</v>
      </c>
      <c r="AN100" s="313">
        <f t="shared" si="35"/>
        <v>19682784</v>
      </c>
      <c r="AO100" s="308"/>
      <c r="AP100" s="309"/>
      <c r="AQ100" s="310">
        <f t="shared" si="36"/>
        <v>0</v>
      </c>
      <c r="AR100" s="311"/>
      <c r="AS100" s="312"/>
      <c r="AT100" s="313">
        <f t="shared" si="37"/>
        <v>0</v>
      </c>
      <c r="AU100" s="308"/>
      <c r="AV100" s="309"/>
      <c r="AW100" s="310">
        <f t="shared" si="38"/>
        <v>0</v>
      </c>
      <c r="AX100" s="311"/>
      <c r="AY100" s="312"/>
      <c r="AZ100" s="313">
        <f t="shared" si="39"/>
        <v>0</v>
      </c>
      <c r="BA100" s="308"/>
      <c r="BB100" s="309"/>
      <c r="BC100" s="310">
        <f t="shared" si="40"/>
        <v>0</v>
      </c>
      <c r="BD100" s="311"/>
      <c r="BE100" s="312"/>
      <c r="BF100" s="313">
        <f t="shared" si="41"/>
        <v>0</v>
      </c>
      <c r="BG100" s="308"/>
      <c r="BH100" s="309"/>
      <c r="BI100" s="310">
        <f t="shared" si="42"/>
        <v>0</v>
      </c>
      <c r="BJ100" s="311"/>
      <c r="BK100" s="312"/>
      <c r="BL100" s="313">
        <f t="shared" si="43"/>
        <v>0</v>
      </c>
      <c r="BM100" s="308"/>
      <c r="BN100" s="309"/>
      <c r="BO100" s="310">
        <f t="shared" si="44"/>
        <v>0</v>
      </c>
      <c r="BP100" s="311"/>
      <c r="BQ100" s="312"/>
      <c r="BR100" s="313">
        <f t="shared" si="45"/>
        <v>0</v>
      </c>
      <c r="BS100" s="308"/>
      <c r="BT100" s="309"/>
      <c r="BU100" s="310">
        <f t="shared" si="46"/>
        <v>0</v>
      </c>
      <c r="BV100" s="380"/>
      <c r="BW100" s="312"/>
      <c r="BX100" s="313">
        <f t="shared" si="47"/>
        <v>0</v>
      </c>
    </row>
    <row r="101" spans="1:76">
      <c r="A101" s="354" t="s">
        <v>450</v>
      </c>
      <c r="B101" s="404" t="s">
        <v>237</v>
      </c>
      <c r="C101" s="360">
        <v>133386</v>
      </c>
      <c r="D101" s="356">
        <v>8</v>
      </c>
      <c r="E101" s="308"/>
      <c r="F101" s="309"/>
      <c r="G101" s="310">
        <f t="shared" si="24"/>
        <v>0</v>
      </c>
      <c r="H101" s="311"/>
      <c r="I101" s="312"/>
      <c r="J101" s="313">
        <f t="shared" si="25"/>
        <v>0</v>
      </c>
      <c r="K101" s="308"/>
      <c r="L101" s="309"/>
      <c r="M101" s="310">
        <f t="shared" si="26"/>
        <v>0</v>
      </c>
      <c r="N101" s="311"/>
      <c r="O101" s="312"/>
      <c r="P101" s="313">
        <f t="shared" si="27"/>
        <v>0</v>
      </c>
      <c r="Q101" s="308"/>
      <c r="R101" s="309"/>
      <c r="S101" s="310">
        <f t="shared" si="28"/>
        <v>0</v>
      </c>
      <c r="T101" s="311"/>
      <c r="U101" s="312"/>
      <c r="V101" s="313">
        <f t="shared" si="29"/>
        <v>0</v>
      </c>
      <c r="W101" s="308"/>
      <c r="X101" s="309"/>
      <c r="Y101" s="310">
        <f t="shared" si="30"/>
        <v>0</v>
      </c>
      <c r="Z101" s="311"/>
      <c r="AA101" s="312"/>
      <c r="AB101" s="313">
        <f t="shared" si="31"/>
        <v>0</v>
      </c>
      <c r="AC101" s="308"/>
      <c r="AD101" s="309"/>
      <c r="AE101" s="310">
        <f t="shared" si="32"/>
        <v>0</v>
      </c>
      <c r="AF101" s="311"/>
      <c r="AG101" s="312"/>
      <c r="AH101" s="313">
        <f t="shared" si="33"/>
        <v>0</v>
      </c>
      <c r="AI101" s="308">
        <v>261</v>
      </c>
      <c r="AJ101" s="309">
        <v>59796</v>
      </c>
      <c r="AK101" s="310">
        <f t="shared" si="34"/>
        <v>15606756</v>
      </c>
      <c r="AL101" s="380">
        <v>286</v>
      </c>
      <c r="AM101" s="312">
        <v>58880</v>
      </c>
      <c r="AN101" s="313">
        <f t="shared" si="35"/>
        <v>16839680</v>
      </c>
      <c r="AO101" s="308"/>
      <c r="AP101" s="309"/>
      <c r="AQ101" s="310">
        <f t="shared" si="36"/>
        <v>0</v>
      </c>
      <c r="AR101" s="311"/>
      <c r="AS101" s="312"/>
      <c r="AT101" s="313">
        <f t="shared" si="37"/>
        <v>0</v>
      </c>
      <c r="AU101" s="308"/>
      <c r="AV101" s="309"/>
      <c r="AW101" s="310">
        <f t="shared" si="38"/>
        <v>0</v>
      </c>
      <c r="AX101" s="311"/>
      <c r="AY101" s="312"/>
      <c r="AZ101" s="313">
        <f t="shared" si="39"/>
        <v>0</v>
      </c>
      <c r="BA101" s="308"/>
      <c r="BB101" s="309"/>
      <c r="BC101" s="310">
        <f t="shared" si="40"/>
        <v>0</v>
      </c>
      <c r="BD101" s="311"/>
      <c r="BE101" s="312"/>
      <c r="BF101" s="313">
        <f t="shared" si="41"/>
        <v>0</v>
      </c>
      <c r="BG101" s="308"/>
      <c r="BH101" s="309"/>
      <c r="BI101" s="310">
        <f t="shared" si="42"/>
        <v>0</v>
      </c>
      <c r="BJ101" s="311"/>
      <c r="BK101" s="312"/>
      <c r="BL101" s="313">
        <f t="shared" si="43"/>
        <v>0</v>
      </c>
      <c r="BM101" s="308"/>
      <c r="BN101" s="309"/>
      <c r="BO101" s="310">
        <f t="shared" si="44"/>
        <v>0</v>
      </c>
      <c r="BP101" s="311"/>
      <c r="BQ101" s="312"/>
      <c r="BR101" s="313">
        <f t="shared" si="45"/>
        <v>0</v>
      </c>
      <c r="BS101" s="308"/>
      <c r="BT101" s="309"/>
      <c r="BU101" s="310">
        <f t="shared" si="46"/>
        <v>0</v>
      </c>
      <c r="BV101" s="380"/>
      <c r="BW101" s="312"/>
      <c r="BX101" s="313">
        <f t="shared" si="47"/>
        <v>0</v>
      </c>
    </row>
    <row r="102" spans="1:76">
      <c r="A102" s="354" t="s">
        <v>450</v>
      </c>
      <c r="B102" s="404" t="s">
        <v>14</v>
      </c>
      <c r="C102" s="360">
        <v>133508</v>
      </c>
      <c r="D102" s="356">
        <v>8</v>
      </c>
      <c r="E102" s="308"/>
      <c r="F102" s="309"/>
      <c r="G102" s="310">
        <f t="shared" si="24"/>
        <v>0</v>
      </c>
      <c r="H102" s="311"/>
      <c r="I102" s="312"/>
      <c r="J102" s="313">
        <f t="shared" si="25"/>
        <v>0</v>
      </c>
      <c r="K102" s="308"/>
      <c r="L102" s="309"/>
      <c r="M102" s="310">
        <f t="shared" si="26"/>
        <v>0</v>
      </c>
      <c r="N102" s="311"/>
      <c r="O102" s="312"/>
      <c r="P102" s="313">
        <f t="shared" si="27"/>
        <v>0</v>
      </c>
      <c r="Q102" s="308"/>
      <c r="R102" s="309"/>
      <c r="S102" s="310">
        <f t="shared" si="28"/>
        <v>0</v>
      </c>
      <c r="T102" s="311"/>
      <c r="U102" s="312"/>
      <c r="V102" s="313">
        <f t="shared" si="29"/>
        <v>0</v>
      </c>
      <c r="W102" s="308"/>
      <c r="X102" s="309"/>
      <c r="Y102" s="310">
        <f t="shared" si="30"/>
        <v>0</v>
      </c>
      <c r="Z102" s="311"/>
      <c r="AA102" s="312"/>
      <c r="AB102" s="313">
        <f t="shared" si="31"/>
        <v>0</v>
      </c>
      <c r="AC102" s="308"/>
      <c r="AD102" s="309"/>
      <c r="AE102" s="310">
        <f t="shared" si="32"/>
        <v>0</v>
      </c>
      <c r="AF102" s="311"/>
      <c r="AG102" s="312"/>
      <c r="AH102" s="313">
        <f t="shared" si="33"/>
        <v>0</v>
      </c>
      <c r="AI102" s="308">
        <v>113</v>
      </c>
      <c r="AJ102" s="309">
        <v>54497</v>
      </c>
      <c r="AK102" s="310">
        <f t="shared" si="34"/>
        <v>6158161</v>
      </c>
      <c r="AL102" s="380">
        <v>116</v>
      </c>
      <c r="AM102" s="312">
        <v>53217</v>
      </c>
      <c r="AN102" s="313">
        <f t="shared" si="35"/>
        <v>6173172</v>
      </c>
      <c r="AO102" s="308"/>
      <c r="AP102" s="309"/>
      <c r="AQ102" s="310">
        <f t="shared" si="36"/>
        <v>0</v>
      </c>
      <c r="AR102" s="311"/>
      <c r="AS102" s="312"/>
      <c r="AT102" s="313">
        <f t="shared" si="37"/>
        <v>0</v>
      </c>
      <c r="AU102" s="308"/>
      <c r="AV102" s="309"/>
      <c r="AW102" s="310">
        <f t="shared" si="38"/>
        <v>0</v>
      </c>
      <c r="AX102" s="311"/>
      <c r="AY102" s="312"/>
      <c r="AZ102" s="313">
        <f t="shared" si="39"/>
        <v>0</v>
      </c>
      <c r="BA102" s="308"/>
      <c r="BB102" s="309"/>
      <c r="BC102" s="310">
        <f t="shared" si="40"/>
        <v>0</v>
      </c>
      <c r="BD102" s="311"/>
      <c r="BE102" s="312"/>
      <c r="BF102" s="313">
        <f t="shared" si="41"/>
        <v>0</v>
      </c>
      <c r="BG102" s="308"/>
      <c r="BH102" s="309"/>
      <c r="BI102" s="310">
        <f t="shared" si="42"/>
        <v>0</v>
      </c>
      <c r="BJ102" s="311"/>
      <c r="BK102" s="312"/>
      <c r="BL102" s="313">
        <f t="shared" si="43"/>
        <v>0</v>
      </c>
      <c r="BM102" s="308"/>
      <c r="BN102" s="309"/>
      <c r="BO102" s="310">
        <f t="shared" si="44"/>
        <v>0</v>
      </c>
      <c r="BP102" s="311"/>
      <c r="BQ102" s="312"/>
      <c r="BR102" s="313">
        <f t="shared" si="45"/>
        <v>0</v>
      </c>
      <c r="BS102" s="308"/>
      <c r="BT102" s="309"/>
      <c r="BU102" s="310">
        <f t="shared" si="46"/>
        <v>0</v>
      </c>
      <c r="BV102" s="380"/>
      <c r="BW102" s="312"/>
      <c r="BX102" s="313">
        <f t="shared" si="47"/>
        <v>0</v>
      </c>
    </row>
    <row r="103" spans="1:76">
      <c r="A103" s="354" t="s">
        <v>450</v>
      </c>
      <c r="B103" s="359" t="s">
        <v>238</v>
      </c>
      <c r="C103" s="360">
        <v>133702</v>
      </c>
      <c r="D103" s="356">
        <v>8</v>
      </c>
      <c r="E103" s="308"/>
      <c r="F103" s="309"/>
      <c r="G103" s="310">
        <f t="shared" si="24"/>
        <v>0</v>
      </c>
      <c r="H103" s="311"/>
      <c r="I103" s="312"/>
      <c r="J103" s="313">
        <f t="shared" si="25"/>
        <v>0</v>
      </c>
      <c r="K103" s="308"/>
      <c r="L103" s="309"/>
      <c r="M103" s="310">
        <f t="shared" si="26"/>
        <v>0</v>
      </c>
      <c r="N103" s="311"/>
      <c r="O103" s="312"/>
      <c r="P103" s="313">
        <f t="shared" si="27"/>
        <v>0</v>
      </c>
      <c r="Q103" s="308"/>
      <c r="R103" s="309"/>
      <c r="S103" s="310">
        <f t="shared" si="28"/>
        <v>0</v>
      </c>
      <c r="T103" s="311"/>
      <c r="U103" s="312"/>
      <c r="V103" s="313">
        <f t="shared" si="29"/>
        <v>0</v>
      </c>
      <c r="W103" s="308"/>
      <c r="X103" s="309"/>
      <c r="Y103" s="310">
        <f t="shared" si="30"/>
        <v>0</v>
      </c>
      <c r="Z103" s="311"/>
      <c r="AA103" s="312"/>
      <c r="AB103" s="313">
        <f t="shared" si="31"/>
        <v>0</v>
      </c>
      <c r="AC103" s="308"/>
      <c r="AD103" s="309"/>
      <c r="AE103" s="310">
        <f t="shared" si="32"/>
        <v>0</v>
      </c>
      <c r="AF103" s="311"/>
      <c r="AG103" s="312"/>
      <c r="AH103" s="313">
        <f t="shared" si="33"/>
        <v>0</v>
      </c>
      <c r="AI103" s="308">
        <v>384</v>
      </c>
      <c r="AJ103" s="309">
        <v>46443</v>
      </c>
      <c r="AK103" s="310">
        <f t="shared" si="34"/>
        <v>17834112</v>
      </c>
      <c r="AL103" s="380">
        <v>378</v>
      </c>
      <c r="AM103" s="312">
        <v>47643</v>
      </c>
      <c r="AN103" s="313">
        <f t="shared" si="35"/>
        <v>18009054</v>
      </c>
      <c r="AO103" s="308"/>
      <c r="AP103" s="309"/>
      <c r="AQ103" s="310">
        <f t="shared" si="36"/>
        <v>0</v>
      </c>
      <c r="AR103" s="311"/>
      <c r="AS103" s="312"/>
      <c r="AT103" s="313">
        <f t="shared" si="37"/>
        <v>0</v>
      </c>
      <c r="AU103" s="308"/>
      <c r="AV103" s="309"/>
      <c r="AW103" s="310">
        <f t="shared" si="38"/>
        <v>0</v>
      </c>
      <c r="AX103" s="311"/>
      <c r="AY103" s="312"/>
      <c r="AZ103" s="313">
        <f t="shared" si="39"/>
        <v>0</v>
      </c>
      <c r="BA103" s="308"/>
      <c r="BB103" s="309"/>
      <c r="BC103" s="310">
        <f t="shared" si="40"/>
        <v>0</v>
      </c>
      <c r="BD103" s="311"/>
      <c r="BE103" s="312"/>
      <c r="BF103" s="313">
        <f t="shared" si="41"/>
        <v>0</v>
      </c>
      <c r="BG103" s="308"/>
      <c r="BH103" s="309"/>
      <c r="BI103" s="310">
        <f t="shared" si="42"/>
        <v>0</v>
      </c>
      <c r="BJ103" s="311"/>
      <c r="BK103" s="312"/>
      <c r="BL103" s="313">
        <f t="shared" si="43"/>
        <v>0</v>
      </c>
      <c r="BM103" s="308"/>
      <c r="BN103" s="309"/>
      <c r="BO103" s="310">
        <f t="shared" si="44"/>
        <v>0</v>
      </c>
      <c r="BP103" s="311"/>
      <c r="BQ103" s="312"/>
      <c r="BR103" s="313">
        <f t="shared" si="45"/>
        <v>0</v>
      </c>
      <c r="BS103" s="308"/>
      <c r="BT103" s="309"/>
      <c r="BU103" s="310">
        <f t="shared" si="46"/>
        <v>0</v>
      </c>
      <c r="BV103" s="380"/>
      <c r="BW103" s="312"/>
      <c r="BX103" s="313">
        <f t="shared" si="47"/>
        <v>0</v>
      </c>
    </row>
    <row r="104" spans="1:76">
      <c r="A104" s="354" t="s">
        <v>450</v>
      </c>
      <c r="B104" s="359" t="s">
        <v>241</v>
      </c>
      <c r="C104" s="360">
        <v>134495</v>
      </c>
      <c r="D104" s="356">
        <v>8</v>
      </c>
      <c r="E104" s="308"/>
      <c r="F104" s="309"/>
      <c r="G104" s="310">
        <f t="shared" si="24"/>
        <v>0</v>
      </c>
      <c r="H104" s="311"/>
      <c r="I104" s="312"/>
      <c r="J104" s="313">
        <f t="shared" si="25"/>
        <v>0</v>
      </c>
      <c r="K104" s="308"/>
      <c r="L104" s="309"/>
      <c r="M104" s="310">
        <f t="shared" si="26"/>
        <v>0</v>
      </c>
      <c r="N104" s="311"/>
      <c r="O104" s="312"/>
      <c r="P104" s="313">
        <f t="shared" si="27"/>
        <v>0</v>
      </c>
      <c r="Q104" s="308"/>
      <c r="R104" s="309"/>
      <c r="S104" s="310">
        <f t="shared" si="28"/>
        <v>0</v>
      </c>
      <c r="T104" s="311"/>
      <c r="U104" s="312"/>
      <c r="V104" s="313">
        <f t="shared" si="29"/>
        <v>0</v>
      </c>
      <c r="W104" s="308"/>
      <c r="X104" s="309"/>
      <c r="Y104" s="310">
        <f t="shared" si="30"/>
        <v>0</v>
      </c>
      <c r="Z104" s="311"/>
      <c r="AA104" s="312"/>
      <c r="AB104" s="313">
        <f t="shared" si="31"/>
        <v>0</v>
      </c>
      <c r="AC104" s="308"/>
      <c r="AD104" s="309"/>
      <c r="AE104" s="310">
        <f t="shared" si="32"/>
        <v>0</v>
      </c>
      <c r="AF104" s="311"/>
      <c r="AG104" s="312"/>
      <c r="AH104" s="313">
        <f t="shared" si="33"/>
        <v>0</v>
      </c>
      <c r="AI104" s="308">
        <v>262</v>
      </c>
      <c r="AJ104" s="309">
        <v>50180</v>
      </c>
      <c r="AK104" s="310">
        <f t="shared" si="34"/>
        <v>13147160</v>
      </c>
      <c r="AL104" s="380">
        <v>279</v>
      </c>
      <c r="AM104" s="312">
        <v>50556</v>
      </c>
      <c r="AN104" s="313">
        <f t="shared" si="35"/>
        <v>14105124</v>
      </c>
      <c r="AO104" s="308"/>
      <c r="AP104" s="309"/>
      <c r="AQ104" s="310">
        <f t="shared" si="36"/>
        <v>0</v>
      </c>
      <c r="AR104" s="311"/>
      <c r="AS104" s="312"/>
      <c r="AT104" s="313">
        <f t="shared" si="37"/>
        <v>0</v>
      </c>
      <c r="AU104" s="308"/>
      <c r="AV104" s="309"/>
      <c r="AW104" s="310">
        <f t="shared" si="38"/>
        <v>0</v>
      </c>
      <c r="AX104" s="311"/>
      <c r="AY104" s="312"/>
      <c r="AZ104" s="313">
        <f t="shared" si="39"/>
        <v>0</v>
      </c>
      <c r="BA104" s="308"/>
      <c r="BB104" s="309"/>
      <c r="BC104" s="310">
        <f t="shared" si="40"/>
        <v>0</v>
      </c>
      <c r="BD104" s="311"/>
      <c r="BE104" s="312"/>
      <c r="BF104" s="313">
        <f t="shared" si="41"/>
        <v>0</v>
      </c>
      <c r="BG104" s="308"/>
      <c r="BH104" s="309"/>
      <c r="BI104" s="310">
        <f t="shared" si="42"/>
        <v>0</v>
      </c>
      <c r="BJ104" s="311"/>
      <c r="BK104" s="312"/>
      <c r="BL104" s="313">
        <f t="shared" si="43"/>
        <v>0</v>
      </c>
      <c r="BM104" s="308"/>
      <c r="BN104" s="309"/>
      <c r="BO104" s="310">
        <f t="shared" si="44"/>
        <v>0</v>
      </c>
      <c r="BP104" s="311"/>
      <c r="BQ104" s="312"/>
      <c r="BR104" s="313">
        <f t="shared" si="45"/>
        <v>0</v>
      </c>
      <c r="BS104" s="308"/>
      <c r="BT104" s="309"/>
      <c r="BU104" s="310">
        <f t="shared" si="46"/>
        <v>0</v>
      </c>
      <c r="BV104" s="380"/>
      <c r="BW104" s="312"/>
      <c r="BX104" s="313">
        <f t="shared" si="47"/>
        <v>0</v>
      </c>
    </row>
    <row r="105" spans="1:76">
      <c r="A105" s="354" t="s">
        <v>450</v>
      </c>
      <c r="B105" s="359" t="s">
        <v>242</v>
      </c>
      <c r="C105" s="360">
        <v>134608</v>
      </c>
      <c r="D105" s="356">
        <v>8</v>
      </c>
      <c r="E105" s="308"/>
      <c r="F105" s="309"/>
      <c r="G105" s="310">
        <f t="shared" si="24"/>
        <v>0</v>
      </c>
      <c r="H105" s="311"/>
      <c r="I105" s="312"/>
      <c r="J105" s="313">
        <f t="shared" si="25"/>
        <v>0</v>
      </c>
      <c r="K105" s="308"/>
      <c r="L105" s="309"/>
      <c r="M105" s="310">
        <f t="shared" si="26"/>
        <v>0</v>
      </c>
      <c r="N105" s="311"/>
      <c r="O105" s="312"/>
      <c r="P105" s="313">
        <f t="shared" si="27"/>
        <v>0</v>
      </c>
      <c r="Q105" s="308"/>
      <c r="R105" s="309"/>
      <c r="S105" s="310">
        <f t="shared" si="28"/>
        <v>0</v>
      </c>
      <c r="T105" s="311"/>
      <c r="U105" s="312"/>
      <c r="V105" s="313">
        <f t="shared" si="29"/>
        <v>0</v>
      </c>
      <c r="W105" s="308"/>
      <c r="X105" s="309"/>
      <c r="Y105" s="310">
        <f t="shared" si="30"/>
        <v>0</v>
      </c>
      <c r="Z105" s="311"/>
      <c r="AA105" s="312"/>
      <c r="AB105" s="313">
        <f t="shared" si="31"/>
        <v>0</v>
      </c>
      <c r="AC105" s="308"/>
      <c r="AD105" s="309"/>
      <c r="AE105" s="310">
        <f t="shared" si="32"/>
        <v>0</v>
      </c>
      <c r="AF105" s="311"/>
      <c r="AG105" s="312"/>
      <c r="AH105" s="313">
        <f t="shared" si="33"/>
        <v>0</v>
      </c>
      <c r="AI105" s="308">
        <v>179</v>
      </c>
      <c r="AJ105" s="309">
        <v>62948</v>
      </c>
      <c r="AK105" s="310">
        <f t="shared" si="34"/>
        <v>11267692</v>
      </c>
      <c r="AL105" s="380">
        <v>186</v>
      </c>
      <c r="AM105" s="312">
        <v>64148</v>
      </c>
      <c r="AN105" s="313">
        <f t="shared" si="35"/>
        <v>11931528</v>
      </c>
      <c r="AO105" s="308"/>
      <c r="AP105" s="309"/>
      <c r="AQ105" s="310">
        <f t="shared" si="36"/>
        <v>0</v>
      </c>
      <c r="AR105" s="311"/>
      <c r="AS105" s="312"/>
      <c r="AT105" s="313">
        <f t="shared" si="37"/>
        <v>0</v>
      </c>
      <c r="AU105" s="308"/>
      <c r="AV105" s="309"/>
      <c r="AW105" s="310">
        <f t="shared" si="38"/>
        <v>0</v>
      </c>
      <c r="AX105" s="311"/>
      <c r="AY105" s="312"/>
      <c r="AZ105" s="313">
        <f t="shared" si="39"/>
        <v>0</v>
      </c>
      <c r="BA105" s="308"/>
      <c r="BB105" s="309"/>
      <c r="BC105" s="310">
        <f t="shared" si="40"/>
        <v>0</v>
      </c>
      <c r="BD105" s="311"/>
      <c r="BE105" s="312"/>
      <c r="BF105" s="313">
        <f t="shared" si="41"/>
        <v>0</v>
      </c>
      <c r="BG105" s="308"/>
      <c r="BH105" s="309"/>
      <c r="BI105" s="310">
        <f t="shared" si="42"/>
        <v>0</v>
      </c>
      <c r="BJ105" s="311"/>
      <c r="BK105" s="312"/>
      <c r="BL105" s="313">
        <f t="shared" si="43"/>
        <v>0</v>
      </c>
      <c r="BM105" s="308"/>
      <c r="BN105" s="309"/>
      <c r="BO105" s="310">
        <f t="shared" si="44"/>
        <v>0</v>
      </c>
      <c r="BP105" s="311"/>
      <c r="BQ105" s="312"/>
      <c r="BR105" s="313">
        <f t="shared" si="45"/>
        <v>0</v>
      </c>
      <c r="BS105" s="308"/>
      <c r="BT105" s="309"/>
      <c r="BU105" s="310">
        <f t="shared" si="46"/>
        <v>0</v>
      </c>
      <c r="BV105" s="380"/>
      <c r="BW105" s="312"/>
      <c r="BX105" s="313">
        <f t="shared" si="47"/>
        <v>0</v>
      </c>
    </row>
    <row r="106" spans="1:76">
      <c r="A106" s="354" t="s">
        <v>450</v>
      </c>
      <c r="B106" s="359" t="s">
        <v>245</v>
      </c>
      <c r="C106" s="360">
        <v>135391</v>
      </c>
      <c r="D106" s="356">
        <v>8</v>
      </c>
      <c r="E106" s="308"/>
      <c r="F106" s="309"/>
      <c r="G106" s="310">
        <f t="shared" si="24"/>
        <v>0</v>
      </c>
      <c r="H106" s="311"/>
      <c r="I106" s="312"/>
      <c r="J106" s="313">
        <f t="shared" si="25"/>
        <v>0</v>
      </c>
      <c r="K106" s="308"/>
      <c r="L106" s="309"/>
      <c r="M106" s="310">
        <f t="shared" si="26"/>
        <v>0</v>
      </c>
      <c r="N106" s="311"/>
      <c r="O106" s="312"/>
      <c r="P106" s="313">
        <f t="shared" si="27"/>
        <v>0</v>
      </c>
      <c r="Q106" s="308"/>
      <c r="R106" s="309"/>
      <c r="S106" s="310">
        <f t="shared" si="28"/>
        <v>0</v>
      </c>
      <c r="T106" s="311"/>
      <c r="U106" s="312"/>
      <c r="V106" s="313">
        <f t="shared" si="29"/>
        <v>0</v>
      </c>
      <c r="W106" s="308"/>
      <c r="X106" s="309"/>
      <c r="Y106" s="310">
        <f t="shared" si="30"/>
        <v>0</v>
      </c>
      <c r="Z106" s="311"/>
      <c r="AA106" s="312"/>
      <c r="AB106" s="313">
        <f t="shared" si="31"/>
        <v>0</v>
      </c>
      <c r="AC106" s="308"/>
      <c r="AD106" s="309"/>
      <c r="AE106" s="310">
        <f t="shared" si="32"/>
        <v>0</v>
      </c>
      <c r="AF106" s="311"/>
      <c r="AG106" s="312"/>
      <c r="AH106" s="313">
        <f t="shared" si="33"/>
        <v>0</v>
      </c>
      <c r="AI106" s="308">
        <v>128</v>
      </c>
      <c r="AJ106" s="309">
        <v>52080</v>
      </c>
      <c r="AK106" s="310">
        <f t="shared" si="34"/>
        <v>6666240</v>
      </c>
      <c r="AL106" s="380">
        <v>135</v>
      </c>
      <c r="AM106" s="312">
        <v>52089</v>
      </c>
      <c r="AN106" s="313">
        <f t="shared" si="35"/>
        <v>7032015</v>
      </c>
      <c r="AO106" s="308"/>
      <c r="AP106" s="309"/>
      <c r="AQ106" s="310">
        <f t="shared" si="36"/>
        <v>0</v>
      </c>
      <c r="AR106" s="311"/>
      <c r="AS106" s="312"/>
      <c r="AT106" s="313">
        <f t="shared" si="37"/>
        <v>0</v>
      </c>
      <c r="AU106" s="308"/>
      <c r="AV106" s="309"/>
      <c r="AW106" s="310">
        <f t="shared" si="38"/>
        <v>0</v>
      </c>
      <c r="AX106" s="311"/>
      <c r="AY106" s="312"/>
      <c r="AZ106" s="313">
        <f t="shared" si="39"/>
        <v>0</v>
      </c>
      <c r="BA106" s="308"/>
      <c r="BB106" s="309"/>
      <c r="BC106" s="310">
        <f t="shared" si="40"/>
        <v>0</v>
      </c>
      <c r="BD106" s="311"/>
      <c r="BE106" s="312"/>
      <c r="BF106" s="313">
        <f t="shared" si="41"/>
        <v>0</v>
      </c>
      <c r="BG106" s="308"/>
      <c r="BH106" s="309"/>
      <c r="BI106" s="310">
        <f t="shared" si="42"/>
        <v>0</v>
      </c>
      <c r="BJ106" s="311"/>
      <c r="BK106" s="312"/>
      <c r="BL106" s="313">
        <f t="shared" si="43"/>
        <v>0</v>
      </c>
      <c r="BM106" s="308"/>
      <c r="BN106" s="309"/>
      <c r="BO106" s="310">
        <f t="shared" si="44"/>
        <v>0</v>
      </c>
      <c r="BP106" s="311"/>
      <c r="BQ106" s="312"/>
      <c r="BR106" s="313">
        <f t="shared" si="45"/>
        <v>0</v>
      </c>
      <c r="BS106" s="308"/>
      <c r="BT106" s="309"/>
      <c r="BU106" s="310">
        <f t="shared" si="46"/>
        <v>0</v>
      </c>
      <c r="BV106" s="380"/>
      <c r="BW106" s="312"/>
      <c r="BX106" s="313">
        <f t="shared" si="47"/>
        <v>0</v>
      </c>
    </row>
    <row r="107" spans="1:76">
      <c r="A107" s="354" t="s">
        <v>450</v>
      </c>
      <c r="B107" s="355" t="s">
        <v>248</v>
      </c>
      <c r="C107" s="354">
        <v>136358</v>
      </c>
      <c r="D107" s="354">
        <v>8</v>
      </c>
      <c r="E107" s="308"/>
      <c r="F107" s="309"/>
      <c r="G107" s="310">
        <f t="shared" si="24"/>
        <v>0</v>
      </c>
      <c r="H107" s="311"/>
      <c r="I107" s="312"/>
      <c r="J107" s="313">
        <f t="shared" si="25"/>
        <v>0</v>
      </c>
      <c r="K107" s="308"/>
      <c r="L107" s="309"/>
      <c r="M107" s="310">
        <f t="shared" si="26"/>
        <v>0</v>
      </c>
      <c r="N107" s="311"/>
      <c r="O107" s="312"/>
      <c r="P107" s="313">
        <f t="shared" si="27"/>
        <v>0</v>
      </c>
      <c r="Q107" s="308"/>
      <c r="R107" s="309"/>
      <c r="S107" s="310">
        <f t="shared" si="28"/>
        <v>0</v>
      </c>
      <c r="T107" s="311"/>
      <c r="U107" s="312"/>
      <c r="V107" s="313">
        <f t="shared" si="29"/>
        <v>0</v>
      </c>
      <c r="W107" s="308"/>
      <c r="X107" s="309"/>
      <c r="Y107" s="310">
        <f t="shared" si="30"/>
        <v>0</v>
      </c>
      <c r="Z107" s="311"/>
      <c r="AA107" s="312"/>
      <c r="AB107" s="313">
        <f t="shared" si="31"/>
        <v>0</v>
      </c>
      <c r="AC107" s="308"/>
      <c r="AD107" s="309"/>
      <c r="AE107" s="310">
        <f t="shared" si="32"/>
        <v>0</v>
      </c>
      <c r="AF107" s="311"/>
      <c r="AG107" s="312"/>
      <c r="AH107" s="313">
        <f t="shared" si="33"/>
        <v>0</v>
      </c>
      <c r="AI107" s="308">
        <v>235</v>
      </c>
      <c r="AJ107" s="309">
        <v>54250</v>
      </c>
      <c r="AK107" s="310">
        <f t="shared" si="34"/>
        <v>12748750</v>
      </c>
      <c r="AL107" s="380">
        <v>240</v>
      </c>
      <c r="AM107" s="312">
        <v>56480</v>
      </c>
      <c r="AN107" s="313">
        <f t="shared" si="35"/>
        <v>13555200</v>
      </c>
      <c r="AO107" s="308"/>
      <c r="AP107" s="309"/>
      <c r="AQ107" s="310">
        <f t="shared" si="36"/>
        <v>0</v>
      </c>
      <c r="AR107" s="311"/>
      <c r="AS107" s="312"/>
      <c r="AT107" s="313">
        <f t="shared" si="37"/>
        <v>0</v>
      </c>
      <c r="AU107" s="308"/>
      <c r="AV107" s="309"/>
      <c r="AW107" s="310">
        <f t="shared" si="38"/>
        <v>0</v>
      </c>
      <c r="AX107" s="311"/>
      <c r="AY107" s="312"/>
      <c r="AZ107" s="313">
        <f t="shared" si="39"/>
        <v>0</v>
      </c>
      <c r="BA107" s="308"/>
      <c r="BB107" s="309"/>
      <c r="BC107" s="310">
        <f t="shared" si="40"/>
        <v>0</v>
      </c>
      <c r="BD107" s="311"/>
      <c r="BE107" s="312"/>
      <c r="BF107" s="313">
        <f t="shared" si="41"/>
        <v>0</v>
      </c>
      <c r="BG107" s="308"/>
      <c r="BH107" s="309"/>
      <c r="BI107" s="310">
        <f t="shared" si="42"/>
        <v>0</v>
      </c>
      <c r="BJ107" s="311"/>
      <c r="BK107" s="312"/>
      <c r="BL107" s="313">
        <f t="shared" si="43"/>
        <v>0</v>
      </c>
      <c r="BM107" s="308"/>
      <c r="BN107" s="309"/>
      <c r="BO107" s="310">
        <f t="shared" si="44"/>
        <v>0</v>
      </c>
      <c r="BP107" s="311"/>
      <c r="BQ107" s="312"/>
      <c r="BR107" s="313">
        <f t="shared" si="45"/>
        <v>0</v>
      </c>
      <c r="BS107" s="308"/>
      <c r="BT107" s="309"/>
      <c r="BU107" s="310">
        <f t="shared" si="46"/>
        <v>0</v>
      </c>
      <c r="BV107" s="380"/>
      <c r="BW107" s="312"/>
      <c r="BX107" s="313">
        <f t="shared" si="47"/>
        <v>0</v>
      </c>
    </row>
    <row r="108" spans="1:76">
      <c r="A108" s="354" t="s">
        <v>450</v>
      </c>
      <c r="B108" s="442" t="s">
        <v>249</v>
      </c>
      <c r="C108" s="443">
        <v>136400</v>
      </c>
      <c r="D108" s="444">
        <v>8</v>
      </c>
      <c r="E108" s="308"/>
      <c r="F108" s="309"/>
      <c r="G108" s="310">
        <f t="shared" si="24"/>
        <v>0</v>
      </c>
      <c r="H108" s="311"/>
      <c r="I108" s="312"/>
      <c r="J108" s="313">
        <f t="shared" si="25"/>
        <v>0</v>
      </c>
      <c r="K108" s="308"/>
      <c r="L108" s="309"/>
      <c r="M108" s="310">
        <f t="shared" si="26"/>
        <v>0</v>
      </c>
      <c r="N108" s="311"/>
      <c r="O108" s="312"/>
      <c r="P108" s="313">
        <f t="shared" si="27"/>
        <v>0</v>
      </c>
      <c r="Q108" s="308"/>
      <c r="R108" s="309"/>
      <c r="S108" s="310">
        <f t="shared" si="28"/>
        <v>0</v>
      </c>
      <c r="T108" s="311"/>
      <c r="U108" s="312"/>
      <c r="V108" s="313">
        <f t="shared" si="29"/>
        <v>0</v>
      </c>
      <c r="W108" s="308"/>
      <c r="X108" s="309"/>
      <c r="Y108" s="310">
        <f t="shared" si="30"/>
        <v>0</v>
      </c>
      <c r="Z108" s="311"/>
      <c r="AA108" s="312"/>
      <c r="AB108" s="313">
        <f t="shared" si="31"/>
        <v>0</v>
      </c>
      <c r="AC108" s="308"/>
      <c r="AD108" s="309"/>
      <c r="AE108" s="310">
        <f t="shared" si="32"/>
        <v>0</v>
      </c>
      <c r="AF108" s="311"/>
      <c r="AG108" s="312"/>
      <c r="AH108" s="313">
        <f t="shared" si="33"/>
        <v>0</v>
      </c>
      <c r="AI108" s="308">
        <v>103</v>
      </c>
      <c r="AJ108" s="309">
        <v>49728</v>
      </c>
      <c r="AK108" s="310">
        <f t="shared" si="34"/>
        <v>5121984</v>
      </c>
      <c r="AL108" s="380">
        <v>104</v>
      </c>
      <c r="AM108" s="312">
        <v>50951</v>
      </c>
      <c r="AN108" s="313">
        <f t="shared" si="35"/>
        <v>5298904</v>
      </c>
      <c r="AO108" s="308"/>
      <c r="AP108" s="309"/>
      <c r="AQ108" s="310">
        <f t="shared" si="36"/>
        <v>0</v>
      </c>
      <c r="AR108" s="311"/>
      <c r="AS108" s="312"/>
      <c r="AT108" s="313">
        <f t="shared" si="37"/>
        <v>0</v>
      </c>
      <c r="AU108" s="308"/>
      <c r="AV108" s="309"/>
      <c r="AW108" s="310">
        <f t="shared" si="38"/>
        <v>0</v>
      </c>
      <c r="AX108" s="311"/>
      <c r="AY108" s="312"/>
      <c r="AZ108" s="313">
        <f t="shared" si="39"/>
        <v>0</v>
      </c>
      <c r="BA108" s="308"/>
      <c r="BB108" s="309"/>
      <c r="BC108" s="310">
        <f t="shared" si="40"/>
        <v>0</v>
      </c>
      <c r="BD108" s="311"/>
      <c r="BE108" s="312"/>
      <c r="BF108" s="313">
        <f t="shared" si="41"/>
        <v>0</v>
      </c>
      <c r="BG108" s="308"/>
      <c r="BH108" s="309"/>
      <c r="BI108" s="310">
        <f t="shared" si="42"/>
        <v>0</v>
      </c>
      <c r="BJ108" s="311"/>
      <c r="BK108" s="312"/>
      <c r="BL108" s="313">
        <f t="shared" si="43"/>
        <v>0</v>
      </c>
      <c r="BM108" s="308"/>
      <c r="BN108" s="309"/>
      <c r="BO108" s="310">
        <f t="shared" si="44"/>
        <v>0</v>
      </c>
      <c r="BP108" s="311"/>
      <c r="BQ108" s="312"/>
      <c r="BR108" s="313">
        <f t="shared" si="45"/>
        <v>0</v>
      </c>
      <c r="BS108" s="308"/>
      <c r="BT108" s="309"/>
      <c r="BU108" s="310">
        <f t="shared" si="46"/>
        <v>0</v>
      </c>
      <c r="BV108" s="380"/>
      <c r="BW108" s="312"/>
      <c r="BX108" s="313">
        <f t="shared" si="47"/>
        <v>0</v>
      </c>
    </row>
    <row r="109" spans="1:76">
      <c r="A109" s="354" t="s">
        <v>450</v>
      </c>
      <c r="B109" s="359" t="s">
        <v>250</v>
      </c>
      <c r="C109" s="360">
        <v>136473</v>
      </c>
      <c r="D109" s="356">
        <v>8</v>
      </c>
      <c r="E109" s="308"/>
      <c r="F109" s="309"/>
      <c r="G109" s="310">
        <f t="shared" si="24"/>
        <v>0</v>
      </c>
      <c r="H109" s="311"/>
      <c r="I109" s="312"/>
      <c r="J109" s="313">
        <f t="shared" si="25"/>
        <v>0</v>
      </c>
      <c r="K109" s="308"/>
      <c r="L109" s="309"/>
      <c r="M109" s="310">
        <f t="shared" si="26"/>
        <v>0</v>
      </c>
      <c r="N109" s="311"/>
      <c r="O109" s="312"/>
      <c r="P109" s="313">
        <f t="shared" si="27"/>
        <v>0</v>
      </c>
      <c r="Q109" s="308"/>
      <c r="R109" s="309"/>
      <c r="S109" s="310">
        <f t="shared" si="28"/>
        <v>0</v>
      </c>
      <c r="T109" s="311"/>
      <c r="U109" s="312"/>
      <c r="V109" s="313">
        <f t="shared" si="29"/>
        <v>0</v>
      </c>
      <c r="W109" s="308"/>
      <c r="X109" s="309"/>
      <c r="Y109" s="310">
        <f t="shared" si="30"/>
        <v>0</v>
      </c>
      <c r="Z109" s="311"/>
      <c r="AA109" s="312"/>
      <c r="AB109" s="313">
        <f t="shared" si="31"/>
        <v>0</v>
      </c>
      <c r="AC109" s="308"/>
      <c r="AD109" s="309"/>
      <c r="AE109" s="310">
        <f t="shared" si="32"/>
        <v>0</v>
      </c>
      <c r="AF109" s="311"/>
      <c r="AG109" s="312"/>
      <c r="AH109" s="313">
        <f t="shared" si="33"/>
        <v>0</v>
      </c>
      <c r="AI109" s="308">
        <v>222</v>
      </c>
      <c r="AJ109" s="309">
        <v>48697</v>
      </c>
      <c r="AK109" s="310">
        <f t="shared" si="34"/>
        <v>10810734</v>
      </c>
      <c r="AL109" s="380">
        <v>217</v>
      </c>
      <c r="AM109" s="312">
        <v>48127</v>
      </c>
      <c r="AN109" s="313">
        <f t="shared" si="35"/>
        <v>10443559</v>
      </c>
      <c r="AO109" s="308"/>
      <c r="AP109" s="309"/>
      <c r="AQ109" s="310">
        <f t="shared" si="36"/>
        <v>0</v>
      </c>
      <c r="AR109" s="311"/>
      <c r="AS109" s="312"/>
      <c r="AT109" s="313">
        <f t="shared" si="37"/>
        <v>0</v>
      </c>
      <c r="AU109" s="308"/>
      <c r="AV109" s="309"/>
      <c r="AW109" s="310">
        <f t="shared" si="38"/>
        <v>0</v>
      </c>
      <c r="AX109" s="311"/>
      <c r="AY109" s="312"/>
      <c r="AZ109" s="313">
        <f t="shared" si="39"/>
        <v>0</v>
      </c>
      <c r="BA109" s="308"/>
      <c r="BB109" s="309"/>
      <c r="BC109" s="310">
        <f t="shared" si="40"/>
        <v>0</v>
      </c>
      <c r="BD109" s="311"/>
      <c r="BE109" s="312"/>
      <c r="BF109" s="313">
        <f t="shared" si="41"/>
        <v>0</v>
      </c>
      <c r="BG109" s="308"/>
      <c r="BH109" s="309"/>
      <c r="BI109" s="310">
        <f t="shared" si="42"/>
        <v>0</v>
      </c>
      <c r="BJ109" s="311"/>
      <c r="BK109" s="312"/>
      <c r="BL109" s="313">
        <f t="shared" si="43"/>
        <v>0</v>
      </c>
      <c r="BM109" s="308"/>
      <c r="BN109" s="309"/>
      <c r="BO109" s="310">
        <f t="shared" si="44"/>
        <v>0</v>
      </c>
      <c r="BP109" s="311"/>
      <c r="BQ109" s="312"/>
      <c r="BR109" s="313">
        <f t="shared" si="45"/>
        <v>0</v>
      </c>
      <c r="BS109" s="308"/>
      <c r="BT109" s="309"/>
      <c r="BU109" s="310">
        <f t="shared" si="46"/>
        <v>0</v>
      </c>
      <c r="BV109" s="380"/>
      <c r="BW109" s="312"/>
      <c r="BX109" s="313">
        <f t="shared" si="47"/>
        <v>0</v>
      </c>
    </row>
    <row r="110" spans="1:76">
      <c r="A110" s="354" t="s">
        <v>450</v>
      </c>
      <c r="B110" s="359" t="s">
        <v>254</v>
      </c>
      <c r="C110" s="360">
        <v>137096</v>
      </c>
      <c r="D110" s="356">
        <v>8</v>
      </c>
      <c r="E110" s="308"/>
      <c r="F110" s="309"/>
      <c r="G110" s="310">
        <f t="shared" si="24"/>
        <v>0</v>
      </c>
      <c r="H110" s="311"/>
      <c r="I110" s="312"/>
      <c r="J110" s="313">
        <f t="shared" si="25"/>
        <v>0</v>
      </c>
      <c r="K110" s="308"/>
      <c r="L110" s="309"/>
      <c r="M110" s="310">
        <f t="shared" si="26"/>
        <v>0</v>
      </c>
      <c r="N110" s="311"/>
      <c r="O110" s="312"/>
      <c r="P110" s="313">
        <f t="shared" si="27"/>
        <v>0</v>
      </c>
      <c r="Q110" s="308"/>
      <c r="R110" s="309"/>
      <c r="S110" s="310">
        <f t="shared" si="28"/>
        <v>0</v>
      </c>
      <c r="T110" s="311"/>
      <c r="U110" s="312"/>
      <c r="V110" s="313">
        <f t="shared" si="29"/>
        <v>0</v>
      </c>
      <c r="W110" s="308"/>
      <c r="X110" s="309"/>
      <c r="Y110" s="310">
        <f t="shared" si="30"/>
        <v>0</v>
      </c>
      <c r="Z110" s="311"/>
      <c r="AA110" s="312"/>
      <c r="AB110" s="313">
        <f t="shared" si="31"/>
        <v>0</v>
      </c>
      <c r="AC110" s="308"/>
      <c r="AD110" s="309"/>
      <c r="AE110" s="310">
        <f t="shared" si="32"/>
        <v>0</v>
      </c>
      <c r="AF110" s="311"/>
      <c r="AG110" s="312"/>
      <c r="AH110" s="313">
        <f t="shared" si="33"/>
        <v>0</v>
      </c>
      <c r="AI110" s="308">
        <v>252</v>
      </c>
      <c r="AJ110" s="309">
        <v>46878</v>
      </c>
      <c r="AK110" s="310">
        <f t="shared" si="34"/>
        <v>11813256</v>
      </c>
      <c r="AL110" s="380">
        <v>244</v>
      </c>
      <c r="AM110" s="312">
        <v>46149</v>
      </c>
      <c r="AN110" s="313">
        <f t="shared" si="35"/>
        <v>11260356</v>
      </c>
      <c r="AO110" s="308"/>
      <c r="AP110" s="309"/>
      <c r="AQ110" s="310">
        <f t="shared" si="36"/>
        <v>0</v>
      </c>
      <c r="AR110" s="311"/>
      <c r="AS110" s="312"/>
      <c r="AT110" s="313">
        <f t="shared" si="37"/>
        <v>0</v>
      </c>
      <c r="AU110" s="308"/>
      <c r="AV110" s="309"/>
      <c r="AW110" s="310">
        <f t="shared" si="38"/>
        <v>0</v>
      </c>
      <c r="AX110" s="311"/>
      <c r="AY110" s="312"/>
      <c r="AZ110" s="313">
        <f t="shared" si="39"/>
        <v>0</v>
      </c>
      <c r="BA110" s="308"/>
      <c r="BB110" s="309"/>
      <c r="BC110" s="310">
        <f t="shared" si="40"/>
        <v>0</v>
      </c>
      <c r="BD110" s="311"/>
      <c r="BE110" s="312"/>
      <c r="BF110" s="313">
        <f t="shared" si="41"/>
        <v>0</v>
      </c>
      <c r="BG110" s="308"/>
      <c r="BH110" s="309"/>
      <c r="BI110" s="310">
        <f t="shared" si="42"/>
        <v>0</v>
      </c>
      <c r="BJ110" s="311"/>
      <c r="BK110" s="312"/>
      <c r="BL110" s="313">
        <f t="shared" si="43"/>
        <v>0</v>
      </c>
      <c r="BM110" s="308"/>
      <c r="BN110" s="309"/>
      <c r="BO110" s="310">
        <f t="shared" si="44"/>
        <v>0</v>
      </c>
      <c r="BP110" s="311"/>
      <c r="BQ110" s="312"/>
      <c r="BR110" s="313">
        <f t="shared" si="45"/>
        <v>0</v>
      </c>
      <c r="BS110" s="308"/>
      <c r="BT110" s="309"/>
      <c r="BU110" s="310">
        <f t="shared" si="46"/>
        <v>0</v>
      </c>
      <c r="BV110" s="380"/>
      <c r="BW110" s="312"/>
      <c r="BX110" s="313">
        <f t="shared" si="47"/>
        <v>0</v>
      </c>
    </row>
    <row r="111" spans="1:76">
      <c r="A111" s="354" t="s">
        <v>450</v>
      </c>
      <c r="B111" s="359" t="s">
        <v>255</v>
      </c>
      <c r="C111" s="360">
        <v>137209</v>
      </c>
      <c r="D111" s="356">
        <v>8</v>
      </c>
      <c r="E111" s="308"/>
      <c r="F111" s="309"/>
      <c r="G111" s="310">
        <f t="shared" si="24"/>
        <v>0</v>
      </c>
      <c r="H111" s="311"/>
      <c r="I111" s="312"/>
      <c r="J111" s="313">
        <f t="shared" si="25"/>
        <v>0</v>
      </c>
      <c r="K111" s="308"/>
      <c r="L111" s="309"/>
      <c r="M111" s="310">
        <f t="shared" si="26"/>
        <v>0</v>
      </c>
      <c r="N111" s="311"/>
      <c r="O111" s="312"/>
      <c r="P111" s="313">
        <f t="shared" si="27"/>
        <v>0</v>
      </c>
      <c r="Q111" s="308"/>
      <c r="R111" s="309"/>
      <c r="S111" s="310">
        <f t="shared" si="28"/>
        <v>0</v>
      </c>
      <c r="T111" s="311"/>
      <c r="U111" s="312"/>
      <c r="V111" s="313">
        <f t="shared" si="29"/>
        <v>0</v>
      </c>
      <c r="W111" s="308"/>
      <c r="X111" s="309"/>
      <c r="Y111" s="310">
        <f t="shared" si="30"/>
        <v>0</v>
      </c>
      <c r="Z111" s="311"/>
      <c r="AA111" s="312"/>
      <c r="AB111" s="313">
        <f t="shared" si="31"/>
        <v>0</v>
      </c>
      <c r="AC111" s="308"/>
      <c r="AD111" s="309"/>
      <c r="AE111" s="310">
        <f t="shared" si="32"/>
        <v>0</v>
      </c>
      <c r="AF111" s="311"/>
      <c r="AG111" s="312"/>
      <c r="AH111" s="313">
        <f t="shared" si="33"/>
        <v>0</v>
      </c>
      <c r="AI111" s="308">
        <v>187</v>
      </c>
      <c r="AJ111" s="309">
        <v>48277</v>
      </c>
      <c r="AK111" s="310">
        <f t="shared" si="34"/>
        <v>9027799</v>
      </c>
      <c r="AL111" s="380">
        <v>197</v>
      </c>
      <c r="AM111" s="312">
        <v>53163</v>
      </c>
      <c r="AN111" s="313">
        <f t="shared" si="35"/>
        <v>10473111</v>
      </c>
      <c r="AO111" s="308"/>
      <c r="AP111" s="309"/>
      <c r="AQ111" s="310">
        <f t="shared" si="36"/>
        <v>0</v>
      </c>
      <c r="AR111" s="311"/>
      <c r="AS111" s="312"/>
      <c r="AT111" s="313">
        <f t="shared" si="37"/>
        <v>0</v>
      </c>
      <c r="AU111" s="308"/>
      <c r="AV111" s="309"/>
      <c r="AW111" s="310">
        <f t="shared" si="38"/>
        <v>0</v>
      </c>
      <c r="AX111" s="311"/>
      <c r="AY111" s="312"/>
      <c r="AZ111" s="313">
        <f t="shared" si="39"/>
        <v>0</v>
      </c>
      <c r="BA111" s="308"/>
      <c r="BB111" s="309"/>
      <c r="BC111" s="310">
        <f t="shared" si="40"/>
        <v>0</v>
      </c>
      <c r="BD111" s="311"/>
      <c r="BE111" s="312"/>
      <c r="BF111" s="313">
        <f t="shared" si="41"/>
        <v>0</v>
      </c>
      <c r="BG111" s="308"/>
      <c r="BH111" s="309"/>
      <c r="BI111" s="310">
        <f t="shared" si="42"/>
        <v>0</v>
      </c>
      <c r="BJ111" s="311"/>
      <c r="BK111" s="312"/>
      <c r="BL111" s="313">
        <f t="shared" si="43"/>
        <v>0</v>
      </c>
      <c r="BM111" s="308"/>
      <c r="BN111" s="309"/>
      <c r="BO111" s="310">
        <f t="shared" si="44"/>
        <v>0</v>
      </c>
      <c r="BP111" s="311"/>
      <c r="BQ111" s="312"/>
      <c r="BR111" s="313">
        <f t="shared" si="45"/>
        <v>0</v>
      </c>
      <c r="BS111" s="308"/>
      <c r="BT111" s="309"/>
      <c r="BU111" s="310">
        <f t="shared" si="46"/>
        <v>0</v>
      </c>
      <c r="BV111" s="380"/>
      <c r="BW111" s="312"/>
      <c r="BX111" s="313">
        <f t="shared" si="47"/>
        <v>0</v>
      </c>
    </row>
    <row r="112" spans="1:76">
      <c r="A112" s="354" t="s">
        <v>450</v>
      </c>
      <c r="B112" s="359" t="s">
        <v>257</v>
      </c>
      <c r="C112" s="360">
        <v>137759</v>
      </c>
      <c r="D112" s="356">
        <v>8</v>
      </c>
      <c r="E112" s="308"/>
      <c r="F112" s="309"/>
      <c r="G112" s="310">
        <f t="shared" si="24"/>
        <v>0</v>
      </c>
      <c r="H112" s="311"/>
      <c r="I112" s="312"/>
      <c r="J112" s="313">
        <f t="shared" si="25"/>
        <v>0</v>
      </c>
      <c r="K112" s="308"/>
      <c r="L112" s="309"/>
      <c r="M112" s="310">
        <f t="shared" si="26"/>
        <v>0</v>
      </c>
      <c r="N112" s="311"/>
      <c r="O112" s="312"/>
      <c r="P112" s="313">
        <f t="shared" si="27"/>
        <v>0</v>
      </c>
      <c r="Q112" s="308"/>
      <c r="R112" s="309"/>
      <c r="S112" s="310">
        <f t="shared" si="28"/>
        <v>0</v>
      </c>
      <c r="T112" s="311"/>
      <c r="U112" s="312"/>
      <c r="V112" s="313">
        <f t="shared" si="29"/>
        <v>0</v>
      </c>
      <c r="W112" s="308"/>
      <c r="X112" s="309"/>
      <c r="Y112" s="310">
        <f t="shared" si="30"/>
        <v>0</v>
      </c>
      <c r="Z112" s="311"/>
      <c r="AA112" s="312"/>
      <c r="AB112" s="313">
        <f t="shared" si="31"/>
        <v>0</v>
      </c>
      <c r="AC112" s="308"/>
      <c r="AD112" s="309"/>
      <c r="AE112" s="310">
        <f t="shared" si="32"/>
        <v>0</v>
      </c>
      <c r="AF112" s="311"/>
      <c r="AG112" s="312"/>
      <c r="AH112" s="313">
        <f t="shared" si="33"/>
        <v>0</v>
      </c>
      <c r="AI112" s="308">
        <v>180</v>
      </c>
      <c r="AJ112" s="309">
        <v>60786</v>
      </c>
      <c r="AK112" s="310">
        <f t="shared" si="34"/>
        <v>10941480</v>
      </c>
      <c r="AL112" s="380">
        <v>179</v>
      </c>
      <c r="AM112" s="312">
        <v>59823</v>
      </c>
      <c r="AN112" s="313">
        <f t="shared" si="35"/>
        <v>10708317</v>
      </c>
      <c r="AO112" s="308"/>
      <c r="AP112" s="309"/>
      <c r="AQ112" s="310">
        <f t="shared" si="36"/>
        <v>0</v>
      </c>
      <c r="AR112" s="311"/>
      <c r="AS112" s="312"/>
      <c r="AT112" s="313">
        <f t="shared" si="37"/>
        <v>0</v>
      </c>
      <c r="AU112" s="308"/>
      <c r="AV112" s="309"/>
      <c r="AW112" s="310">
        <f t="shared" si="38"/>
        <v>0</v>
      </c>
      <c r="AX112" s="311"/>
      <c r="AY112" s="312"/>
      <c r="AZ112" s="313">
        <f t="shared" si="39"/>
        <v>0</v>
      </c>
      <c r="BA112" s="308"/>
      <c r="BB112" s="309"/>
      <c r="BC112" s="310">
        <f t="shared" si="40"/>
        <v>0</v>
      </c>
      <c r="BD112" s="311"/>
      <c r="BE112" s="312"/>
      <c r="BF112" s="313">
        <f t="shared" si="41"/>
        <v>0</v>
      </c>
      <c r="BG112" s="308"/>
      <c r="BH112" s="309"/>
      <c r="BI112" s="310">
        <f t="shared" si="42"/>
        <v>0</v>
      </c>
      <c r="BJ112" s="311"/>
      <c r="BK112" s="312"/>
      <c r="BL112" s="313">
        <f t="shared" si="43"/>
        <v>0</v>
      </c>
      <c r="BM112" s="308"/>
      <c r="BN112" s="309"/>
      <c r="BO112" s="310">
        <f t="shared" si="44"/>
        <v>0</v>
      </c>
      <c r="BP112" s="311"/>
      <c r="BQ112" s="312"/>
      <c r="BR112" s="313">
        <f t="shared" si="45"/>
        <v>0</v>
      </c>
      <c r="BS112" s="308"/>
      <c r="BT112" s="309"/>
      <c r="BU112" s="310">
        <f t="shared" si="46"/>
        <v>0</v>
      </c>
      <c r="BV112" s="380"/>
      <c r="BW112" s="312"/>
      <c r="BX112" s="313">
        <f t="shared" si="47"/>
        <v>0</v>
      </c>
    </row>
    <row r="113" spans="1:76">
      <c r="A113" s="354" t="s">
        <v>450</v>
      </c>
      <c r="B113" s="359" t="s">
        <v>258</v>
      </c>
      <c r="C113" s="360">
        <v>138187</v>
      </c>
      <c r="D113" s="356">
        <v>8</v>
      </c>
      <c r="E113" s="308"/>
      <c r="F113" s="309"/>
      <c r="G113" s="310">
        <f t="shared" si="24"/>
        <v>0</v>
      </c>
      <c r="H113" s="311"/>
      <c r="I113" s="312"/>
      <c r="J113" s="313">
        <f t="shared" si="25"/>
        <v>0</v>
      </c>
      <c r="K113" s="308"/>
      <c r="L113" s="309"/>
      <c r="M113" s="310">
        <f t="shared" si="26"/>
        <v>0</v>
      </c>
      <c r="N113" s="311"/>
      <c r="O113" s="312"/>
      <c r="P113" s="313">
        <f t="shared" si="27"/>
        <v>0</v>
      </c>
      <c r="Q113" s="308"/>
      <c r="R113" s="309"/>
      <c r="S113" s="310">
        <f t="shared" si="28"/>
        <v>0</v>
      </c>
      <c r="T113" s="311"/>
      <c r="U113" s="312"/>
      <c r="V113" s="313">
        <f t="shared" si="29"/>
        <v>0</v>
      </c>
      <c r="W113" s="308"/>
      <c r="X113" s="309"/>
      <c r="Y113" s="310">
        <f t="shared" si="30"/>
        <v>0</v>
      </c>
      <c r="Z113" s="311"/>
      <c r="AA113" s="312"/>
      <c r="AB113" s="313">
        <f t="shared" si="31"/>
        <v>0</v>
      </c>
      <c r="AC113" s="308"/>
      <c r="AD113" s="309"/>
      <c r="AE113" s="310">
        <f t="shared" si="32"/>
        <v>0</v>
      </c>
      <c r="AF113" s="311"/>
      <c r="AG113" s="312"/>
      <c r="AH113" s="313">
        <f t="shared" si="33"/>
        <v>0</v>
      </c>
      <c r="AI113" s="308">
        <v>332</v>
      </c>
      <c r="AJ113" s="309">
        <v>52519</v>
      </c>
      <c r="AK113" s="310">
        <f t="shared" si="34"/>
        <v>17436308</v>
      </c>
      <c r="AL113" s="380">
        <v>351</v>
      </c>
      <c r="AM113" s="312">
        <v>52640</v>
      </c>
      <c r="AN113" s="313">
        <f t="shared" si="35"/>
        <v>18476640</v>
      </c>
      <c r="AO113" s="308"/>
      <c r="AP113" s="309"/>
      <c r="AQ113" s="310">
        <f t="shared" si="36"/>
        <v>0</v>
      </c>
      <c r="AR113" s="311"/>
      <c r="AS113" s="312"/>
      <c r="AT113" s="313">
        <f t="shared" si="37"/>
        <v>0</v>
      </c>
      <c r="AU113" s="308"/>
      <c r="AV113" s="309"/>
      <c r="AW113" s="310">
        <f t="shared" si="38"/>
        <v>0</v>
      </c>
      <c r="AX113" s="311"/>
      <c r="AY113" s="312"/>
      <c r="AZ113" s="313">
        <f t="shared" si="39"/>
        <v>0</v>
      </c>
      <c r="BA113" s="308"/>
      <c r="BB113" s="309"/>
      <c r="BC113" s="310">
        <f t="shared" si="40"/>
        <v>0</v>
      </c>
      <c r="BD113" s="311"/>
      <c r="BE113" s="312"/>
      <c r="BF113" s="313">
        <f t="shared" si="41"/>
        <v>0</v>
      </c>
      <c r="BG113" s="308"/>
      <c r="BH113" s="309"/>
      <c r="BI113" s="310">
        <f t="shared" si="42"/>
        <v>0</v>
      </c>
      <c r="BJ113" s="311"/>
      <c r="BK113" s="312"/>
      <c r="BL113" s="313">
        <f t="shared" si="43"/>
        <v>0</v>
      </c>
      <c r="BM113" s="308"/>
      <c r="BN113" s="309"/>
      <c r="BO113" s="310">
        <f t="shared" si="44"/>
        <v>0</v>
      </c>
      <c r="BP113" s="311"/>
      <c r="BQ113" s="312"/>
      <c r="BR113" s="313">
        <f t="shared" si="45"/>
        <v>0</v>
      </c>
      <c r="BS113" s="308"/>
      <c r="BT113" s="309"/>
      <c r="BU113" s="310">
        <f t="shared" si="46"/>
        <v>0</v>
      </c>
      <c r="BV113" s="380"/>
      <c r="BW113" s="312"/>
      <c r="BX113" s="313">
        <f t="shared" si="47"/>
        <v>0</v>
      </c>
    </row>
    <row r="114" spans="1:76">
      <c r="A114" s="354" t="s">
        <v>450</v>
      </c>
      <c r="B114" s="404" t="s">
        <v>235</v>
      </c>
      <c r="C114" s="360">
        <v>132851</v>
      </c>
      <c r="D114" s="356">
        <v>9</v>
      </c>
      <c r="E114" s="308"/>
      <c r="F114" s="309"/>
      <c r="G114" s="310">
        <f t="shared" si="24"/>
        <v>0</v>
      </c>
      <c r="H114" s="311"/>
      <c r="I114" s="312"/>
      <c r="J114" s="313">
        <f t="shared" si="25"/>
        <v>0</v>
      </c>
      <c r="K114" s="308"/>
      <c r="L114" s="309"/>
      <c r="M114" s="310">
        <f t="shared" si="26"/>
        <v>0</v>
      </c>
      <c r="N114" s="311"/>
      <c r="O114" s="312"/>
      <c r="P114" s="313">
        <f t="shared" si="27"/>
        <v>0</v>
      </c>
      <c r="Q114" s="308"/>
      <c r="R114" s="309"/>
      <c r="S114" s="310">
        <f t="shared" si="28"/>
        <v>0</v>
      </c>
      <c r="T114" s="311"/>
      <c r="U114" s="312"/>
      <c r="V114" s="313">
        <f t="shared" si="29"/>
        <v>0</v>
      </c>
      <c r="W114" s="308"/>
      <c r="X114" s="309"/>
      <c r="Y114" s="310">
        <f t="shared" si="30"/>
        <v>0</v>
      </c>
      <c r="Z114" s="311"/>
      <c r="AA114" s="312"/>
      <c r="AB114" s="313">
        <f t="shared" si="31"/>
        <v>0</v>
      </c>
      <c r="AC114" s="308"/>
      <c r="AD114" s="309"/>
      <c r="AE114" s="310">
        <f t="shared" si="32"/>
        <v>0</v>
      </c>
      <c r="AF114" s="311"/>
      <c r="AG114" s="312"/>
      <c r="AH114" s="313">
        <f t="shared" si="33"/>
        <v>0</v>
      </c>
      <c r="AI114" s="308">
        <v>108</v>
      </c>
      <c r="AJ114" s="309">
        <v>49715</v>
      </c>
      <c r="AK114" s="310">
        <f t="shared" si="34"/>
        <v>5369220</v>
      </c>
      <c r="AL114" s="380">
        <v>115</v>
      </c>
      <c r="AM114" s="312">
        <v>52079</v>
      </c>
      <c r="AN114" s="313">
        <f t="shared" si="35"/>
        <v>5989085</v>
      </c>
      <c r="AO114" s="308"/>
      <c r="AP114" s="309"/>
      <c r="AQ114" s="310">
        <f t="shared" si="36"/>
        <v>0</v>
      </c>
      <c r="AR114" s="311"/>
      <c r="AS114" s="312"/>
      <c r="AT114" s="313">
        <f t="shared" si="37"/>
        <v>0</v>
      </c>
      <c r="AU114" s="308"/>
      <c r="AV114" s="309"/>
      <c r="AW114" s="310">
        <f t="shared" si="38"/>
        <v>0</v>
      </c>
      <c r="AX114" s="311"/>
      <c r="AY114" s="312"/>
      <c r="AZ114" s="313">
        <f t="shared" si="39"/>
        <v>0</v>
      </c>
      <c r="BA114" s="308"/>
      <c r="BB114" s="309"/>
      <c r="BC114" s="310">
        <f t="shared" si="40"/>
        <v>0</v>
      </c>
      <c r="BD114" s="311"/>
      <c r="BE114" s="312"/>
      <c r="BF114" s="313">
        <f t="shared" si="41"/>
        <v>0</v>
      </c>
      <c r="BG114" s="308"/>
      <c r="BH114" s="309"/>
      <c r="BI114" s="310">
        <f t="shared" si="42"/>
        <v>0</v>
      </c>
      <c r="BJ114" s="311"/>
      <c r="BK114" s="312"/>
      <c r="BL114" s="313">
        <f t="shared" si="43"/>
        <v>0</v>
      </c>
      <c r="BM114" s="308"/>
      <c r="BN114" s="309"/>
      <c r="BO114" s="310">
        <f t="shared" si="44"/>
        <v>0</v>
      </c>
      <c r="BP114" s="311"/>
      <c r="BQ114" s="312"/>
      <c r="BR114" s="313">
        <f t="shared" si="45"/>
        <v>0</v>
      </c>
      <c r="BS114" s="308"/>
      <c r="BT114" s="309"/>
      <c r="BU114" s="310">
        <f t="shared" si="46"/>
        <v>0</v>
      </c>
      <c r="BV114" s="380"/>
      <c r="BW114" s="312"/>
      <c r="BX114" s="313">
        <f t="shared" si="47"/>
        <v>0</v>
      </c>
    </row>
    <row r="115" spans="1:76">
      <c r="A115" s="354" t="s">
        <v>450</v>
      </c>
      <c r="B115" s="359" t="s">
        <v>240</v>
      </c>
      <c r="C115" s="360">
        <v>134343</v>
      </c>
      <c r="D115" s="356">
        <v>9</v>
      </c>
      <c r="E115" s="308"/>
      <c r="F115" s="309"/>
      <c r="G115" s="310">
        <f t="shared" si="24"/>
        <v>0</v>
      </c>
      <c r="H115" s="311"/>
      <c r="I115" s="312"/>
      <c r="J115" s="313">
        <f t="shared" si="25"/>
        <v>0</v>
      </c>
      <c r="K115" s="308"/>
      <c r="L115" s="309"/>
      <c r="M115" s="310">
        <f t="shared" si="26"/>
        <v>0</v>
      </c>
      <c r="N115" s="311"/>
      <c r="O115" s="312"/>
      <c r="P115" s="313">
        <f t="shared" si="27"/>
        <v>0</v>
      </c>
      <c r="Q115" s="308"/>
      <c r="R115" s="309"/>
      <c r="S115" s="310">
        <f t="shared" si="28"/>
        <v>0</v>
      </c>
      <c r="T115" s="311"/>
      <c r="U115" s="312"/>
      <c r="V115" s="313">
        <f t="shared" si="29"/>
        <v>0</v>
      </c>
      <c r="W115" s="308"/>
      <c r="X115" s="309"/>
      <c r="Y115" s="310">
        <f t="shared" si="30"/>
        <v>0</v>
      </c>
      <c r="Z115" s="311"/>
      <c r="AA115" s="312"/>
      <c r="AB115" s="313">
        <f t="shared" si="31"/>
        <v>0</v>
      </c>
      <c r="AC115" s="308"/>
      <c r="AD115" s="309"/>
      <c r="AE115" s="310">
        <f t="shared" si="32"/>
        <v>0</v>
      </c>
      <c r="AF115" s="311"/>
      <c r="AG115" s="312"/>
      <c r="AH115" s="313">
        <f t="shared" si="33"/>
        <v>0</v>
      </c>
      <c r="AI115" s="308">
        <v>114</v>
      </c>
      <c r="AJ115" s="309">
        <v>52447</v>
      </c>
      <c r="AK115" s="310">
        <f t="shared" si="34"/>
        <v>5978958</v>
      </c>
      <c r="AL115" s="380">
        <v>115</v>
      </c>
      <c r="AM115" s="312">
        <v>50531</v>
      </c>
      <c r="AN115" s="313">
        <f t="shared" si="35"/>
        <v>5811065</v>
      </c>
      <c r="AO115" s="308"/>
      <c r="AP115" s="309"/>
      <c r="AQ115" s="310">
        <f t="shared" si="36"/>
        <v>0</v>
      </c>
      <c r="AR115" s="311"/>
      <c r="AS115" s="312"/>
      <c r="AT115" s="313">
        <f t="shared" si="37"/>
        <v>0</v>
      </c>
      <c r="AU115" s="308"/>
      <c r="AV115" s="309"/>
      <c r="AW115" s="310">
        <f t="shared" si="38"/>
        <v>0</v>
      </c>
      <c r="AX115" s="311"/>
      <c r="AY115" s="312"/>
      <c r="AZ115" s="313">
        <f t="shared" si="39"/>
        <v>0</v>
      </c>
      <c r="BA115" s="308"/>
      <c r="BB115" s="309"/>
      <c r="BC115" s="310">
        <f t="shared" si="40"/>
        <v>0</v>
      </c>
      <c r="BD115" s="311"/>
      <c r="BE115" s="312"/>
      <c r="BF115" s="313">
        <f t="shared" si="41"/>
        <v>0</v>
      </c>
      <c r="BG115" s="308"/>
      <c r="BH115" s="309"/>
      <c r="BI115" s="310">
        <f t="shared" si="42"/>
        <v>0</v>
      </c>
      <c r="BJ115" s="311"/>
      <c r="BK115" s="312"/>
      <c r="BL115" s="313">
        <f t="shared" si="43"/>
        <v>0</v>
      </c>
      <c r="BM115" s="308"/>
      <c r="BN115" s="309"/>
      <c r="BO115" s="310">
        <f t="shared" si="44"/>
        <v>0</v>
      </c>
      <c r="BP115" s="311"/>
      <c r="BQ115" s="312"/>
      <c r="BR115" s="313">
        <f t="shared" si="45"/>
        <v>0</v>
      </c>
      <c r="BS115" s="308"/>
      <c r="BT115" s="309"/>
      <c r="BU115" s="310">
        <f t="shared" si="46"/>
        <v>0</v>
      </c>
      <c r="BV115" s="380"/>
      <c r="BW115" s="312"/>
      <c r="BX115" s="313">
        <f t="shared" si="47"/>
        <v>0</v>
      </c>
    </row>
    <row r="116" spans="1:76">
      <c r="A116" s="354" t="s">
        <v>450</v>
      </c>
      <c r="B116" s="359" t="s">
        <v>243</v>
      </c>
      <c r="C116" s="360">
        <v>135160</v>
      </c>
      <c r="D116" s="356">
        <v>9</v>
      </c>
      <c r="E116" s="308"/>
      <c r="F116" s="309"/>
      <c r="G116" s="310">
        <f t="shared" si="24"/>
        <v>0</v>
      </c>
      <c r="H116" s="311"/>
      <c r="I116" s="312"/>
      <c r="J116" s="313">
        <f t="shared" si="25"/>
        <v>0</v>
      </c>
      <c r="K116" s="308"/>
      <c r="L116" s="309"/>
      <c r="M116" s="310">
        <f t="shared" si="26"/>
        <v>0</v>
      </c>
      <c r="N116" s="311"/>
      <c r="O116" s="312"/>
      <c r="P116" s="313">
        <f t="shared" si="27"/>
        <v>0</v>
      </c>
      <c r="Q116" s="308"/>
      <c r="R116" s="309"/>
      <c r="S116" s="310">
        <f t="shared" si="28"/>
        <v>0</v>
      </c>
      <c r="T116" s="311"/>
      <c r="U116" s="312"/>
      <c r="V116" s="313">
        <f t="shared" si="29"/>
        <v>0</v>
      </c>
      <c r="W116" s="308"/>
      <c r="X116" s="309"/>
      <c r="Y116" s="310">
        <f t="shared" si="30"/>
        <v>0</v>
      </c>
      <c r="Z116" s="311"/>
      <c r="AA116" s="312"/>
      <c r="AB116" s="313">
        <f t="shared" si="31"/>
        <v>0</v>
      </c>
      <c r="AC116" s="308"/>
      <c r="AD116" s="309"/>
      <c r="AE116" s="310">
        <f t="shared" si="32"/>
        <v>0</v>
      </c>
      <c r="AF116" s="311"/>
      <c r="AG116" s="312"/>
      <c r="AH116" s="313">
        <f t="shared" si="33"/>
        <v>0</v>
      </c>
      <c r="AI116" s="308">
        <v>62</v>
      </c>
      <c r="AJ116" s="309">
        <v>44470</v>
      </c>
      <c r="AK116" s="310">
        <f t="shared" si="34"/>
        <v>2757140</v>
      </c>
      <c r="AL116" s="380">
        <v>68</v>
      </c>
      <c r="AM116" s="312">
        <v>43843</v>
      </c>
      <c r="AN116" s="313">
        <f t="shared" si="35"/>
        <v>2981324</v>
      </c>
      <c r="AO116" s="308"/>
      <c r="AP116" s="309"/>
      <c r="AQ116" s="310">
        <f t="shared" si="36"/>
        <v>0</v>
      </c>
      <c r="AR116" s="311"/>
      <c r="AS116" s="312"/>
      <c r="AT116" s="313">
        <f t="shared" si="37"/>
        <v>0</v>
      </c>
      <c r="AU116" s="308"/>
      <c r="AV116" s="309"/>
      <c r="AW116" s="310">
        <f t="shared" si="38"/>
        <v>0</v>
      </c>
      <c r="AX116" s="311"/>
      <c r="AY116" s="312"/>
      <c r="AZ116" s="313">
        <f t="shared" si="39"/>
        <v>0</v>
      </c>
      <c r="BA116" s="308"/>
      <c r="BB116" s="309"/>
      <c r="BC116" s="310">
        <f t="shared" si="40"/>
        <v>0</v>
      </c>
      <c r="BD116" s="311"/>
      <c r="BE116" s="312"/>
      <c r="BF116" s="313">
        <f t="shared" si="41"/>
        <v>0</v>
      </c>
      <c r="BG116" s="308"/>
      <c r="BH116" s="309"/>
      <c r="BI116" s="310">
        <f t="shared" si="42"/>
        <v>0</v>
      </c>
      <c r="BJ116" s="311"/>
      <c r="BK116" s="312"/>
      <c r="BL116" s="313">
        <f t="shared" si="43"/>
        <v>0</v>
      </c>
      <c r="BM116" s="308"/>
      <c r="BN116" s="309"/>
      <c r="BO116" s="310">
        <f t="shared" si="44"/>
        <v>0</v>
      </c>
      <c r="BP116" s="311"/>
      <c r="BQ116" s="312"/>
      <c r="BR116" s="313">
        <f t="shared" si="45"/>
        <v>0</v>
      </c>
      <c r="BS116" s="308"/>
      <c r="BT116" s="309"/>
      <c r="BU116" s="310">
        <f t="shared" si="46"/>
        <v>0</v>
      </c>
      <c r="BV116" s="311"/>
      <c r="BW116" s="312"/>
      <c r="BX116" s="313">
        <f t="shared" si="47"/>
        <v>0</v>
      </c>
    </row>
    <row r="117" spans="1:76">
      <c r="A117" s="354" t="s">
        <v>450</v>
      </c>
      <c r="B117" s="359" t="s">
        <v>244</v>
      </c>
      <c r="C117" s="360">
        <v>135188</v>
      </c>
      <c r="D117" s="356">
        <v>9</v>
      </c>
      <c r="E117" s="308"/>
      <c r="F117" s="309"/>
      <c r="G117" s="310">
        <f t="shared" si="24"/>
        <v>0</v>
      </c>
      <c r="H117" s="311"/>
      <c r="I117" s="312"/>
      <c r="J117" s="313">
        <f t="shared" si="25"/>
        <v>0</v>
      </c>
      <c r="K117" s="308"/>
      <c r="L117" s="309"/>
      <c r="M117" s="310">
        <f t="shared" si="26"/>
        <v>0</v>
      </c>
      <c r="N117" s="311"/>
      <c r="O117" s="312"/>
      <c r="P117" s="313">
        <f t="shared" si="27"/>
        <v>0</v>
      </c>
      <c r="Q117" s="308"/>
      <c r="R117" s="309"/>
      <c r="S117" s="310">
        <f t="shared" si="28"/>
        <v>0</v>
      </c>
      <c r="T117" s="311"/>
      <c r="U117" s="312"/>
      <c r="V117" s="313">
        <f t="shared" si="29"/>
        <v>0</v>
      </c>
      <c r="W117" s="308"/>
      <c r="X117" s="309"/>
      <c r="Y117" s="310">
        <f t="shared" si="30"/>
        <v>0</v>
      </c>
      <c r="Z117" s="311"/>
      <c r="AA117" s="312"/>
      <c r="AB117" s="313">
        <f t="shared" si="31"/>
        <v>0</v>
      </c>
      <c r="AC117" s="308"/>
      <c r="AD117" s="309"/>
      <c r="AE117" s="310">
        <f t="shared" si="32"/>
        <v>0</v>
      </c>
      <c r="AF117" s="311"/>
      <c r="AG117" s="312"/>
      <c r="AH117" s="313">
        <f t="shared" si="33"/>
        <v>0</v>
      </c>
      <c r="AI117" s="308">
        <v>68</v>
      </c>
      <c r="AJ117" s="309">
        <v>44087</v>
      </c>
      <c r="AK117" s="310">
        <f t="shared" si="34"/>
        <v>2997916</v>
      </c>
      <c r="AL117" s="311">
        <v>70</v>
      </c>
      <c r="AM117" s="312">
        <v>43637</v>
      </c>
      <c r="AN117" s="313">
        <f t="shared" si="35"/>
        <v>3054590</v>
      </c>
      <c r="AO117" s="308"/>
      <c r="AP117" s="309"/>
      <c r="AQ117" s="310">
        <f t="shared" si="36"/>
        <v>0</v>
      </c>
      <c r="AR117" s="311"/>
      <c r="AS117" s="312"/>
      <c r="AT117" s="313">
        <f t="shared" si="37"/>
        <v>0</v>
      </c>
      <c r="AU117" s="308"/>
      <c r="AV117" s="309"/>
      <c r="AW117" s="310">
        <f t="shared" si="38"/>
        <v>0</v>
      </c>
      <c r="AX117" s="311"/>
      <c r="AY117" s="312"/>
      <c r="AZ117" s="313">
        <f t="shared" si="39"/>
        <v>0</v>
      </c>
      <c r="BA117" s="308"/>
      <c r="BB117" s="309"/>
      <c r="BC117" s="310">
        <f t="shared" si="40"/>
        <v>0</v>
      </c>
      <c r="BD117" s="311"/>
      <c r="BE117" s="312"/>
      <c r="BF117" s="313">
        <f t="shared" si="41"/>
        <v>0</v>
      </c>
      <c r="BG117" s="308"/>
      <c r="BH117" s="309"/>
      <c r="BI117" s="310">
        <f t="shared" si="42"/>
        <v>0</v>
      </c>
      <c r="BJ117" s="311"/>
      <c r="BK117" s="312"/>
      <c r="BL117" s="313">
        <f t="shared" si="43"/>
        <v>0</v>
      </c>
      <c r="BM117" s="308"/>
      <c r="BN117" s="309"/>
      <c r="BO117" s="310">
        <f t="shared" si="44"/>
        <v>0</v>
      </c>
      <c r="BP117" s="311"/>
      <c r="BQ117" s="312"/>
      <c r="BR117" s="313">
        <f t="shared" si="45"/>
        <v>0</v>
      </c>
      <c r="BS117" s="308"/>
      <c r="BT117" s="309"/>
      <c r="BU117" s="310">
        <f t="shared" si="46"/>
        <v>0</v>
      </c>
      <c r="BV117" s="311"/>
      <c r="BW117" s="312"/>
      <c r="BX117" s="313">
        <f t="shared" si="47"/>
        <v>0</v>
      </c>
    </row>
    <row r="118" spans="1:76">
      <c r="A118" s="354" t="s">
        <v>450</v>
      </c>
      <c r="B118" s="404" t="s">
        <v>251</v>
      </c>
      <c r="C118" s="360">
        <v>136516</v>
      </c>
      <c r="D118" s="356">
        <v>9</v>
      </c>
      <c r="E118" s="308"/>
      <c r="F118" s="309"/>
      <c r="G118" s="310">
        <f t="shared" si="24"/>
        <v>0</v>
      </c>
      <c r="H118" s="311"/>
      <c r="I118" s="312"/>
      <c r="J118" s="313">
        <f t="shared" si="25"/>
        <v>0</v>
      </c>
      <c r="K118" s="308"/>
      <c r="L118" s="309"/>
      <c r="M118" s="310">
        <f t="shared" si="26"/>
        <v>0</v>
      </c>
      <c r="N118" s="311"/>
      <c r="O118" s="312"/>
      <c r="P118" s="313">
        <f t="shared" si="27"/>
        <v>0</v>
      </c>
      <c r="Q118" s="308"/>
      <c r="R118" s="309"/>
      <c r="S118" s="310">
        <f t="shared" si="28"/>
        <v>0</v>
      </c>
      <c r="T118" s="311"/>
      <c r="U118" s="312"/>
      <c r="V118" s="313">
        <f t="shared" si="29"/>
        <v>0</v>
      </c>
      <c r="W118" s="308"/>
      <c r="X118" s="309"/>
      <c r="Y118" s="310">
        <f t="shared" si="30"/>
        <v>0</v>
      </c>
      <c r="Z118" s="311"/>
      <c r="AA118" s="312"/>
      <c r="AB118" s="313">
        <f t="shared" si="31"/>
        <v>0</v>
      </c>
      <c r="AC118" s="308"/>
      <c r="AD118" s="309"/>
      <c r="AE118" s="310">
        <f t="shared" si="32"/>
        <v>0</v>
      </c>
      <c r="AF118" s="311"/>
      <c r="AG118" s="312"/>
      <c r="AH118" s="313">
        <f t="shared" si="33"/>
        <v>0</v>
      </c>
      <c r="AI118" s="308">
        <v>121</v>
      </c>
      <c r="AJ118" s="309">
        <v>43175</v>
      </c>
      <c r="AK118" s="310">
        <f t="shared" si="34"/>
        <v>5224175</v>
      </c>
      <c r="AL118" s="311">
        <v>117</v>
      </c>
      <c r="AM118" s="312">
        <v>45739</v>
      </c>
      <c r="AN118" s="313">
        <f t="shared" si="35"/>
        <v>5351463</v>
      </c>
      <c r="AO118" s="308"/>
      <c r="AP118" s="309"/>
      <c r="AQ118" s="310">
        <f t="shared" si="36"/>
        <v>0</v>
      </c>
      <c r="AR118" s="311"/>
      <c r="AS118" s="312"/>
      <c r="AT118" s="313">
        <f t="shared" si="37"/>
        <v>0</v>
      </c>
      <c r="AU118" s="308"/>
      <c r="AV118" s="309"/>
      <c r="AW118" s="310">
        <f t="shared" si="38"/>
        <v>0</v>
      </c>
      <c r="AX118" s="311"/>
      <c r="AY118" s="312"/>
      <c r="AZ118" s="313">
        <f t="shared" si="39"/>
        <v>0</v>
      </c>
      <c r="BA118" s="308"/>
      <c r="BB118" s="309"/>
      <c r="BC118" s="310">
        <f t="shared" si="40"/>
        <v>0</v>
      </c>
      <c r="BD118" s="311"/>
      <c r="BE118" s="312"/>
      <c r="BF118" s="313">
        <f t="shared" si="41"/>
        <v>0</v>
      </c>
      <c r="BG118" s="308"/>
      <c r="BH118" s="309"/>
      <c r="BI118" s="310">
        <f t="shared" si="42"/>
        <v>0</v>
      </c>
      <c r="BJ118" s="311"/>
      <c r="BK118" s="312"/>
      <c r="BL118" s="313">
        <f t="shared" si="43"/>
        <v>0</v>
      </c>
      <c r="BM118" s="308"/>
      <c r="BN118" s="309"/>
      <c r="BO118" s="310">
        <f t="shared" si="44"/>
        <v>0</v>
      </c>
      <c r="BP118" s="311"/>
      <c r="BQ118" s="312"/>
      <c r="BR118" s="313">
        <f t="shared" si="45"/>
        <v>0</v>
      </c>
      <c r="BS118" s="308"/>
      <c r="BT118" s="309"/>
      <c r="BU118" s="310">
        <f t="shared" si="46"/>
        <v>0</v>
      </c>
      <c r="BV118" s="311"/>
      <c r="BW118" s="312"/>
      <c r="BX118" s="313">
        <f t="shared" si="47"/>
        <v>0</v>
      </c>
    </row>
    <row r="119" spans="1:76">
      <c r="A119" s="354" t="s">
        <v>450</v>
      </c>
      <c r="B119" s="359" t="s">
        <v>256</v>
      </c>
      <c r="C119" s="360">
        <v>137315</v>
      </c>
      <c r="D119" s="356">
        <v>9</v>
      </c>
      <c r="E119" s="308"/>
      <c r="F119" s="309"/>
      <c r="G119" s="310">
        <f t="shared" si="24"/>
        <v>0</v>
      </c>
      <c r="H119" s="311"/>
      <c r="I119" s="312"/>
      <c r="J119" s="313">
        <f t="shared" si="25"/>
        <v>0</v>
      </c>
      <c r="K119" s="308"/>
      <c r="L119" s="309"/>
      <c r="M119" s="310">
        <f t="shared" si="26"/>
        <v>0</v>
      </c>
      <c r="N119" s="311"/>
      <c r="O119" s="312"/>
      <c r="P119" s="313">
        <f t="shared" si="27"/>
        <v>0</v>
      </c>
      <c r="Q119" s="308"/>
      <c r="R119" s="309"/>
      <c r="S119" s="310">
        <f t="shared" si="28"/>
        <v>0</v>
      </c>
      <c r="T119" s="311"/>
      <c r="U119" s="312"/>
      <c r="V119" s="313">
        <f t="shared" si="29"/>
        <v>0</v>
      </c>
      <c r="W119" s="308"/>
      <c r="X119" s="309"/>
      <c r="Y119" s="310">
        <f t="shared" si="30"/>
        <v>0</v>
      </c>
      <c r="Z119" s="311"/>
      <c r="AA119" s="312"/>
      <c r="AB119" s="313">
        <f t="shared" si="31"/>
        <v>0</v>
      </c>
      <c r="AC119" s="308"/>
      <c r="AD119" s="309"/>
      <c r="AE119" s="310">
        <f t="shared" si="32"/>
        <v>0</v>
      </c>
      <c r="AF119" s="311"/>
      <c r="AG119" s="312"/>
      <c r="AH119" s="313">
        <f t="shared" si="33"/>
        <v>0</v>
      </c>
      <c r="AI119" s="308">
        <v>64</v>
      </c>
      <c r="AJ119" s="309">
        <v>46714</v>
      </c>
      <c r="AK119" s="310">
        <f t="shared" si="34"/>
        <v>2989696</v>
      </c>
      <c r="AL119" s="311">
        <v>62</v>
      </c>
      <c r="AM119" s="312">
        <v>46865</v>
      </c>
      <c r="AN119" s="313">
        <f t="shared" si="35"/>
        <v>2905630</v>
      </c>
      <c r="AO119" s="308"/>
      <c r="AP119" s="309"/>
      <c r="AQ119" s="310">
        <f t="shared" si="36"/>
        <v>0</v>
      </c>
      <c r="AR119" s="311"/>
      <c r="AS119" s="312"/>
      <c r="AT119" s="313">
        <f t="shared" si="37"/>
        <v>0</v>
      </c>
      <c r="AU119" s="308"/>
      <c r="AV119" s="309"/>
      <c r="AW119" s="310">
        <f t="shared" si="38"/>
        <v>0</v>
      </c>
      <c r="AX119" s="311"/>
      <c r="AY119" s="312"/>
      <c r="AZ119" s="313">
        <f t="shared" si="39"/>
        <v>0</v>
      </c>
      <c r="BA119" s="308"/>
      <c r="BB119" s="309"/>
      <c r="BC119" s="310">
        <f t="shared" si="40"/>
        <v>0</v>
      </c>
      <c r="BD119" s="311"/>
      <c r="BE119" s="312"/>
      <c r="BF119" s="313">
        <f t="shared" si="41"/>
        <v>0</v>
      </c>
      <c r="BG119" s="308"/>
      <c r="BH119" s="309"/>
      <c r="BI119" s="310">
        <f t="shared" si="42"/>
        <v>0</v>
      </c>
      <c r="BJ119" s="311"/>
      <c r="BK119" s="312"/>
      <c r="BL119" s="313">
        <f t="shared" si="43"/>
        <v>0</v>
      </c>
      <c r="BM119" s="308"/>
      <c r="BN119" s="309"/>
      <c r="BO119" s="310">
        <f t="shared" si="44"/>
        <v>0</v>
      </c>
      <c r="BP119" s="311"/>
      <c r="BQ119" s="312"/>
      <c r="BR119" s="313">
        <f t="shared" si="45"/>
        <v>0</v>
      </c>
      <c r="BS119" s="308"/>
      <c r="BT119" s="309"/>
      <c r="BU119" s="310">
        <f t="shared" si="46"/>
        <v>0</v>
      </c>
      <c r="BV119" s="311"/>
      <c r="BW119" s="312"/>
      <c r="BX119" s="313">
        <f t="shared" si="47"/>
        <v>0</v>
      </c>
    </row>
    <row r="120" spans="1:76">
      <c r="A120" s="354" t="s">
        <v>450</v>
      </c>
      <c r="B120" s="359" t="s">
        <v>252</v>
      </c>
      <c r="C120" s="360">
        <v>137281</v>
      </c>
      <c r="D120" s="356">
        <v>9</v>
      </c>
      <c r="E120" s="308"/>
      <c r="F120" s="309"/>
      <c r="G120" s="310">
        <f t="shared" si="24"/>
        <v>0</v>
      </c>
      <c r="H120" s="311"/>
      <c r="I120" s="312"/>
      <c r="J120" s="313">
        <f t="shared" si="25"/>
        <v>0</v>
      </c>
      <c r="K120" s="308"/>
      <c r="L120" s="309"/>
      <c r="M120" s="310">
        <f t="shared" si="26"/>
        <v>0</v>
      </c>
      <c r="N120" s="311"/>
      <c r="O120" s="312"/>
      <c r="P120" s="313">
        <f t="shared" si="27"/>
        <v>0</v>
      </c>
      <c r="Q120" s="308"/>
      <c r="R120" s="309"/>
      <c r="S120" s="310">
        <f t="shared" si="28"/>
        <v>0</v>
      </c>
      <c r="T120" s="311"/>
      <c r="U120" s="312"/>
      <c r="V120" s="313">
        <f t="shared" si="29"/>
        <v>0</v>
      </c>
      <c r="W120" s="308"/>
      <c r="X120" s="309"/>
      <c r="Y120" s="310">
        <f t="shared" si="30"/>
        <v>0</v>
      </c>
      <c r="Z120" s="311"/>
      <c r="AA120" s="312"/>
      <c r="AB120" s="313">
        <f t="shared" si="31"/>
        <v>0</v>
      </c>
      <c r="AC120" s="308"/>
      <c r="AD120" s="309"/>
      <c r="AE120" s="310">
        <f t="shared" si="32"/>
        <v>0</v>
      </c>
      <c r="AF120" s="311"/>
      <c r="AG120" s="312"/>
      <c r="AH120" s="313">
        <f t="shared" si="33"/>
        <v>0</v>
      </c>
      <c r="AI120" s="308">
        <v>96</v>
      </c>
      <c r="AJ120" s="309">
        <v>46963</v>
      </c>
      <c r="AK120" s="310">
        <f t="shared" si="34"/>
        <v>4508448</v>
      </c>
      <c r="AL120" s="311">
        <v>109</v>
      </c>
      <c r="AM120" s="312">
        <v>46916</v>
      </c>
      <c r="AN120" s="313">
        <f t="shared" si="35"/>
        <v>5113844</v>
      </c>
      <c r="AO120" s="308"/>
      <c r="AP120" s="309"/>
      <c r="AQ120" s="310">
        <f t="shared" si="36"/>
        <v>0</v>
      </c>
      <c r="AR120" s="311"/>
      <c r="AS120" s="312"/>
      <c r="AT120" s="313">
        <f t="shared" si="37"/>
        <v>0</v>
      </c>
      <c r="AU120" s="308"/>
      <c r="AV120" s="309"/>
      <c r="AW120" s="310">
        <f t="shared" si="38"/>
        <v>0</v>
      </c>
      <c r="AX120" s="311"/>
      <c r="AY120" s="312"/>
      <c r="AZ120" s="313">
        <f t="shared" si="39"/>
        <v>0</v>
      </c>
      <c r="BA120" s="308"/>
      <c r="BB120" s="309"/>
      <c r="BC120" s="310">
        <f t="shared" si="40"/>
        <v>0</v>
      </c>
      <c r="BD120" s="311"/>
      <c r="BE120" s="312"/>
      <c r="BF120" s="313">
        <f t="shared" si="41"/>
        <v>0</v>
      </c>
      <c r="BG120" s="308"/>
      <c r="BH120" s="309"/>
      <c r="BI120" s="310">
        <f t="shared" si="42"/>
        <v>0</v>
      </c>
      <c r="BJ120" s="311"/>
      <c r="BK120" s="312"/>
      <c r="BL120" s="313">
        <f t="shared" si="43"/>
        <v>0</v>
      </c>
      <c r="BM120" s="308"/>
      <c r="BN120" s="309"/>
      <c r="BO120" s="310">
        <f t="shared" si="44"/>
        <v>0</v>
      </c>
      <c r="BP120" s="311"/>
      <c r="BQ120" s="312"/>
      <c r="BR120" s="313">
        <f t="shared" si="45"/>
        <v>0</v>
      </c>
      <c r="BS120" s="308"/>
      <c r="BT120" s="309"/>
      <c r="BU120" s="310">
        <f t="shared" si="46"/>
        <v>0</v>
      </c>
      <c r="BV120" s="311"/>
      <c r="BW120" s="312"/>
      <c r="BX120" s="313">
        <f t="shared" si="47"/>
        <v>0</v>
      </c>
    </row>
    <row r="121" spans="1:76">
      <c r="A121" s="354" t="s">
        <v>450</v>
      </c>
      <c r="B121" s="359" t="s">
        <v>239</v>
      </c>
      <c r="C121" s="360">
        <v>133960</v>
      </c>
      <c r="D121" s="356">
        <v>10</v>
      </c>
      <c r="E121" s="308"/>
      <c r="F121" s="309"/>
      <c r="G121" s="310">
        <f t="shared" si="24"/>
        <v>0</v>
      </c>
      <c r="H121" s="311"/>
      <c r="I121" s="312"/>
      <c r="J121" s="313">
        <f t="shared" si="25"/>
        <v>0</v>
      </c>
      <c r="K121" s="308"/>
      <c r="L121" s="309"/>
      <c r="M121" s="310">
        <f t="shared" si="26"/>
        <v>0</v>
      </c>
      <c r="N121" s="311"/>
      <c r="O121" s="312"/>
      <c r="P121" s="313">
        <f t="shared" si="27"/>
        <v>0</v>
      </c>
      <c r="Q121" s="308"/>
      <c r="R121" s="309"/>
      <c r="S121" s="310">
        <f t="shared" si="28"/>
        <v>0</v>
      </c>
      <c r="T121" s="311"/>
      <c r="U121" s="312"/>
      <c r="V121" s="313">
        <f t="shared" si="29"/>
        <v>0</v>
      </c>
      <c r="W121" s="308"/>
      <c r="X121" s="309"/>
      <c r="Y121" s="310">
        <f t="shared" si="30"/>
        <v>0</v>
      </c>
      <c r="Z121" s="311"/>
      <c r="AA121" s="312"/>
      <c r="AB121" s="313">
        <f t="shared" si="31"/>
        <v>0</v>
      </c>
      <c r="AC121" s="308"/>
      <c r="AD121" s="309"/>
      <c r="AE121" s="310">
        <f t="shared" si="32"/>
        <v>0</v>
      </c>
      <c r="AF121" s="311"/>
      <c r="AG121" s="312"/>
      <c r="AH121" s="313">
        <f t="shared" si="33"/>
        <v>0</v>
      </c>
      <c r="AI121" s="308">
        <v>23</v>
      </c>
      <c r="AJ121" s="309">
        <v>43202</v>
      </c>
      <c r="AK121" s="310">
        <f t="shared" si="34"/>
        <v>993646</v>
      </c>
      <c r="AL121" s="311">
        <v>19</v>
      </c>
      <c r="AM121" s="312">
        <v>50448</v>
      </c>
      <c r="AN121" s="313">
        <f t="shared" si="35"/>
        <v>958512</v>
      </c>
      <c r="AO121" s="308"/>
      <c r="AP121" s="309"/>
      <c r="AQ121" s="310">
        <f t="shared" si="36"/>
        <v>0</v>
      </c>
      <c r="AR121" s="311"/>
      <c r="AS121" s="312"/>
      <c r="AT121" s="313">
        <f t="shared" si="37"/>
        <v>0</v>
      </c>
      <c r="AU121" s="308"/>
      <c r="AV121" s="309"/>
      <c r="AW121" s="310">
        <f t="shared" si="38"/>
        <v>0</v>
      </c>
      <c r="AX121" s="311"/>
      <c r="AY121" s="312"/>
      <c r="AZ121" s="313">
        <f t="shared" si="39"/>
        <v>0</v>
      </c>
      <c r="BA121" s="308"/>
      <c r="BB121" s="309"/>
      <c r="BC121" s="310">
        <f t="shared" si="40"/>
        <v>0</v>
      </c>
      <c r="BD121" s="311"/>
      <c r="BE121" s="312"/>
      <c r="BF121" s="313">
        <f t="shared" si="41"/>
        <v>0</v>
      </c>
      <c r="BG121" s="308"/>
      <c r="BH121" s="309"/>
      <c r="BI121" s="310">
        <f t="shared" si="42"/>
        <v>0</v>
      </c>
      <c r="BJ121" s="311"/>
      <c r="BK121" s="312"/>
      <c r="BL121" s="313">
        <f t="shared" si="43"/>
        <v>0</v>
      </c>
      <c r="BM121" s="308"/>
      <c r="BN121" s="309"/>
      <c r="BO121" s="310">
        <f t="shared" si="44"/>
        <v>0</v>
      </c>
      <c r="BP121" s="311"/>
      <c r="BQ121" s="312"/>
      <c r="BR121" s="313">
        <f t="shared" si="45"/>
        <v>0</v>
      </c>
      <c r="BS121" s="308"/>
      <c r="BT121" s="309"/>
      <c r="BU121" s="310">
        <f t="shared" si="46"/>
        <v>0</v>
      </c>
      <c r="BV121" s="311"/>
      <c r="BW121" s="312"/>
      <c r="BX121" s="313">
        <f t="shared" si="47"/>
        <v>0</v>
      </c>
    </row>
    <row r="122" spans="1:76">
      <c r="A122" s="354" t="s">
        <v>450</v>
      </c>
      <c r="B122" s="359" t="s">
        <v>247</v>
      </c>
      <c r="C122" s="360">
        <v>136145</v>
      </c>
      <c r="D122" s="356">
        <v>10</v>
      </c>
      <c r="E122" s="308"/>
      <c r="F122" s="309"/>
      <c r="G122" s="310">
        <f t="shared" si="24"/>
        <v>0</v>
      </c>
      <c r="H122" s="311"/>
      <c r="I122" s="312"/>
      <c r="J122" s="313">
        <f t="shared" si="25"/>
        <v>0</v>
      </c>
      <c r="K122" s="308"/>
      <c r="L122" s="309"/>
      <c r="M122" s="310">
        <f t="shared" si="26"/>
        <v>0</v>
      </c>
      <c r="N122" s="311"/>
      <c r="O122" s="312"/>
      <c r="P122" s="313">
        <f t="shared" si="27"/>
        <v>0</v>
      </c>
      <c r="Q122" s="308"/>
      <c r="R122" s="309"/>
      <c r="S122" s="310">
        <f t="shared" si="28"/>
        <v>0</v>
      </c>
      <c r="T122" s="311"/>
      <c r="U122" s="312"/>
      <c r="V122" s="313">
        <f t="shared" si="29"/>
        <v>0</v>
      </c>
      <c r="W122" s="308"/>
      <c r="X122" s="309"/>
      <c r="Y122" s="310">
        <f t="shared" si="30"/>
        <v>0</v>
      </c>
      <c r="Z122" s="311"/>
      <c r="AA122" s="312"/>
      <c r="AB122" s="313">
        <f t="shared" si="31"/>
        <v>0</v>
      </c>
      <c r="AC122" s="308"/>
      <c r="AD122" s="309"/>
      <c r="AE122" s="310">
        <f t="shared" si="32"/>
        <v>0</v>
      </c>
      <c r="AF122" s="311"/>
      <c r="AG122" s="312"/>
      <c r="AH122" s="313">
        <f t="shared" si="33"/>
        <v>0</v>
      </c>
      <c r="AI122" s="308">
        <v>35</v>
      </c>
      <c r="AJ122" s="309">
        <v>41426</v>
      </c>
      <c r="AK122" s="310">
        <f t="shared" si="34"/>
        <v>1449910</v>
      </c>
      <c r="AL122" s="311">
        <v>37</v>
      </c>
      <c r="AM122" s="312">
        <v>42050</v>
      </c>
      <c r="AN122" s="313">
        <f t="shared" si="35"/>
        <v>1555850</v>
      </c>
      <c r="AO122" s="308"/>
      <c r="AP122" s="309"/>
      <c r="AQ122" s="310">
        <f t="shared" si="36"/>
        <v>0</v>
      </c>
      <c r="AR122" s="311"/>
      <c r="AS122" s="312"/>
      <c r="AT122" s="313">
        <f t="shared" si="37"/>
        <v>0</v>
      </c>
      <c r="AU122" s="308"/>
      <c r="AV122" s="309"/>
      <c r="AW122" s="310">
        <f t="shared" si="38"/>
        <v>0</v>
      </c>
      <c r="AX122" s="311"/>
      <c r="AY122" s="312"/>
      <c r="AZ122" s="313">
        <f t="shared" si="39"/>
        <v>0</v>
      </c>
      <c r="BA122" s="308"/>
      <c r="BB122" s="309"/>
      <c r="BC122" s="310">
        <f t="shared" si="40"/>
        <v>0</v>
      </c>
      <c r="BD122" s="311"/>
      <c r="BE122" s="312"/>
      <c r="BF122" s="313">
        <f t="shared" si="41"/>
        <v>0</v>
      </c>
      <c r="BG122" s="308"/>
      <c r="BH122" s="309"/>
      <c r="BI122" s="310">
        <f t="shared" si="42"/>
        <v>0</v>
      </c>
      <c r="BJ122" s="311"/>
      <c r="BK122" s="312"/>
      <c r="BL122" s="313">
        <f t="shared" si="43"/>
        <v>0</v>
      </c>
      <c r="BM122" s="308"/>
      <c r="BN122" s="309"/>
      <c r="BO122" s="310">
        <f t="shared" si="44"/>
        <v>0</v>
      </c>
      <c r="BP122" s="311"/>
      <c r="BQ122" s="312"/>
      <c r="BR122" s="313">
        <f t="shared" si="45"/>
        <v>0</v>
      </c>
      <c r="BS122" s="308"/>
      <c r="BT122" s="309"/>
      <c r="BU122" s="310">
        <f t="shared" si="46"/>
        <v>0</v>
      </c>
      <c r="BV122" s="311"/>
      <c r="BW122" s="312"/>
      <c r="BX122" s="313">
        <f t="shared" si="47"/>
        <v>0</v>
      </c>
    </row>
    <row r="123" spans="1:76">
      <c r="A123" s="304" t="s">
        <v>448</v>
      </c>
      <c r="B123" s="305" t="s">
        <v>658</v>
      </c>
      <c r="C123" s="306">
        <v>139940</v>
      </c>
      <c r="D123" s="307">
        <v>1</v>
      </c>
      <c r="E123" s="308">
        <v>180</v>
      </c>
      <c r="F123" s="309">
        <v>112875</v>
      </c>
      <c r="G123" s="310">
        <f t="shared" si="24"/>
        <v>20317500</v>
      </c>
      <c r="H123" s="311">
        <v>190</v>
      </c>
      <c r="I123" s="312">
        <v>119435</v>
      </c>
      <c r="J123" s="313">
        <f t="shared" si="25"/>
        <v>22692650</v>
      </c>
      <c r="K123" s="308">
        <v>303</v>
      </c>
      <c r="L123" s="309">
        <v>72989</v>
      </c>
      <c r="M123" s="310">
        <f t="shared" si="26"/>
        <v>22115667</v>
      </c>
      <c r="N123" s="311">
        <v>305</v>
      </c>
      <c r="O123" s="312">
        <v>76601</v>
      </c>
      <c r="P123" s="313">
        <f t="shared" si="27"/>
        <v>23363305</v>
      </c>
      <c r="Q123" s="308">
        <v>299</v>
      </c>
      <c r="R123" s="309">
        <v>61777</v>
      </c>
      <c r="S123" s="310">
        <f t="shared" si="28"/>
        <v>18471323</v>
      </c>
      <c r="T123" s="311">
        <v>331</v>
      </c>
      <c r="U123" s="312">
        <v>64899</v>
      </c>
      <c r="V123" s="313">
        <f t="shared" si="29"/>
        <v>21481569</v>
      </c>
      <c r="W123" s="308">
        <v>92</v>
      </c>
      <c r="X123" s="309">
        <v>44842</v>
      </c>
      <c r="Y123" s="310">
        <f t="shared" si="30"/>
        <v>4125464</v>
      </c>
      <c r="Z123" s="311">
        <v>85</v>
      </c>
      <c r="AA123" s="312">
        <v>47267</v>
      </c>
      <c r="AB123" s="313">
        <f t="shared" si="31"/>
        <v>4017695</v>
      </c>
      <c r="AC123" s="308">
        <v>101</v>
      </c>
      <c r="AD123" s="309">
        <v>41822</v>
      </c>
      <c r="AE123" s="310">
        <f t="shared" si="32"/>
        <v>4224022</v>
      </c>
      <c r="AF123" s="311">
        <v>128</v>
      </c>
      <c r="AG123" s="312">
        <v>43092</v>
      </c>
      <c r="AH123" s="313">
        <f t="shared" si="33"/>
        <v>5515776</v>
      </c>
      <c r="AI123" s="308"/>
      <c r="AJ123" s="309"/>
      <c r="AK123" s="310">
        <f t="shared" si="34"/>
        <v>0</v>
      </c>
      <c r="AL123" s="311"/>
      <c r="AM123" s="312"/>
      <c r="AN123" s="313">
        <f t="shared" si="35"/>
        <v>0</v>
      </c>
      <c r="AO123" s="308">
        <v>43</v>
      </c>
      <c r="AP123" s="309">
        <v>147819</v>
      </c>
      <c r="AQ123" s="310">
        <f t="shared" si="36"/>
        <v>5200656.7494000001</v>
      </c>
      <c r="AR123" s="311">
        <v>41</v>
      </c>
      <c r="AS123" s="312">
        <v>157508</v>
      </c>
      <c r="AT123" s="313">
        <f t="shared" si="37"/>
        <v>5283794.8695999999</v>
      </c>
      <c r="AU123" s="308">
        <v>22</v>
      </c>
      <c r="AV123" s="309">
        <v>100920</v>
      </c>
      <c r="AW123" s="310">
        <f t="shared" si="38"/>
        <v>1816600.368</v>
      </c>
      <c r="AX123" s="311">
        <v>22</v>
      </c>
      <c r="AY123" s="312">
        <v>106023</v>
      </c>
      <c r="AZ123" s="313">
        <f t="shared" si="39"/>
        <v>1908456.4092000001</v>
      </c>
      <c r="BA123" s="308">
        <v>6</v>
      </c>
      <c r="BB123" s="309">
        <v>76878</v>
      </c>
      <c r="BC123" s="310">
        <f t="shared" si="40"/>
        <v>377409.47760000004</v>
      </c>
      <c r="BD123" s="311">
        <v>7</v>
      </c>
      <c r="BE123" s="312">
        <v>80627</v>
      </c>
      <c r="BF123" s="313">
        <f t="shared" si="41"/>
        <v>461783.07980000001</v>
      </c>
      <c r="BG123" s="308">
        <v>2</v>
      </c>
      <c r="BH123" s="309">
        <v>45350</v>
      </c>
      <c r="BI123" s="310">
        <f t="shared" si="42"/>
        <v>74210.740000000005</v>
      </c>
      <c r="BJ123" s="311">
        <v>3</v>
      </c>
      <c r="BK123" s="312">
        <v>65357</v>
      </c>
      <c r="BL123" s="313">
        <f t="shared" si="43"/>
        <v>160425.2922</v>
      </c>
      <c r="BM123" s="308">
        <v>5</v>
      </c>
      <c r="BN123" s="309">
        <v>79870</v>
      </c>
      <c r="BO123" s="310">
        <f t="shared" si="44"/>
        <v>326748.17000000004</v>
      </c>
      <c r="BP123" s="311">
        <v>5</v>
      </c>
      <c r="BQ123" s="312">
        <v>83752</v>
      </c>
      <c r="BR123" s="313">
        <f t="shared" si="45"/>
        <v>342629.43200000003</v>
      </c>
      <c r="BS123" s="308"/>
      <c r="BT123" s="309"/>
      <c r="BU123" s="310">
        <f t="shared" si="46"/>
        <v>0</v>
      </c>
      <c r="BV123" s="311"/>
      <c r="BW123" s="312"/>
      <c r="BX123" s="313">
        <f t="shared" si="47"/>
        <v>0</v>
      </c>
    </row>
    <row r="124" spans="1:76">
      <c r="A124" s="304" t="s">
        <v>448</v>
      </c>
      <c r="B124" s="305" t="s">
        <v>659</v>
      </c>
      <c r="C124" s="306">
        <v>139959</v>
      </c>
      <c r="D124" s="307">
        <v>1</v>
      </c>
      <c r="E124" s="308">
        <v>349</v>
      </c>
      <c r="F124" s="309">
        <v>103439</v>
      </c>
      <c r="G124" s="310">
        <f t="shared" si="24"/>
        <v>36100211</v>
      </c>
      <c r="H124" s="311">
        <v>462</v>
      </c>
      <c r="I124" s="312">
        <v>107101</v>
      </c>
      <c r="J124" s="313">
        <f t="shared" si="25"/>
        <v>49480662</v>
      </c>
      <c r="K124" s="308">
        <v>236</v>
      </c>
      <c r="L124" s="309">
        <v>73204</v>
      </c>
      <c r="M124" s="310">
        <f t="shared" si="26"/>
        <v>17276144</v>
      </c>
      <c r="N124" s="311">
        <v>378</v>
      </c>
      <c r="O124" s="312">
        <v>74125</v>
      </c>
      <c r="P124" s="313">
        <f t="shared" si="27"/>
        <v>28019250</v>
      </c>
      <c r="Q124" s="308">
        <v>203</v>
      </c>
      <c r="R124" s="309">
        <v>68347</v>
      </c>
      <c r="S124" s="310">
        <f t="shared" si="28"/>
        <v>13874441</v>
      </c>
      <c r="T124" s="311">
        <v>304</v>
      </c>
      <c r="U124" s="312">
        <v>70122</v>
      </c>
      <c r="V124" s="313">
        <f t="shared" si="29"/>
        <v>21317088</v>
      </c>
      <c r="W124" s="308">
        <v>10</v>
      </c>
      <c r="X124" s="309">
        <v>44299</v>
      </c>
      <c r="Y124" s="310">
        <f t="shared" si="30"/>
        <v>442990</v>
      </c>
      <c r="Z124" s="311">
        <v>16</v>
      </c>
      <c r="AA124" s="312">
        <v>52032</v>
      </c>
      <c r="AB124" s="313">
        <f t="shared" si="31"/>
        <v>832512</v>
      </c>
      <c r="AC124" s="308">
        <v>51</v>
      </c>
      <c r="AD124" s="309">
        <v>58134</v>
      </c>
      <c r="AE124" s="310">
        <f t="shared" si="32"/>
        <v>2964834</v>
      </c>
      <c r="AF124" s="311">
        <v>80</v>
      </c>
      <c r="AG124" s="312">
        <v>58571</v>
      </c>
      <c r="AH124" s="313">
        <f t="shared" si="33"/>
        <v>4685680</v>
      </c>
      <c r="AI124" s="308"/>
      <c r="AJ124" s="309"/>
      <c r="AK124" s="310">
        <f t="shared" si="34"/>
        <v>0</v>
      </c>
      <c r="AL124" s="311"/>
      <c r="AM124" s="312"/>
      <c r="AN124" s="313">
        <f t="shared" si="35"/>
        <v>0</v>
      </c>
      <c r="AO124" s="308">
        <v>352</v>
      </c>
      <c r="AP124" s="309">
        <v>111602</v>
      </c>
      <c r="AQ124" s="310">
        <f t="shared" si="36"/>
        <v>32142090.252800003</v>
      </c>
      <c r="AR124" s="311">
        <v>250</v>
      </c>
      <c r="AS124" s="312">
        <v>118643</v>
      </c>
      <c r="AT124" s="313">
        <f t="shared" si="37"/>
        <v>24268425.650000002</v>
      </c>
      <c r="AU124" s="308">
        <v>267</v>
      </c>
      <c r="AV124" s="309">
        <v>76527</v>
      </c>
      <c r="AW124" s="310">
        <f t="shared" si="38"/>
        <v>16718042.503800001</v>
      </c>
      <c r="AX124" s="311">
        <v>130</v>
      </c>
      <c r="AY124" s="312">
        <v>88786</v>
      </c>
      <c r="AZ124" s="313">
        <f t="shared" si="39"/>
        <v>9443811.6760000009</v>
      </c>
      <c r="BA124" s="308">
        <v>179</v>
      </c>
      <c r="BB124" s="309">
        <v>69757</v>
      </c>
      <c r="BC124" s="310">
        <f t="shared" si="40"/>
        <v>10216456.7546</v>
      </c>
      <c r="BD124" s="311">
        <v>83</v>
      </c>
      <c r="BE124" s="312">
        <v>79628</v>
      </c>
      <c r="BF124" s="313">
        <f t="shared" si="41"/>
        <v>5407585.2568000006</v>
      </c>
      <c r="BG124" s="308">
        <v>14</v>
      </c>
      <c r="BH124" s="309">
        <v>67983</v>
      </c>
      <c r="BI124" s="310">
        <f t="shared" si="42"/>
        <v>778731.66840000008</v>
      </c>
      <c r="BJ124" s="311">
        <v>10</v>
      </c>
      <c r="BK124" s="312">
        <v>65764</v>
      </c>
      <c r="BL124" s="313">
        <f t="shared" si="43"/>
        <v>538081.04800000007</v>
      </c>
      <c r="BM124" s="308">
        <v>20</v>
      </c>
      <c r="BN124" s="309">
        <v>56141</v>
      </c>
      <c r="BO124" s="310">
        <f t="shared" si="44"/>
        <v>918691.32400000002</v>
      </c>
      <c r="BP124" s="311">
        <v>7</v>
      </c>
      <c r="BQ124" s="312">
        <v>66235</v>
      </c>
      <c r="BR124" s="313">
        <f t="shared" si="45"/>
        <v>379354.33900000004</v>
      </c>
      <c r="BS124" s="308"/>
      <c r="BT124" s="309"/>
      <c r="BU124" s="310">
        <f t="shared" si="46"/>
        <v>0</v>
      </c>
      <c r="BV124" s="311"/>
      <c r="BW124" s="312"/>
      <c r="BX124" s="313">
        <f t="shared" si="47"/>
        <v>0</v>
      </c>
    </row>
    <row r="125" spans="1:76">
      <c r="A125" s="304" t="s">
        <v>448</v>
      </c>
      <c r="B125" s="305" t="s">
        <v>660</v>
      </c>
      <c r="C125" s="306">
        <v>139755</v>
      </c>
      <c r="D125" s="307">
        <v>2</v>
      </c>
      <c r="E125" s="308">
        <v>325</v>
      </c>
      <c r="F125" s="309">
        <v>137585</v>
      </c>
      <c r="G125" s="310">
        <f t="shared" si="24"/>
        <v>44715125</v>
      </c>
      <c r="H125" s="311">
        <v>316</v>
      </c>
      <c r="I125" s="312">
        <v>143236</v>
      </c>
      <c r="J125" s="313">
        <f t="shared" si="25"/>
        <v>45262576</v>
      </c>
      <c r="K125" s="308">
        <v>236</v>
      </c>
      <c r="L125" s="309">
        <v>99214</v>
      </c>
      <c r="M125" s="310">
        <f t="shared" si="26"/>
        <v>23414504</v>
      </c>
      <c r="N125" s="311">
        <v>231</v>
      </c>
      <c r="O125" s="312">
        <v>103830</v>
      </c>
      <c r="P125" s="313">
        <f t="shared" si="27"/>
        <v>23984730</v>
      </c>
      <c r="Q125" s="308">
        <v>231</v>
      </c>
      <c r="R125" s="309">
        <v>87496</v>
      </c>
      <c r="S125" s="310">
        <f t="shared" si="28"/>
        <v>20211576</v>
      </c>
      <c r="T125" s="311">
        <v>241</v>
      </c>
      <c r="U125" s="312">
        <v>91258</v>
      </c>
      <c r="V125" s="313">
        <f t="shared" si="29"/>
        <v>21993178</v>
      </c>
      <c r="W125" s="308">
        <v>11</v>
      </c>
      <c r="X125" s="309">
        <v>43154</v>
      </c>
      <c r="Y125" s="310">
        <f t="shared" si="30"/>
        <v>474694</v>
      </c>
      <c r="Z125" s="311">
        <v>11</v>
      </c>
      <c r="AA125" s="312">
        <v>44333</v>
      </c>
      <c r="AB125" s="313">
        <f t="shared" si="31"/>
        <v>487663</v>
      </c>
      <c r="AC125" s="308">
        <v>4</v>
      </c>
      <c r="AD125" s="309">
        <v>68120</v>
      </c>
      <c r="AE125" s="310">
        <f t="shared" si="32"/>
        <v>272480</v>
      </c>
      <c r="AF125" s="311">
        <v>4</v>
      </c>
      <c r="AG125" s="312">
        <v>69737</v>
      </c>
      <c r="AH125" s="313">
        <f t="shared" si="33"/>
        <v>278948</v>
      </c>
      <c r="AI125" s="308"/>
      <c r="AJ125" s="309"/>
      <c r="AK125" s="310">
        <f t="shared" si="34"/>
        <v>0</v>
      </c>
      <c r="AL125" s="311"/>
      <c r="AM125" s="312"/>
      <c r="AN125" s="313">
        <f t="shared" si="35"/>
        <v>0</v>
      </c>
      <c r="AO125" s="308">
        <v>100</v>
      </c>
      <c r="AP125" s="309">
        <v>201817</v>
      </c>
      <c r="AQ125" s="310">
        <f t="shared" si="36"/>
        <v>16512666.940000001</v>
      </c>
      <c r="AR125" s="311">
        <v>99</v>
      </c>
      <c r="AS125" s="312">
        <v>211736</v>
      </c>
      <c r="AT125" s="313">
        <f t="shared" si="37"/>
        <v>17150997.1248</v>
      </c>
      <c r="AU125" s="308">
        <v>11</v>
      </c>
      <c r="AV125" s="309">
        <v>127575</v>
      </c>
      <c r="AW125" s="310">
        <f t="shared" si="38"/>
        <v>1148200.5150000001</v>
      </c>
      <c r="AX125" s="311">
        <v>12</v>
      </c>
      <c r="AY125" s="312">
        <v>142176</v>
      </c>
      <c r="AZ125" s="313">
        <f t="shared" si="39"/>
        <v>1395940.8384</v>
      </c>
      <c r="BA125" s="308">
        <v>1</v>
      </c>
      <c r="BB125" s="309">
        <v>79000</v>
      </c>
      <c r="BC125" s="310">
        <f t="shared" si="40"/>
        <v>64637.8</v>
      </c>
      <c r="BD125" s="311">
        <v>1</v>
      </c>
      <c r="BE125" s="312">
        <v>163800</v>
      </c>
      <c r="BF125" s="313">
        <f t="shared" si="41"/>
        <v>134021.16</v>
      </c>
      <c r="BG125" s="308">
        <v>1</v>
      </c>
      <c r="BH125" s="309">
        <v>58000</v>
      </c>
      <c r="BI125" s="310">
        <f t="shared" si="42"/>
        <v>47455.600000000006</v>
      </c>
      <c r="BJ125" s="311">
        <v>3</v>
      </c>
      <c r="BK125" s="312">
        <v>53701</v>
      </c>
      <c r="BL125" s="313">
        <f t="shared" si="43"/>
        <v>131814.47460000002</v>
      </c>
      <c r="BM125" s="308">
        <v>5</v>
      </c>
      <c r="BN125" s="309">
        <v>63069</v>
      </c>
      <c r="BO125" s="310">
        <f t="shared" si="44"/>
        <v>258015.27900000001</v>
      </c>
      <c r="BP125" s="311">
        <v>5</v>
      </c>
      <c r="BQ125" s="312">
        <v>64971</v>
      </c>
      <c r="BR125" s="313">
        <f t="shared" si="45"/>
        <v>265796.36100000003</v>
      </c>
      <c r="BS125" s="308"/>
      <c r="BT125" s="309"/>
      <c r="BU125" s="310">
        <f t="shared" si="46"/>
        <v>0</v>
      </c>
      <c r="BV125" s="311"/>
      <c r="BW125" s="312"/>
      <c r="BX125" s="313">
        <f t="shared" si="47"/>
        <v>0</v>
      </c>
    </row>
    <row r="126" spans="1:76">
      <c r="A126" s="304" t="s">
        <v>448</v>
      </c>
      <c r="B126" s="305" t="s">
        <v>661</v>
      </c>
      <c r="C126" s="306">
        <v>139931</v>
      </c>
      <c r="D126" s="307">
        <v>3</v>
      </c>
      <c r="E126" s="308">
        <v>121</v>
      </c>
      <c r="F126" s="309">
        <v>77015</v>
      </c>
      <c r="G126" s="310">
        <f t="shared" si="24"/>
        <v>9318815</v>
      </c>
      <c r="H126" s="311">
        <v>125</v>
      </c>
      <c r="I126" s="312">
        <v>79093</v>
      </c>
      <c r="J126" s="313">
        <f t="shared" si="25"/>
        <v>9886625</v>
      </c>
      <c r="K126" s="308">
        <v>162</v>
      </c>
      <c r="L126" s="309">
        <v>62728</v>
      </c>
      <c r="M126" s="310">
        <f t="shared" si="26"/>
        <v>10161936</v>
      </c>
      <c r="N126" s="311">
        <v>173</v>
      </c>
      <c r="O126" s="312">
        <v>65670</v>
      </c>
      <c r="P126" s="313">
        <f t="shared" si="27"/>
        <v>11360910</v>
      </c>
      <c r="Q126" s="308">
        <v>275</v>
      </c>
      <c r="R126" s="309">
        <v>54180</v>
      </c>
      <c r="S126" s="310">
        <f t="shared" si="28"/>
        <v>14899500</v>
      </c>
      <c r="T126" s="311">
        <v>274</v>
      </c>
      <c r="U126" s="312">
        <v>55777</v>
      </c>
      <c r="V126" s="313">
        <f t="shared" si="29"/>
        <v>15282898</v>
      </c>
      <c r="W126" s="308">
        <v>114</v>
      </c>
      <c r="X126" s="309">
        <v>36158</v>
      </c>
      <c r="Y126" s="310">
        <f t="shared" si="30"/>
        <v>4122012</v>
      </c>
      <c r="Z126" s="311">
        <v>120</v>
      </c>
      <c r="AA126" s="312">
        <v>37206</v>
      </c>
      <c r="AB126" s="313">
        <f t="shared" si="31"/>
        <v>4464720</v>
      </c>
      <c r="AC126" s="308">
        <v>5</v>
      </c>
      <c r="AD126" s="309">
        <v>44100</v>
      </c>
      <c r="AE126" s="310">
        <f t="shared" si="32"/>
        <v>220500</v>
      </c>
      <c r="AF126" s="311">
        <v>10</v>
      </c>
      <c r="AG126" s="312">
        <v>46000</v>
      </c>
      <c r="AH126" s="313">
        <f t="shared" si="33"/>
        <v>460000</v>
      </c>
      <c r="AI126" s="308"/>
      <c r="AJ126" s="309"/>
      <c r="AK126" s="310">
        <f t="shared" si="34"/>
        <v>0</v>
      </c>
      <c r="AL126" s="311"/>
      <c r="AM126" s="312"/>
      <c r="AN126" s="313">
        <f t="shared" si="35"/>
        <v>0</v>
      </c>
      <c r="AO126" s="308">
        <v>25</v>
      </c>
      <c r="AP126" s="309">
        <v>106092</v>
      </c>
      <c r="AQ126" s="310">
        <f t="shared" si="36"/>
        <v>2170111.86</v>
      </c>
      <c r="AR126" s="311">
        <v>25</v>
      </c>
      <c r="AS126" s="312">
        <v>108193</v>
      </c>
      <c r="AT126" s="313">
        <f t="shared" si="37"/>
        <v>2213087.8149999999</v>
      </c>
      <c r="AU126" s="308">
        <v>7</v>
      </c>
      <c r="AV126" s="309">
        <v>96105</v>
      </c>
      <c r="AW126" s="310">
        <f t="shared" si="38"/>
        <v>550431.777</v>
      </c>
      <c r="AX126" s="311">
        <v>7</v>
      </c>
      <c r="AY126" s="312">
        <v>97293</v>
      </c>
      <c r="AZ126" s="313">
        <f t="shared" si="39"/>
        <v>557235.92820000008</v>
      </c>
      <c r="BA126" s="308">
        <v>2</v>
      </c>
      <c r="BB126" s="309">
        <v>69954</v>
      </c>
      <c r="BC126" s="310">
        <f t="shared" si="40"/>
        <v>114472.72560000001</v>
      </c>
      <c r="BD126" s="311">
        <v>3</v>
      </c>
      <c r="BE126" s="312">
        <v>80469</v>
      </c>
      <c r="BF126" s="313">
        <f t="shared" si="41"/>
        <v>197519.20740000001</v>
      </c>
      <c r="BG126" s="308">
        <v>1</v>
      </c>
      <c r="BH126" s="309">
        <v>47844</v>
      </c>
      <c r="BI126" s="310">
        <f t="shared" si="42"/>
        <v>39145.960800000001</v>
      </c>
      <c r="BJ126" s="311">
        <v>4</v>
      </c>
      <c r="BK126" s="312">
        <v>53831</v>
      </c>
      <c r="BL126" s="313">
        <f t="shared" si="43"/>
        <v>176178.0968</v>
      </c>
      <c r="BM126" s="308">
        <v>2</v>
      </c>
      <c r="BN126" s="309">
        <v>90000</v>
      </c>
      <c r="BO126" s="310">
        <f t="shared" si="44"/>
        <v>147276</v>
      </c>
      <c r="BP126" s="311">
        <v>3</v>
      </c>
      <c r="BQ126" s="312">
        <v>92621</v>
      </c>
      <c r="BR126" s="313">
        <f t="shared" si="45"/>
        <v>227347.50660000002</v>
      </c>
      <c r="BS126" s="308"/>
      <c r="BT126" s="309"/>
      <c r="BU126" s="310">
        <f t="shared" si="46"/>
        <v>0</v>
      </c>
      <c r="BV126" s="311"/>
      <c r="BW126" s="312"/>
      <c r="BX126" s="313">
        <f t="shared" si="47"/>
        <v>0</v>
      </c>
    </row>
    <row r="127" spans="1:76">
      <c r="A127" s="304" t="s">
        <v>448</v>
      </c>
      <c r="B127" s="305" t="s">
        <v>662</v>
      </c>
      <c r="C127" s="306">
        <v>141334</v>
      </c>
      <c r="D127" s="307">
        <v>3</v>
      </c>
      <c r="E127" s="308">
        <v>67</v>
      </c>
      <c r="F127" s="309">
        <v>75601</v>
      </c>
      <c r="G127" s="310">
        <f t="shared" si="24"/>
        <v>5065267</v>
      </c>
      <c r="H127" s="311">
        <v>61</v>
      </c>
      <c r="I127" s="312">
        <v>79628</v>
      </c>
      <c r="J127" s="313">
        <f t="shared" si="25"/>
        <v>4857308</v>
      </c>
      <c r="K127" s="308">
        <v>92</v>
      </c>
      <c r="L127" s="309">
        <v>57180</v>
      </c>
      <c r="M127" s="310">
        <f t="shared" si="26"/>
        <v>5260560</v>
      </c>
      <c r="N127" s="311">
        <v>90</v>
      </c>
      <c r="O127" s="312">
        <v>58908</v>
      </c>
      <c r="P127" s="313">
        <f t="shared" si="27"/>
        <v>5301720</v>
      </c>
      <c r="Q127" s="308">
        <v>125</v>
      </c>
      <c r="R127" s="309">
        <v>50500</v>
      </c>
      <c r="S127" s="310">
        <f t="shared" si="28"/>
        <v>6312500</v>
      </c>
      <c r="T127" s="311">
        <v>137</v>
      </c>
      <c r="U127" s="312">
        <v>51994</v>
      </c>
      <c r="V127" s="313">
        <f t="shared" si="29"/>
        <v>7123178</v>
      </c>
      <c r="W127" s="308">
        <v>82</v>
      </c>
      <c r="X127" s="309">
        <v>37129</v>
      </c>
      <c r="Y127" s="310">
        <f t="shared" si="30"/>
        <v>3044578</v>
      </c>
      <c r="Z127" s="311">
        <v>89</v>
      </c>
      <c r="AA127" s="312">
        <v>37188</v>
      </c>
      <c r="AB127" s="313">
        <f t="shared" si="31"/>
        <v>3309732</v>
      </c>
      <c r="AC127" s="308">
        <v>13</v>
      </c>
      <c r="AD127" s="309">
        <v>49457</v>
      </c>
      <c r="AE127" s="310">
        <f t="shared" si="32"/>
        <v>642941</v>
      </c>
      <c r="AF127" s="311">
        <v>17</v>
      </c>
      <c r="AG127" s="312">
        <v>48052</v>
      </c>
      <c r="AH127" s="313">
        <f t="shared" si="33"/>
        <v>816884</v>
      </c>
      <c r="AI127" s="308"/>
      <c r="AJ127" s="309"/>
      <c r="AK127" s="310">
        <f t="shared" si="34"/>
        <v>0</v>
      </c>
      <c r="AL127" s="311"/>
      <c r="AM127" s="312"/>
      <c r="AN127" s="313">
        <f t="shared" si="35"/>
        <v>0</v>
      </c>
      <c r="AO127" s="308">
        <v>9</v>
      </c>
      <c r="AP127" s="309">
        <v>110167</v>
      </c>
      <c r="AQ127" s="310">
        <f t="shared" si="36"/>
        <v>811247.75459999999</v>
      </c>
      <c r="AR127" s="311">
        <v>8</v>
      </c>
      <c r="AS127" s="312">
        <v>109496</v>
      </c>
      <c r="AT127" s="313">
        <f t="shared" si="37"/>
        <v>716717.01760000002</v>
      </c>
      <c r="AU127" s="308">
        <v>3</v>
      </c>
      <c r="AV127" s="309">
        <v>94560</v>
      </c>
      <c r="AW127" s="310">
        <f t="shared" si="38"/>
        <v>232106.97600000002</v>
      </c>
      <c r="AX127" s="311">
        <v>2</v>
      </c>
      <c r="AY127" s="312">
        <v>108882</v>
      </c>
      <c r="AZ127" s="313">
        <f t="shared" si="39"/>
        <v>178174.5048</v>
      </c>
      <c r="BA127" s="308">
        <v>2</v>
      </c>
      <c r="BB127" s="309">
        <v>79500</v>
      </c>
      <c r="BC127" s="310">
        <f t="shared" si="40"/>
        <v>130093.8</v>
      </c>
      <c r="BD127" s="311">
        <v>2</v>
      </c>
      <c r="BE127" s="312">
        <v>79500</v>
      </c>
      <c r="BF127" s="313">
        <f t="shared" si="41"/>
        <v>130093.8</v>
      </c>
      <c r="BG127" s="308">
        <v>0</v>
      </c>
      <c r="BH127" s="309"/>
      <c r="BI127" s="310">
        <f t="shared" si="42"/>
        <v>0</v>
      </c>
      <c r="BJ127" s="311">
        <v>1</v>
      </c>
      <c r="BK127" s="312">
        <v>39500</v>
      </c>
      <c r="BL127" s="313">
        <f t="shared" si="43"/>
        <v>32318.9</v>
      </c>
      <c r="BM127" s="308"/>
      <c r="BN127" s="309"/>
      <c r="BO127" s="310">
        <f t="shared" si="44"/>
        <v>0</v>
      </c>
      <c r="BP127" s="311"/>
      <c r="BQ127" s="312"/>
      <c r="BR127" s="313">
        <f t="shared" si="45"/>
        <v>0</v>
      </c>
      <c r="BS127" s="308"/>
      <c r="BT127" s="309"/>
      <c r="BU127" s="310">
        <f t="shared" si="46"/>
        <v>0</v>
      </c>
      <c r="BV127" s="311"/>
      <c r="BW127" s="312"/>
      <c r="BX127" s="313">
        <f t="shared" si="47"/>
        <v>0</v>
      </c>
    </row>
    <row r="128" spans="1:76">
      <c r="A128" s="304" t="s">
        <v>448</v>
      </c>
      <c r="B128" s="305" t="s">
        <v>663</v>
      </c>
      <c r="C128" s="306">
        <v>141264</v>
      </c>
      <c r="D128" s="307">
        <v>3</v>
      </c>
      <c r="E128" s="308">
        <v>116</v>
      </c>
      <c r="F128" s="309">
        <v>69647</v>
      </c>
      <c r="G128" s="310">
        <f t="shared" si="24"/>
        <v>8079052</v>
      </c>
      <c r="H128" s="311">
        <v>116</v>
      </c>
      <c r="I128" s="312">
        <v>74550</v>
      </c>
      <c r="J128" s="313">
        <f t="shared" si="25"/>
        <v>8647800</v>
      </c>
      <c r="K128" s="308">
        <v>99</v>
      </c>
      <c r="L128" s="309">
        <v>56261</v>
      </c>
      <c r="M128" s="310">
        <f t="shared" si="26"/>
        <v>5569839</v>
      </c>
      <c r="N128" s="311">
        <v>98</v>
      </c>
      <c r="O128" s="312">
        <v>59174</v>
      </c>
      <c r="P128" s="313">
        <f t="shared" si="27"/>
        <v>5799052</v>
      </c>
      <c r="Q128" s="308">
        <v>114</v>
      </c>
      <c r="R128" s="309">
        <v>51834</v>
      </c>
      <c r="S128" s="310">
        <f t="shared" si="28"/>
        <v>5909076</v>
      </c>
      <c r="T128" s="311">
        <v>118</v>
      </c>
      <c r="U128" s="312">
        <v>53184</v>
      </c>
      <c r="V128" s="313">
        <f t="shared" si="29"/>
        <v>6275712</v>
      </c>
      <c r="W128" s="308">
        <v>15</v>
      </c>
      <c r="X128" s="309">
        <v>46222</v>
      </c>
      <c r="Y128" s="310">
        <f t="shared" si="30"/>
        <v>693330</v>
      </c>
      <c r="Z128" s="311">
        <v>15</v>
      </c>
      <c r="AA128" s="312">
        <v>47496</v>
      </c>
      <c r="AB128" s="313">
        <f t="shared" si="31"/>
        <v>712440</v>
      </c>
      <c r="AC128" s="308">
        <v>3</v>
      </c>
      <c r="AD128" s="309">
        <v>41167</v>
      </c>
      <c r="AE128" s="310">
        <f t="shared" si="32"/>
        <v>123501</v>
      </c>
      <c r="AF128" s="311">
        <v>24</v>
      </c>
      <c r="AG128" s="312">
        <v>40363</v>
      </c>
      <c r="AH128" s="313">
        <f t="shared" si="33"/>
        <v>968712</v>
      </c>
      <c r="AI128" s="308"/>
      <c r="AJ128" s="309"/>
      <c r="AK128" s="310">
        <f t="shared" si="34"/>
        <v>0</v>
      </c>
      <c r="AL128" s="311"/>
      <c r="AM128" s="312"/>
      <c r="AN128" s="313">
        <f t="shared" si="35"/>
        <v>0</v>
      </c>
      <c r="AO128" s="308">
        <v>29</v>
      </c>
      <c r="AP128" s="309">
        <v>90034</v>
      </c>
      <c r="AQ128" s="310">
        <f t="shared" si="36"/>
        <v>2136308.7452000002</v>
      </c>
      <c r="AR128" s="311">
        <v>26</v>
      </c>
      <c r="AS128" s="312">
        <v>91263</v>
      </c>
      <c r="AT128" s="313">
        <f t="shared" si="37"/>
        <v>1941456.0516000001</v>
      </c>
      <c r="AU128" s="308">
        <v>13</v>
      </c>
      <c r="AV128" s="309">
        <v>70255</v>
      </c>
      <c r="AW128" s="310">
        <f t="shared" si="38"/>
        <v>747274.33299999998</v>
      </c>
      <c r="AX128" s="311">
        <v>13</v>
      </c>
      <c r="AY128" s="312">
        <v>73386</v>
      </c>
      <c r="AZ128" s="313">
        <f t="shared" si="39"/>
        <v>780577.52760000003</v>
      </c>
      <c r="BA128" s="308">
        <v>10</v>
      </c>
      <c r="BB128" s="309">
        <v>61907</v>
      </c>
      <c r="BC128" s="310">
        <f t="shared" si="40"/>
        <v>506523.07400000002</v>
      </c>
      <c r="BD128" s="311">
        <v>9</v>
      </c>
      <c r="BE128" s="312">
        <v>64611</v>
      </c>
      <c r="BF128" s="313">
        <f t="shared" si="41"/>
        <v>475782.48180000001</v>
      </c>
      <c r="BG128" s="308">
        <v>16</v>
      </c>
      <c r="BH128" s="309">
        <v>50735</v>
      </c>
      <c r="BI128" s="310">
        <f t="shared" si="42"/>
        <v>664182.03200000001</v>
      </c>
      <c r="BJ128" s="311">
        <v>16</v>
      </c>
      <c r="BK128" s="312">
        <v>53076</v>
      </c>
      <c r="BL128" s="313">
        <f t="shared" si="43"/>
        <v>694828.53120000008</v>
      </c>
      <c r="BM128" s="308"/>
      <c r="BN128" s="309"/>
      <c r="BO128" s="310">
        <f t="shared" si="44"/>
        <v>0</v>
      </c>
      <c r="BP128" s="311"/>
      <c r="BQ128" s="312"/>
      <c r="BR128" s="313">
        <f t="shared" si="45"/>
        <v>0</v>
      </c>
      <c r="BS128" s="308"/>
      <c r="BT128" s="309"/>
      <c r="BU128" s="310">
        <f t="shared" si="46"/>
        <v>0</v>
      </c>
      <c r="BV128" s="311"/>
      <c r="BW128" s="312"/>
      <c r="BX128" s="313">
        <f t="shared" si="47"/>
        <v>0</v>
      </c>
    </row>
    <row r="129" spans="1:76">
      <c r="A129" s="304" t="s">
        <v>448</v>
      </c>
      <c r="B129" s="305" t="s">
        <v>664</v>
      </c>
      <c r="C129" s="306">
        <v>138716</v>
      </c>
      <c r="D129" s="307">
        <v>4</v>
      </c>
      <c r="E129" s="308">
        <v>14</v>
      </c>
      <c r="F129" s="309">
        <v>68890</v>
      </c>
      <c r="G129" s="310">
        <f t="shared" si="24"/>
        <v>964460</v>
      </c>
      <c r="H129" s="311">
        <v>14</v>
      </c>
      <c r="I129" s="312">
        <v>70918</v>
      </c>
      <c r="J129" s="313">
        <f t="shared" si="25"/>
        <v>992852</v>
      </c>
      <c r="K129" s="308">
        <v>33</v>
      </c>
      <c r="L129" s="309">
        <v>58810</v>
      </c>
      <c r="M129" s="310">
        <f t="shared" si="26"/>
        <v>1940730</v>
      </c>
      <c r="N129" s="311">
        <v>32</v>
      </c>
      <c r="O129" s="312">
        <v>61108</v>
      </c>
      <c r="P129" s="313">
        <f t="shared" si="27"/>
        <v>1955456</v>
      </c>
      <c r="Q129" s="308">
        <v>76</v>
      </c>
      <c r="R129" s="309">
        <v>50315</v>
      </c>
      <c r="S129" s="310">
        <f t="shared" si="28"/>
        <v>3823940</v>
      </c>
      <c r="T129" s="311">
        <v>79</v>
      </c>
      <c r="U129" s="312">
        <v>51722</v>
      </c>
      <c r="V129" s="313">
        <f t="shared" si="29"/>
        <v>4086038</v>
      </c>
      <c r="W129" s="308">
        <v>14</v>
      </c>
      <c r="X129" s="309">
        <v>45910</v>
      </c>
      <c r="Y129" s="310">
        <f t="shared" si="30"/>
        <v>642740</v>
      </c>
      <c r="Z129" s="311">
        <v>17</v>
      </c>
      <c r="AA129" s="312">
        <v>46510</v>
      </c>
      <c r="AB129" s="313">
        <f t="shared" si="31"/>
        <v>790670</v>
      </c>
      <c r="AC129" s="308"/>
      <c r="AD129" s="309"/>
      <c r="AE129" s="310">
        <f t="shared" si="32"/>
        <v>0</v>
      </c>
      <c r="AF129" s="311">
        <v>0</v>
      </c>
      <c r="AG129" s="312"/>
      <c r="AH129" s="313">
        <f t="shared" si="33"/>
        <v>0</v>
      </c>
      <c r="AI129" s="308"/>
      <c r="AJ129" s="309"/>
      <c r="AK129" s="310">
        <f t="shared" si="34"/>
        <v>0</v>
      </c>
      <c r="AL129" s="311"/>
      <c r="AM129" s="312"/>
      <c r="AN129" s="313">
        <f t="shared" si="35"/>
        <v>0</v>
      </c>
      <c r="AO129" s="308">
        <v>2</v>
      </c>
      <c r="AP129" s="309">
        <v>90450</v>
      </c>
      <c r="AQ129" s="310">
        <f t="shared" si="36"/>
        <v>148012.38</v>
      </c>
      <c r="AR129" s="311">
        <v>3</v>
      </c>
      <c r="AS129" s="312">
        <v>95149</v>
      </c>
      <c r="AT129" s="313">
        <f t="shared" si="37"/>
        <v>233552.73540000001</v>
      </c>
      <c r="AU129" s="308">
        <v>5</v>
      </c>
      <c r="AV129" s="309">
        <v>84739</v>
      </c>
      <c r="AW129" s="310">
        <f t="shared" si="38"/>
        <v>346667.24900000001</v>
      </c>
      <c r="AX129" s="311">
        <v>5</v>
      </c>
      <c r="AY129" s="312">
        <v>85237</v>
      </c>
      <c r="AZ129" s="313">
        <f t="shared" si="39"/>
        <v>348704.56700000004</v>
      </c>
      <c r="BA129" s="308">
        <v>3</v>
      </c>
      <c r="BB129" s="309">
        <v>73702</v>
      </c>
      <c r="BC129" s="310">
        <f t="shared" si="40"/>
        <v>180908.92920000001</v>
      </c>
      <c r="BD129" s="311">
        <v>4</v>
      </c>
      <c r="BE129" s="312">
        <v>71010</v>
      </c>
      <c r="BF129" s="313">
        <f t="shared" si="41"/>
        <v>232401.52800000002</v>
      </c>
      <c r="BG129" s="308">
        <v>1</v>
      </c>
      <c r="BH129" s="309">
        <v>58000</v>
      </c>
      <c r="BI129" s="310">
        <f t="shared" si="42"/>
        <v>47455.600000000006</v>
      </c>
      <c r="BJ129" s="311">
        <v>0</v>
      </c>
      <c r="BK129" s="312"/>
      <c r="BL129" s="313">
        <f t="shared" si="43"/>
        <v>0</v>
      </c>
      <c r="BM129" s="308"/>
      <c r="BN129" s="309"/>
      <c r="BO129" s="310">
        <f t="shared" si="44"/>
        <v>0</v>
      </c>
      <c r="BP129" s="311"/>
      <c r="BQ129" s="312"/>
      <c r="BR129" s="313">
        <f t="shared" si="45"/>
        <v>0</v>
      </c>
      <c r="BS129" s="308"/>
      <c r="BT129" s="309"/>
      <c r="BU129" s="310">
        <f t="shared" si="46"/>
        <v>0</v>
      </c>
      <c r="BV129" s="311"/>
      <c r="BW129" s="312"/>
      <c r="BX129" s="313">
        <f t="shared" si="47"/>
        <v>0</v>
      </c>
    </row>
    <row r="130" spans="1:76">
      <c r="A130" s="304" t="s">
        <v>448</v>
      </c>
      <c r="B130" s="305" t="s">
        <v>665</v>
      </c>
      <c r="C130" s="306">
        <v>138789</v>
      </c>
      <c r="D130" s="307">
        <v>4</v>
      </c>
      <c r="E130" s="308">
        <v>36</v>
      </c>
      <c r="F130" s="309">
        <v>70451</v>
      </c>
      <c r="G130" s="310">
        <f t="shared" si="24"/>
        <v>2536236</v>
      </c>
      <c r="H130" s="311">
        <v>39</v>
      </c>
      <c r="I130" s="312">
        <v>80427</v>
      </c>
      <c r="J130" s="313">
        <f t="shared" si="25"/>
        <v>3136653</v>
      </c>
      <c r="K130" s="308">
        <v>44</v>
      </c>
      <c r="L130" s="309">
        <v>55027</v>
      </c>
      <c r="M130" s="310">
        <f t="shared" si="26"/>
        <v>2421188</v>
      </c>
      <c r="N130" s="311">
        <v>47</v>
      </c>
      <c r="O130" s="312">
        <v>59434</v>
      </c>
      <c r="P130" s="313">
        <f t="shared" si="27"/>
        <v>2793398</v>
      </c>
      <c r="Q130" s="308">
        <v>116</v>
      </c>
      <c r="R130" s="309">
        <v>49378</v>
      </c>
      <c r="S130" s="310">
        <f t="shared" si="28"/>
        <v>5727848</v>
      </c>
      <c r="T130" s="311">
        <v>111</v>
      </c>
      <c r="U130" s="312">
        <v>50366</v>
      </c>
      <c r="V130" s="313">
        <f t="shared" si="29"/>
        <v>5590626</v>
      </c>
      <c r="W130" s="308">
        <v>25</v>
      </c>
      <c r="X130" s="309">
        <v>39437</v>
      </c>
      <c r="Y130" s="310">
        <f t="shared" si="30"/>
        <v>985925</v>
      </c>
      <c r="Z130" s="311">
        <v>25</v>
      </c>
      <c r="AA130" s="312">
        <v>41592</v>
      </c>
      <c r="AB130" s="313">
        <f t="shared" si="31"/>
        <v>1039800</v>
      </c>
      <c r="AC130" s="308"/>
      <c r="AD130" s="309"/>
      <c r="AE130" s="310">
        <f t="shared" si="32"/>
        <v>0</v>
      </c>
      <c r="AF130" s="311">
        <v>0</v>
      </c>
      <c r="AG130" s="312"/>
      <c r="AH130" s="313">
        <f t="shared" si="33"/>
        <v>0</v>
      </c>
      <c r="AI130" s="308"/>
      <c r="AJ130" s="309"/>
      <c r="AK130" s="310">
        <f t="shared" si="34"/>
        <v>0</v>
      </c>
      <c r="AL130" s="311"/>
      <c r="AM130" s="312"/>
      <c r="AN130" s="313">
        <f t="shared" si="35"/>
        <v>0</v>
      </c>
      <c r="AO130" s="308">
        <v>14</v>
      </c>
      <c r="AP130" s="309">
        <v>90530</v>
      </c>
      <c r="AQ130" s="310">
        <f t="shared" si="36"/>
        <v>1037003.044</v>
      </c>
      <c r="AR130" s="311">
        <v>13</v>
      </c>
      <c r="AS130" s="312">
        <v>94075</v>
      </c>
      <c r="AT130" s="313">
        <f t="shared" si="37"/>
        <v>1000638.145</v>
      </c>
      <c r="AU130" s="308">
        <v>13</v>
      </c>
      <c r="AV130" s="309">
        <v>88191</v>
      </c>
      <c r="AW130" s="310">
        <f t="shared" si="38"/>
        <v>938052.39060000004</v>
      </c>
      <c r="AX130" s="311">
        <v>13</v>
      </c>
      <c r="AY130" s="312">
        <v>93374</v>
      </c>
      <c r="AZ130" s="313">
        <f t="shared" si="39"/>
        <v>993181.88840000005</v>
      </c>
      <c r="BA130" s="308">
        <v>12</v>
      </c>
      <c r="BB130" s="309">
        <v>64638</v>
      </c>
      <c r="BC130" s="310">
        <f t="shared" si="40"/>
        <v>634641.73920000007</v>
      </c>
      <c r="BD130" s="311">
        <v>12</v>
      </c>
      <c r="BE130" s="312">
        <v>67443</v>
      </c>
      <c r="BF130" s="313">
        <f t="shared" si="41"/>
        <v>662182.35120000003</v>
      </c>
      <c r="BG130" s="308">
        <v>3</v>
      </c>
      <c r="BH130" s="309">
        <v>54790</v>
      </c>
      <c r="BI130" s="310">
        <f t="shared" si="42"/>
        <v>134487.53400000001</v>
      </c>
      <c r="BJ130" s="311">
        <v>2</v>
      </c>
      <c r="BK130" s="312">
        <v>54792</v>
      </c>
      <c r="BL130" s="313">
        <f t="shared" si="43"/>
        <v>89661.628800000006</v>
      </c>
      <c r="BM130" s="308"/>
      <c r="BN130" s="309"/>
      <c r="BO130" s="310">
        <f t="shared" si="44"/>
        <v>0</v>
      </c>
      <c r="BP130" s="311"/>
      <c r="BQ130" s="312"/>
      <c r="BR130" s="313">
        <f t="shared" si="45"/>
        <v>0</v>
      </c>
      <c r="BS130" s="308"/>
      <c r="BT130" s="309"/>
      <c r="BU130" s="310">
        <f t="shared" si="46"/>
        <v>0</v>
      </c>
      <c r="BV130" s="311"/>
      <c r="BW130" s="312"/>
      <c r="BX130" s="313">
        <f t="shared" si="47"/>
        <v>0</v>
      </c>
    </row>
    <row r="131" spans="1:76">
      <c r="A131" s="304" t="s">
        <v>448</v>
      </c>
      <c r="B131" s="405" t="s">
        <v>666</v>
      </c>
      <c r="C131" s="306">
        <v>139366</v>
      </c>
      <c r="D131" s="307">
        <v>4</v>
      </c>
      <c r="E131" s="308">
        <v>43</v>
      </c>
      <c r="F131" s="309">
        <v>68345</v>
      </c>
      <c r="G131" s="310">
        <f t="shared" si="24"/>
        <v>2938835</v>
      </c>
      <c r="H131" s="311">
        <v>41</v>
      </c>
      <c r="I131" s="312">
        <v>70247</v>
      </c>
      <c r="J131" s="313">
        <f t="shared" si="25"/>
        <v>2880127</v>
      </c>
      <c r="K131" s="308">
        <v>78</v>
      </c>
      <c r="L131" s="309">
        <v>56908</v>
      </c>
      <c r="M131" s="310">
        <f t="shared" si="26"/>
        <v>4438824</v>
      </c>
      <c r="N131" s="311">
        <v>69</v>
      </c>
      <c r="O131" s="312">
        <v>60466</v>
      </c>
      <c r="P131" s="313">
        <f t="shared" si="27"/>
        <v>4172154</v>
      </c>
      <c r="Q131" s="308">
        <v>86</v>
      </c>
      <c r="R131" s="309">
        <v>48135</v>
      </c>
      <c r="S131" s="310">
        <f t="shared" si="28"/>
        <v>4139610</v>
      </c>
      <c r="T131" s="311">
        <v>89</v>
      </c>
      <c r="U131" s="312">
        <v>50941</v>
      </c>
      <c r="V131" s="313">
        <f t="shared" si="29"/>
        <v>4533749</v>
      </c>
      <c r="W131" s="308">
        <v>8</v>
      </c>
      <c r="X131" s="309">
        <v>47991</v>
      </c>
      <c r="Y131" s="310">
        <f t="shared" si="30"/>
        <v>383928</v>
      </c>
      <c r="Z131" s="311">
        <v>6</v>
      </c>
      <c r="AA131" s="312">
        <v>49617</v>
      </c>
      <c r="AB131" s="313">
        <f t="shared" si="31"/>
        <v>297702</v>
      </c>
      <c r="AC131" s="308">
        <v>1</v>
      </c>
      <c r="AD131" s="309">
        <v>55000</v>
      </c>
      <c r="AE131" s="310">
        <f t="shared" si="32"/>
        <v>55000</v>
      </c>
      <c r="AF131" s="311">
        <v>6</v>
      </c>
      <c r="AG131" s="312">
        <v>43983</v>
      </c>
      <c r="AH131" s="313">
        <f t="shared" si="33"/>
        <v>263898</v>
      </c>
      <c r="AI131" s="308"/>
      <c r="AJ131" s="309"/>
      <c r="AK131" s="310">
        <f t="shared" si="34"/>
        <v>0</v>
      </c>
      <c r="AL131" s="311"/>
      <c r="AM131" s="312"/>
      <c r="AN131" s="313">
        <f t="shared" si="35"/>
        <v>0</v>
      </c>
      <c r="AO131" s="308">
        <v>8</v>
      </c>
      <c r="AP131" s="309">
        <v>101532</v>
      </c>
      <c r="AQ131" s="310">
        <f t="shared" si="36"/>
        <v>664587.85920000006</v>
      </c>
      <c r="AR131" s="311">
        <v>9</v>
      </c>
      <c r="AS131" s="312">
        <v>104969</v>
      </c>
      <c r="AT131" s="313">
        <f t="shared" si="37"/>
        <v>772970.72220000008</v>
      </c>
      <c r="AU131" s="308">
        <v>7</v>
      </c>
      <c r="AV131" s="309">
        <v>80602</v>
      </c>
      <c r="AW131" s="310">
        <f t="shared" si="38"/>
        <v>461639.89480000001</v>
      </c>
      <c r="AX131" s="311">
        <v>5</v>
      </c>
      <c r="AY131" s="312">
        <v>77909</v>
      </c>
      <c r="AZ131" s="313">
        <f t="shared" si="39"/>
        <v>318725.71900000004</v>
      </c>
      <c r="BA131" s="308">
        <v>8</v>
      </c>
      <c r="BB131" s="309">
        <v>52172</v>
      </c>
      <c r="BC131" s="310">
        <f t="shared" si="40"/>
        <v>341497.04320000001</v>
      </c>
      <c r="BD131" s="311">
        <v>6</v>
      </c>
      <c r="BE131" s="312">
        <v>47219</v>
      </c>
      <c r="BF131" s="313">
        <f t="shared" si="41"/>
        <v>231807.5148</v>
      </c>
      <c r="BG131" s="308">
        <v>1</v>
      </c>
      <c r="BH131" s="309">
        <v>66000</v>
      </c>
      <c r="BI131" s="310">
        <f t="shared" si="42"/>
        <v>54001.200000000004</v>
      </c>
      <c r="BJ131" s="311">
        <v>2</v>
      </c>
      <c r="BK131" s="312">
        <v>40000</v>
      </c>
      <c r="BL131" s="313">
        <f t="shared" si="43"/>
        <v>65456</v>
      </c>
      <c r="BM131" s="308"/>
      <c r="BN131" s="309"/>
      <c r="BO131" s="310">
        <f t="shared" si="44"/>
        <v>0</v>
      </c>
      <c r="BP131" s="311"/>
      <c r="BQ131" s="312"/>
      <c r="BR131" s="313">
        <f t="shared" si="45"/>
        <v>0</v>
      </c>
      <c r="BS131" s="308"/>
      <c r="BT131" s="309"/>
      <c r="BU131" s="310">
        <f t="shared" si="46"/>
        <v>0</v>
      </c>
      <c r="BV131" s="311"/>
      <c r="BW131" s="312"/>
      <c r="BX131" s="313">
        <f t="shared" si="47"/>
        <v>0</v>
      </c>
    </row>
    <row r="132" spans="1:76">
      <c r="A132" s="304" t="s">
        <v>448</v>
      </c>
      <c r="B132" s="305" t="s">
        <v>667</v>
      </c>
      <c r="C132" s="306">
        <v>139861</v>
      </c>
      <c r="D132" s="307">
        <v>4</v>
      </c>
      <c r="E132" s="308">
        <v>53</v>
      </c>
      <c r="F132" s="309">
        <v>63387</v>
      </c>
      <c r="G132" s="310">
        <f t="shared" si="24"/>
        <v>3359511</v>
      </c>
      <c r="H132" s="311">
        <v>51</v>
      </c>
      <c r="I132" s="312">
        <v>67448</v>
      </c>
      <c r="J132" s="313">
        <f t="shared" si="25"/>
        <v>3439848</v>
      </c>
      <c r="K132" s="308">
        <v>54</v>
      </c>
      <c r="L132" s="309">
        <v>54278</v>
      </c>
      <c r="M132" s="310">
        <f t="shared" si="26"/>
        <v>2931012</v>
      </c>
      <c r="N132" s="311">
        <v>52</v>
      </c>
      <c r="O132" s="312">
        <v>55984</v>
      </c>
      <c r="P132" s="313">
        <f t="shared" si="27"/>
        <v>2911168</v>
      </c>
      <c r="Q132" s="308">
        <v>98</v>
      </c>
      <c r="R132" s="309">
        <v>51583</v>
      </c>
      <c r="S132" s="310">
        <f t="shared" si="28"/>
        <v>5055134</v>
      </c>
      <c r="T132" s="311">
        <v>81</v>
      </c>
      <c r="U132" s="312">
        <v>52052</v>
      </c>
      <c r="V132" s="313">
        <f t="shared" si="29"/>
        <v>4216212</v>
      </c>
      <c r="W132" s="308">
        <v>20</v>
      </c>
      <c r="X132" s="309">
        <v>39763</v>
      </c>
      <c r="Y132" s="310">
        <f t="shared" si="30"/>
        <v>795260</v>
      </c>
      <c r="Z132" s="311">
        <v>15</v>
      </c>
      <c r="AA132" s="312">
        <v>44829</v>
      </c>
      <c r="AB132" s="313">
        <f t="shared" si="31"/>
        <v>672435</v>
      </c>
      <c r="AC132" s="308">
        <v>6</v>
      </c>
      <c r="AD132" s="309">
        <v>40166</v>
      </c>
      <c r="AE132" s="310">
        <f t="shared" si="32"/>
        <v>240996</v>
      </c>
      <c r="AF132" s="311">
        <v>5</v>
      </c>
      <c r="AG132" s="312">
        <v>40899</v>
      </c>
      <c r="AH132" s="313">
        <f t="shared" si="33"/>
        <v>204495</v>
      </c>
      <c r="AI132" s="308"/>
      <c r="AJ132" s="309"/>
      <c r="AK132" s="310">
        <f t="shared" si="34"/>
        <v>0</v>
      </c>
      <c r="AL132" s="311"/>
      <c r="AM132" s="312"/>
      <c r="AN132" s="313">
        <f t="shared" si="35"/>
        <v>0</v>
      </c>
      <c r="AO132" s="308">
        <v>19</v>
      </c>
      <c r="AP132" s="309">
        <v>88976</v>
      </c>
      <c r="AQ132" s="310">
        <f t="shared" si="36"/>
        <v>1383203.1008000001</v>
      </c>
      <c r="AR132" s="311">
        <v>20</v>
      </c>
      <c r="AS132" s="312">
        <v>89377</v>
      </c>
      <c r="AT132" s="313">
        <f t="shared" si="37"/>
        <v>1462565.2280000001</v>
      </c>
      <c r="AU132" s="308">
        <v>7</v>
      </c>
      <c r="AV132" s="309">
        <v>58792</v>
      </c>
      <c r="AW132" s="310">
        <f t="shared" si="38"/>
        <v>336725.30080000003</v>
      </c>
      <c r="AX132" s="311">
        <v>9</v>
      </c>
      <c r="AY132" s="312">
        <v>64881</v>
      </c>
      <c r="AZ132" s="313">
        <f t="shared" si="39"/>
        <v>477770.70780000003</v>
      </c>
      <c r="BA132" s="308">
        <v>3</v>
      </c>
      <c r="BB132" s="309">
        <v>63820</v>
      </c>
      <c r="BC132" s="310">
        <f t="shared" si="40"/>
        <v>156652.57200000001</v>
      </c>
      <c r="BD132" s="311">
        <v>7</v>
      </c>
      <c r="BE132" s="312">
        <v>71929</v>
      </c>
      <c r="BF132" s="313">
        <f t="shared" si="41"/>
        <v>411966.15460000001</v>
      </c>
      <c r="BG132" s="308">
        <v>2</v>
      </c>
      <c r="BH132" s="309">
        <v>50943</v>
      </c>
      <c r="BI132" s="310">
        <f t="shared" si="42"/>
        <v>83363.125200000009</v>
      </c>
      <c r="BJ132" s="311">
        <v>2</v>
      </c>
      <c r="BK132" s="312">
        <v>51855</v>
      </c>
      <c r="BL132" s="313">
        <f t="shared" si="43"/>
        <v>84855.521999999997</v>
      </c>
      <c r="BM132" s="308"/>
      <c r="BN132" s="309"/>
      <c r="BO132" s="310">
        <f t="shared" si="44"/>
        <v>0</v>
      </c>
      <c r="BP132" s="311"/>
      <c r="BQ132" s="312"/>
      <c r="BR132" s="313">
        <f t="shared" si="45"/>
        <v>0</v>
      </c>
      <c r="BS132" s="308"/>
      <c r="BT132" s="309"/>
      <c r="BU132" s="310">
        <f t="shared" si="46"/>
        <v>0</v>
      </c>
      <c r="BV132" s="311"/>
      <c r="BW132" s="312"/>
      <c r="BX132" s="313">
        <f t="shared" si="47"/>
        <v>0</v>
      </c>
    </row>
    <row r="133" spans="1:76">
      <c r="A133" s="304" t="s">
        <v>448</v>
      </c>
      <c r="B133" s="305" t="s">
        <v>668</v>
      </c>
      <c r="C133" s="306">
        <v>140164</v>
      </c>
      <c r="D133" s="307">
        <v>4</v>
      </c>
      <c r="E133" s="308">
        <v>109</v>
      </c>
      <c r="F133" s="309">
        <v>77552</v>
      </c>
      <c r="G133" s="310">
        <f t="shared" si="24"/>
        <v>8453168</v>
      </c>
      <c r="H133" s="311">
        <v>104</v>
      </c>
      <c r="I133" s="312">
        <v>80670</v>
      </c>
      <c r="J133" s="313">
        <f t="shared" si="25"/>
        <v>8389680</v>
      </c>
      <c r="K133" s="308">
        <v>129</v>
      </c>
      <c r="L133" s="309">
        <v>63542</v>
      </c>
      <c r="M133" s="310">
        <f t="shared" si="26"/>
        <v>8196918</v>
      </c>
      <c r="N133" s="311">
        <v>137</v>
      </c>
      <c r="O133" s="312">
        <v>65788</v>
      </c>
      <c r="P133" s="313">
        <f t="shared" si="27"/>
        <v>9012956</v>
      </c>
      <c r="Q133" s="308">
        <v>235</v>
      </c>
      <c r="R133" s="309">
        <v>54575</v>
      </c>
      <c r="S133" s="310">
        <f t="shared" si="28"/>
        <v>12825125</v>
      </c>
      <c r="T133" s="311">
        <v>236</v>
      </c>
      <c r="U133" s="312">
        <v>56237</v>
      </c>
      <c r="V133" s="313">
        <f t="shared" si="29"/>
        <v>13271932</v>
      </c>
      <c r="W133" s="308">
        <v>57</v>
      </c>
      <c r="X133" s="309">
        <v>42147</v>
      </c>
      <c r="Y133" s="310">
        <f t="shared" si="30"/>
        <v>2402379</v>
      </c>
      <c r="Z133" s="311">
        <v>12</v>
      </c>
      <c r="AA133" s="312">
        <v>43708</v>
      </c>
      <c r="AB133" s="313">
        <f t="shared" si="31"/>
        <v>524496</v>
      </c>
      <c r="AC133" s="308">
        <v>62</v>
      </c>
      <c r="AD133" s="309">
        <v>44543</v>
      </c>
      <c r="AE133" s="310">
        <f t="shared" si="32"/>
        <v>2761666</v>
      </c>
      <c r="AF133" s="311">
        <v>74</v>
      </c>
      <c r="AG133" s="312">
        <v>46226</v>
      </c>
      <c r="AH133" s="313">
        <f t="shared" si="33"/>
        <v>3420724</v>
      </c>
      <c r="AI133" s="308"/>
      <c r="AJ133" s="309"/>
      <c r="AK133" s="310">
        <f t="shared" si="34"/>
        <v>0</v>
      </c>
      <c r="AL133" s="311"/>
      <c r="AM133" s="312"/>
      <c r="AN133" s="313">
        <f t="shared" si="35"/>
        <v>0</v>
      </c>
      <c r="AO133" s="308">
        <v>31</v>
      </c>
      <c r="AP133" s="309">
        <v>100149</v>
      </c>
      <c r="AQ133" s="310">
        <f t="shared" si="36"/>
        <v>2540199.2658000002</v>
      </c>
      <c r="AR133" s="311">
        <v>45</v>
      </c>
      <c r="AS133" s="312">
        <v>106890</v>
      </c>
      <c r="AT133" s="313">
        <f t="shared" si="37"/>
        <v>3935582.91</v>
      </c>
      <c r="AU133" s="308">
        <v>14</v>
      </c>
      <c r="AV133" s="309">
        <v>83963</v>
      </c>
      <c r="AW133" s="310">
        <f t="shared" si="38"/>
        <v>961779.37239999999</v>
      </c>
      <c r="AX133" s="311">
        <v>19</v>
      </c>
      <c r="AY133" s="312">
        <v>88607</v>
      </c>
      <c r="AZ133" s="313">
        <f t="shared" si="39"/>
        <v>1377466.7006000001</v>
      </c>
      <c r="BA133" s="308">
        <v>12</v>
      </c>
      <c r="BB133" s="309">
        <v>83153</v>
      </c>
      <c r="BC133" s="310">
        <f t="shared" si="40"/>
        <v>816429.41520000005</v>
      </c>
      <c r="BD133" s="311">
        <v>15</v>
      </c>
      <c r="BE133" s="312">
        <v>83535</v>
      </c>
      <c r="BF133" s="313">
        <f t="shared" si="41"/>
        <v>1025225.0550000001</v>
      </c>
      <c r="BG133" s="308">
        <v>5</v>
      </c>
      <c r="BH133" s="309">
        <v>56681</v>
      </c>
      <c r="BI133" s="310">
        <f t="shared" si="42"/>
        <v>231881.97100000002</v>
      </c>
      <c r="BJ133" s="311">
        <v>2</v>
      </c>
      <c r="BK133" s="312">
        <v>54103</v>
      </c>
      <c r="BL133" s="313">
        <f t="shared" si="43"/>
        <v>88534.1492</v>
      </c>
      <c r="BM133" s="308">
        <v>8</v>
      </c>
      <c r="BN133" s="309">
        <v>66068</v>
      </c>
      <c r="BO133" s="310">
        <f t="shared" si="44"/>
        <v>432454.70079999999</v>
      </c>
      <c r="BP133" s="311">
        <v>10</v>
      </c>
      <c r="BQ133" s="312">
        <v>68077</v>
      </c>
      <c r="BR133" s="313">
        <f t="shared" si="45"/>
        <v>557006.01400000008</v>
      </c>
      <c r="BS133" s="308"/>
      <c r="BT133" s="309"/>
      <c r="BU133" s="310">
        <f t="shared" si="46"/>
        <v>0</v>
      </c>
      <c r="BV133" s="311"/>
      <c r="BW133" s="312"/>
      <c r="BX133" s="313">
        <f t="shared" si="47"/>
        <v>0</v>
      </c>
    </row>
    <row r="134" spans="1:76">
      <c r="A134" s="304" t="s">
        <v>448</v>
      </c>
      <c r="B134" s="305" t="s">
        <v>669</v>
      </c>
      <c r="C134" s="306">
        <v>138983</v>
      </c>
      <c r="D134" s="307">
        <v>5</v>
      </c>
      <c r="E134" s="308">
        <v>54</v>
      </c>
      <c r="F134" s="309">
        <v>72785</v>
      </c>
      <c r="G134" s="310">
        <f t="shared" si="24"/>
        <v>3930390</v>
      </c>
      <c r="H134" s="311">
        <v>50</v>
      </c>
      <c r="I134" s="312">
        <v>75178</v>
      </c>
      <c r="J134" s="313">
        <f t="shared" si="25"/>
        <v>3758900</v>
      </c>
      <c r="K134" s="308">
        <v>56</v>
      </c>
      <c r="L134" s="309">
        <v>57267</v>
      </c>
      <c r="M134" s="310">
        <f t="shared" si="26"/>
        <v>3206952</v>
      </c>
      <c r="N134" s="311">
        <v>57</v>
      </c>
      <c r="O134" s="312">
        <v>58962</v>
      </c>
      <c r="P134" s="313">
        <f t="shared" si="27"/>
        <v>3360834</v>
      </c>
      <c r="Q134" s="308">
        <v>82</v>
      </c>
      <c r="R134" s="309">
        <v>49869</v>
      </c>
      <c r="S134" s="310">
        <f t="shared" si="28"/>
        <v>4089258</v>
      </c>
      <c r="T134" s="311">
        <v>86</v>
      </c>
      <c r="U134" s="312">
        <v>52809</v>
      </c>
      <c r="V134" s="313">
        <f t="shared" si="29"/>
        <v>4541574</v>
      </c>
      <c r="W134" s="308">
        <v>33</v>
      </c>
      <c r="X134" s="309">
        <v>41150</v>
      </c>
      <c r="Y134" s="310">
        <f t="shared" si="30"/>
        <v>1357950</v>
      </c>
      <c r="Z134" s="311">
        <v>32</v>
      </c>
      <c r="AA134" s="312">
        <v>38831</v>
      </c>
      <c r="AB134" s="313">
        <f t="shared" si="31"/>
        <v>1242592</v>
      </c>
      <c r="AC134" s="308">
        <v>7</v>
      </c>
      <c r="AD134" s="309">
        <v>37592</v>
      </c>
      <c r="AE134" s="310">
        <f t="shared" si="32"/>
        <v>263144</v>
      </c>
      <c r="AF134" s="311">
        <v>11</v>
      </c>
      <c r="AG134" s="312">
        <v>43830</v>
      </c>
      <c r="AH134" s="313">
        <f t="shared" si="33"/>
        <v>482130</v>
      </c>
      <c r="AI134" s="308"/>
      <c r="AJ134" s="309"/>
      <c r="AK134" s="310">
        <f t="shared" si="34"/>
        <v>0</v>
      </c>
      <c r="AL134" s="311"/>
      <c r="AM134" s="312"/>
      <c r="AN134" s="313">
        <f t="shared" si="35"/>
        <v>0</v>
      </c>
      <c r="AO134" s="308">
        <v>1</v>
      </c>
      <c r="AP134" s="309">
        <v>83751</v>
      </c>
      <c r="AQ134" s="310">
        <f t="shared" si="36"/>
        <v>68525.068200000009</v>
      </c>
      <c r="AR134" s="311">
        <v>1</v>
      </c>
      <c r="AS134" s="312">
        <v>86515</v>
      </c>
      <c r="AT134" s="313">
        <f t="shared" si="37"/>
        <v>70786.573000000004</v>
      </c>
      <c r="AU134" s="308">
        <v>0</v>
      </c>
      <c r="AV134" s="309"/>
      <c r="AW134" s="310">
        <f t="shared" si="38"/>
        <v>0</v>
      </c>
      <c r="AX134" s="311">
        <v>1</v>
      </c>
      <c r="AY134" s="312">
        <v>78627</v>
      </c>
      <c r="AZ134" s="313">
        <f t="shared" si="39"/>
        <v>64332.611400000002</v>
      </c>
      <c r="BA134" s="308">
        <v>1</v>
      </c>
      <c r="BB134" s="309">
        <v>65000</v>
      </c>
      <c r="BC134" s="310">
        <f t="shared" si="40"/>
        <v>53183</v>
      </c>
      <c r="BD134" s="311">
        <v>0</v>
      </c>
      <c r="BE134" s="312"/>
      <c r="BF134" s="313">
        <f t="shared" si="41"/>
        <v>0</v>
      </c>
      <c r="BG134" s="308">
        <v>1</v>
      </c>
      <c r="BH134" s="309">
        <v>65869</v>
      </c>
      <c r="BI134" s="310">
        <f t="shared" si="42"/>
        <v>53894.015800000001</v>
      </c>
      <c r="BJ134" s="311">
        <v>1</v>
      </c>
      <c r="BK134" s="312">
        <v>66857</v>
      </c>
      <c r="BL134" s="313">
        <f t="shared" si="43"/>
        <v>54702.397400000002</v>
      </c>
      <c r="BM134" s="308"/>
      <c r="BN134" s="309"/>
      <c r="BO134" s="310">
        <f t="shared" si="44"/>
        <v>0</v>
      </c>
      <c r="BP134" s="311"/>
      <c r="BQ134" s="312"/>
      <c r="BR134" s="313">
        <f t="shared" si="45"/>
        <v>0</v>
      </c>
      <c r="BS134" s="308"/>
      <c r="BT134" s="309"/>
      <c r="BU134" s="310">
        <f t="shared" si="46"/>
        <v>0</v>
      </c>
      <c r="BV134" s="311"/>
      <c r="BW134" s="312"/>
      <c r="BX134" s="313">
        <f t="shared" si="47"/>
        <v>0</v>
      </c>
    </row>
    <row r="135" spans="1:76">
      <c r="A135" s="304" t="s">
        <v>448</v>
      </c>
      <c r="B135" s="405" t="s">
        <v>670</v>
      </c>
      <c r="C135" s="306">
        <v>139719</v>
      </c>
      <c r="D135" s="307">
        <v>5</v>
      </c>
      <c r="E135" s="308">
        <v>11</v>
      </c>
      <c r="F135" s="309">
        <v>76476</v>
      </c>
      <c r="G135" s="310">
        <f t="shared" si="24"/>
        <v>841236</v>
      </c>
      <c r="H135" s="311">
        <v>11</v>
      </c>
      <c r="I135" s="312">
        <v>76795</v>
      </c>
      <c r="J135" s="313">
        <f t="shared" si="25"/>
        <v>844745</v>
      </c>
      <c r="K135" s="308">
        <v>23</v>
      </c>
      <c r="L135" s="309">
        <v>58842</v>
      </c>
      <c r="M135" s="310">
        <f t="shared" si="26"/>
        <v>1353366</v>
      </c>
      <c r="N135" s="311">
        <v>23</v>
      </c>
      <c r="O135" s="312">
        <v>59993</v>
      </c>
      <c r="P135" s="313">
        <f t="shared" si="27"/>
        <v>1379839</v>
      </c>
      <c r="Q135" s="308">
        <v>37</v>
      </c>
      <c r="R135" s="309">
        <v>46383</v>
      </c>
      <c r="S135" s="310">
        <f t="shared" si="28"/>
        <v>1716171</v>
      </c>
      <c r="T135" s="311">
        <v>36</v>
      </c>
      <c r="U135" s="312">
        <v>47824</v>
      </c>
      <c r="V135" s="313">
        <f t="shared" si="29"/>
        <v>1721664</v>
      </c>
      <c r="W135" s="308">
        <v>11</v>
      </c>
      <c r="X135" s="309">
        <v>41455</v>
      </c>
      <c r="Y135" s="310">
        <f t="shared" si="30"/>
        <v>456005</v>
      </c>
      <c r="Z135" s="311">
        <v>12</v>
      </c>
      <c r="AA135" s="312">
        <v>43934</v>
      </c>
      <c r="AB135" s="313">
        <f t="shared" si="31"/>
        <v>527208</v>
      </c>
      <c r="AC135" s="308"/>
      <c r="AD135" s="309"/>
      <c r="AE135" s="310">
        <f t="shared" si="32"/>
        <v>0</v>
      </c>
      <c r="AF135" s="311">
        <v>0</v>
      </c>
      <c r="AG135" s="312"/>
      <c r="AH135" s="313">
        <f t="shared" si="33"/>
        <v>0</v>
      </c>
      <c r="AI135" s="308"/>
      <c r="AJ135" s="309"/>
      <c r="AK135" s="310">
        <f t="shared" si="34"/>
        <v>0</v>
      </c>
      <c r="AL135" s="311"/>
      <c r="AM135" s="312"/>
      <c r="AN135" s="313">
        <f t="shared" si="35"/>
        <v>0</v>
      </c>
      <c r="AO135" s="308">
        <v>9</v>
      </c>
      <c r="AP135" s="309">
        <v>86772</v>
      </c>
      <c r="AQ135" s="310">
        <f t="shared" si="36"/>
        <v>638971.65360000008</v>
      </c>
      <c r="AR135" s="311">
        <v>8</v>
      </c>
      <c r="AS135" s="312">
        <v>95154</v>
      </c>
      <c r="AT135" s="313">
        <f t="shared" si="37"/>
        <v>622840.02240000002</v>
      </c>
      <c r="AU135" s="308">
        <v>6</v>
      </c>
      <c r="AV135" s="309">
        <v>69323</v>
      </c>
      <c r="AW135" s="310">
        <f t="shared" si="38"/>
        <v>340320.47159999999</v>
      </c>
      <c r="AX135" s="311">
        <v>7</v>
      </c>
      <c r="AY135" s="312">
        <v>77806</v>
      </c>
      <c r="AZ135" s="313">
        <f t="shared" si="39"/>
        <v>445626.08439999999</v>
      </c>
      <c r="BA135" s="308">
        <v>7</v>
      </c>
      <c r="BB135" s="309">
        <v>64847</v>
      </c>
      <c r="BC135" s="310">
        <f t="shared" si="40"/>
        <v>371404.70780000003</v>
      </c>
      <c r="BD135" s="311">
        <v>10</v>
      </c>
      <c r="BE135" s="312">
        <v>67643</v>
      </c>
      <c r="BF135" s="313">
        <f t="shared" si="41"/>
        <v>553455.02600000007</v>
      </c>
      <c r="BG135" s="308">
        <v>0</v>
      </c>
      <c r="BH135" s="309"/>
      <c r="BI135" s="310">
        <f t="shared" si="42"/>
        <v>0</v>
      </c>
      <c r="BJ135" s="311">
        <v>0</v>
      </c>
      <c r="BK135" s="312"/>
      <c r="BL135" s="313">
        <f t="shared" si="43"/>
        <v>0</v>
      </c>
      <c r="BM135" s="308"/>
      <c r="BN135" s="309"/>
      <c r="BO135" s="310">
        <f t="shared" si="44"/>
        <v>0</v>
      </c>
      <c r="BP135" s="311"/>
      <c r="BQ135" s="312"/>
      <c r="BR135" s="313">
        <f t="shared" si="45"/>
        <v>0</v>
      </c>
      <c r="BS135" s="308"/>
      <c r="BT135" s="309"/>
      <c r="BU135" s="310">
        <f t="shared" si="46"/>
        <v>0</v>
      </c>
      <c r="BV135" s="311"/>
      <c r="BW135" s="312"/>
      <c r="BX135" s="313">
        <f t="shared" si="47"/>
        <v>0</v>
      </c>
    </row>
    <row r="136" spans="1:76">
      <c r="A136" s="304" t="s">
        <v>448</v>
      </c>
      <c r="B136" s="305" t="s">
        <v>671</v>
      </c>
      <c r="C136" s="306">
        <v>139764</v>
      </c>
      <c r="D136" s="307">
        <v>5</v>
      </c>
      <c r="E136" s="308">
        <v>15</v>
      </c>
      <c r="F136" s="309">
        <v>69854</v>
      </c>
      <c r="G136" s="310">
        <f t="shared" si="24"/>
        <v>1047810</v>
      </c>
      <c r="H136" s="311">
        <v>18</v>
      </c>
      <c r="I136" s="312">
        <v>70185</v>
      </c>
      <c r="J136" s="313">
        <f t="shared" si="25"/>
        <v>1263330</v>
      </c>
      <c r="K136" s="308">
        <v>24</v>
      </c>
      <c r="L136" s="309">
        <v>56177</v>
      </c>
      <c r="M136" s="310">
        <f t="shared" si="26"/>
        <v>1348248</v>
      </c>
      <c r="N136" s="311">
        <v>25</v>
      </c>
      <c r="O136" s="312">
        <v>58228</v>
      </c>
      <c r="P136" s="313">
        <f t="shared" si="27"/>
        <v>1455700</v>
      </c>
      <c r="Q136" s="308">
        <v>38</v>
      </c>
      <c r="R136" s="309">
        <v>48592</v>
      </c>
      <c r="S136" s="310">
        <f t="shared" si="28"/>
        <v>1846496</v>
      </c>
      <c r="T136" s="311">
        <v>41</v>
      </c>
      <c r="U136" s="312">
        <v>51186</v>
      </c>
      <c r="V136" s="313">
        <f t="shared" si="29"/>
        <v>2098626</v>
      </c>
      <c r="W136" s="308">
        <v>12</v>
      </c>
      <c r="X136" s="309">
        <v>42174</v>
      </c>
      <c r="Y136" s="310">
        <f t="shared" si="30"/>
        <v>506088</v>
      </c>
      <c r="Z136" s="311">
        <v>11</v>
      </c>
      <c r="AA136" s="312">
        <v>41505</v>
      </c>
      <c r="AB136" s="313">
        <f t="shared" si="31"/>
        <v>456555</v>
      </c>
      <c r="AC136" s="308"/>
      <c r="AD136" s="309"/>
      <c r="AE136" s="310">
        <f t="shared" si="32"/>
        <v>0</v>
      </c>
      <c r="AF136" s="311">
        <v>0</v>
      </c>
      <c r="AG136" s="312"/>
      <c r="AH136" s="313">
        <f t="shared" si="33"/>
        <v>0</v>
      </c>
      <c r="AI136" s="308"/>
      <c r="AJ136" s="309"/>
      <c r="AK136" s="310">
        <f t="shared" si="34"/>
        <v>0</v>
      </c>
      <c r="AL136" s="311"/>
      <c r="AM136" s="312"/>
      <c r="AN136" s="313">
        <f t="shared" si="35"/>
        <v>0</v>
      </c>
      <c r="AO136" s="308">
        <v>1</v>
      </c>
      <c r="AP136" s="309">
        <v>93555</v>
      </c>
      <c r="AQ136" s="310">
        <f t="shared" si="36"/>
        <v>76546.701000000001</v>
      </c>
      <c r="AR136" s="311">
        <v>2</v>
      </c>
      <c r="AS136" s="312">
        <v>86850</v>
      </c>
      <c r="AT136" s="313">
        <f t="shared" si="37"/>
        <v>142121.34</v>
      </c>
      <c r="AU136" s="308">
        <v>2</v>
      </c>
      <c r="AV136" s="309">
        <v>76746</v>
      </c>
      <c r="AW136" s="310">
        <f t="shared" si="38"/>
        <v>125587.1544</v>
      </c>
      <c r="AX136" s="311">
        <v>1</v>
      </c>
      <c r="AY136" s="312">
        <v>81700</v>
      </c>
      <c r="AZ136" s="313">
        <f t="shared" si="39"/>
        <v>66846.94</v>
      </c>
      <c r="BA136" s="308">
        <v>0</v>
      </c>
      <c r="BB136" s="309"/>
      <c r="BC136" s="310">
        <f t="shared" si="40"/>
        <v>0</v>
      </c>
      <c r="BD136" s="311">
        <v>0</v>
      </c>
      <c r="BE136" s="312"/>
      <c r="BF136" s="313">
        <f t="shared" si="41"/>
        <v>0</v>
      </c>
      <c r="BG136" s="308">
        <v>0</v>
      </c>
      <c r="BH136" s="309"/>
      <c r="BI136" s="310">
        <f t="shared" si="42"/>
        <v>0</v>
      </c>
      <c r="BJ136" s="311">
        <v>0</v>
      </c>
      <c r="BK136" s="312"/>
      <c r="BL136" s="313">
        <f t="shared" si="43"/>
        <v>0</v>
      </c>
      <c r="BM136" s="308"/>
      <c r="BN136" s="309"/>
      <c r="BO136" s="310">
        <f t="shared" si="44"/>
        <v>0</v>
      </c>
      <c r="BP136" s="311"/>
      <c r="BQ136" s="312"/>
      <c r="BR136" s="313">
        <f t="shared" si="45"/>
        <v>0</v>
      </c>
      <c r="BS136" s="308"/>
      <c r="BT136" s="309"/>
      <c r="BU136" s="310">
        <f t="shared" si="46"/>
        <v>0</v>
      </c>
      <c r="BV136" s="311"/>
      <c r="BW136" s="312"/>
      <c r="BX136" s="313">
        <f t="shared" si="47"/>
        <v>0</v>
      </c>
    </row>
    <row r="137" spans="1:76">
      <c r="A137" s="304" t="s">
        <v>448</v>
      </c>
      <c r="B137" s="305" t="s">
        <v>672</v>
      </c>
      <c r="C137" s="306">
        <v>140669</v>
      </c>
      <c r="D137" s="307">
        <v>5</v>
      </c>
      <c r="E137" s="308">
        <v>26</v>
      </c>
      <c r="F137" s="309">
        <v>68994</v>
      </c>
      <c r="G137" s="310">
        <f t="shared" si="24"/>
        <v>1793844</v>
      </c>
      <c r="H137" s="311">
        <v>26</v>
      </c>
      <c r="I137" s="312">
        <v>70138</v>
      </c>
      <c r="J137" s="313">
        <f t="shared" si="25"/>
        <v>1823588</v>
      </c>
      <c r="K137" s="308">
        <v>43</v>
      </c>
      <c r="L137" s="309">
        <v>64740</v>
      </c>
      <c r="M137" s="310">
        <f t="shared" si="26"/>
        <v>2783820</v>
      </c>
      <c r="N137" s="311">
        <v>50</v>
      </c>
      <c r="O137" s="312">
        <v>63526</v>
      </c>
      <c r="P137" s="313">
        <f t="shared" si="27"/>
        <v>3176300</v>
      </c>
      <c r="Q137" s="308">
        <v>93</v>
      </c>
      <c r="R137" s="309">
        <v>48931</v>
      </c>
      <c r="S137" s="310">
        <f t="shared" si="28"/>
        <v>4550583</v>
      </c>
      <c r="T137" s="311">
        <v>94</v>
      </c>
      <c r="U137" s="312">
        <v>50050</v>
      </c>
      <c r="V137" s="313">
        <f t="shared" si="29"/>
        <v>4704700</v>
      </c>
      <c r="W137" s="308">
        <v>20</v>
      </c>
      <c r="X137" s="309">
        <v>37180</v>
      </c>
      <c r="Y137" s="310">
        <f t="shared" si="30"/>
        <v>743600</v>
      </c>
      <c r="Z137" s="311">
        <v>21</v>
      </c>
      <c r="AA137" s="312">
        <v>40579</v>
      </c>
      <c r="AB137" s="313">
        <f t="shared" si="31"/>
        <v>852159</v>
      </c>
      <c r="AC137" s="308"/>
      <c r="AD137" s="309"/>
      <c r="AE137" s="310">
        <f t="shared" si="32"/>
        <v>0</v>
      </c>
      <c r="AF137" s="311"/>
      <c r="AG137" s="312"/>
      <c r="AH137" s="313">
        <f t="shared" si="33"/>
        <v>0</v>
      </c>
      <c r="AI137" s="308"/>
      <c r="AJ137" s="309"/>
      <c r="AK137" s="310">
        <f t="shared" si="34"/>
        <v>0</v>
      </c>
      <c r="AL137" s="311"/>
      <c r="AM137" s="312"/>
      <c r="AN137" s="313">
        <f t="shared" si="35"/>
        <v>0</v>
      </c>
      <c r="AO137" s="308">
        <v>11</v>
      </c>
      <c r="AP137" s="309">
        <v>90750</v>
      </c>
      <c r="AQ137" s="310">
        <f t="shared" si="36"/>
        <v>816768.15</v>
      </c>
      <c r="AR137" s="311">
        <v>11</v>
      </c>
      <c r="AS137" s="312">
        <v>93706</v>
      </c>
      <c r="AT137" s="313">
        <f t="shared" si="37"/>
        <v>843372.74120000005</v>
      </c>
      <c r="AU137" s="308">
        <v>3</v>
      </c>
      <c r="AV137" s="309">
        <v>70896</v>
      </c>
      <c r="AW137" s="310">
        <f t="shared" si="38"/>
        <v>174021.3216</v>
      </c>
      <c r="AX137" s="311">
        <v>2</v>
      </c>
      <c r="AY137" s="312">
        <v>82934</v>
      </c>
      <c r="AZ137" s="313">
        <f t="shared" si="39"/>
        <v>135713.19760000001</v>
      </c>
      <c r="BA137" s="308">
        <v>6</v>
      </c>
      <c r="BB137" s="309">
        <v>63824</v>
      </c>
      <c r="BC137" s="310">
        <f t="shared" si="40"/>
        <v>313324.78080000001</v>
      </c>
      <c r="BD137" s="311">
        <v>6</v>
      </c>
      <c r="BE137" s="312">
        <v>72499</v>
      </c>
      <c r="BF137" s="313">
        <f t="shared" si="41"/>
        <v>355912.09080000001</v>
      </c>
      <c r="BG137" s="308">
        <v>0</v>
      </c>
      <c r="BH137" s="309"/>
      <c r="BI137" s="310">
        <f t="shared" si="42"/>
        <v>0</v>
      </c>
      <c r="BJ137" s="311">
        <v>3</v>
      </c>
      <c r="BK137" s="312">
        <v>57200</v>
      </c>
      <c r="BL137" s="313">
        <f t="shared" si="43"/>
        <v>140403.12</v>
      </c>
      <c r="BM137" s="308"/>
      <c r="BN137" s="309"/>
      <c r="BO137" s="310">
        <f t="shared" si="44"/>
        <v>0</v>
      </c>
      <c r="BP137" s="311"/>
      <c r="BQ137" s="312"/>
      <c r="BR137" s="313">
        <f t="shared" si="45"/>
        <v>0</v>
      </c>
      <c r="BS137" s="308"/>
      <c r="BT137" s="309"/>
      <c r="BU137" s="310">
        <f t="shared" si="46"/>
        <v>0</v>
      </c>
      <c r="BV137" s="311"/>
      <c r="BW137" s="312"/>
      <c r="BX137" s="313">
        <f t="shared" si="47"/>
        <v>0</v>
      </c>
    </row>
    <row r="138" spans="1:76">
      <c r="A138" s="304" t="s">
        <v>448</v>
      </c>
      <c r="B138" s="305" t="s">
        <v>673</v>
      </c>
      <c r="C138" s="306">
        <v>140960</v>
      </c>
      <c r="D138" s="307">
        <v>5</v>
      </c>
      <c r="E138" s="308">
        <v>26</v>
      </c>
      <c r="F138" s="309">
        <v>66784</v>
      </c>
      <c r="G138" s="310">
        <f t="shared" si="24"/>
        <v>1736384</v>
      </c>
      <c r="H138" s="311">
        <v>29</v>
      </c>
      <c r="I138" s="312">
        <v>72173</v>
      </c>
      <c r="J138" s="313">
        <f t="shared" si="25"/>
        <v>2093017</v>
      </c>
      <c r="K138" s="308">
        <v>25</v>
      </c>
      <c r="L138" s="309">
        <v>58760</v>
      </c>
      <c r="M138" s="310">
        <f t="shared" si="26"/>
        <v>1469000</v>
      </c>
      <c r="N138" s="311">
        <v>28</v>
      </c>
      <c r="O138" s="312">
        <v>62658</v>
      </c>
      <c r="P138" s="313">
        <f t="shared" si="27"/>
        <v>1754424</v>
      </c>
      <c r="Q138" s="308">
        <v>34</v>
      </c>
      <c r="R138" s="309">
        <v>52473</v>
      </c>
      <c r="S138" s="310">
        <f t="shared" si="28"/>
        <v>1784082</v>
      </c>
      <c r="T138" s="311">
        <v>46</v>
      </c>
      <c r="U138" s="312">
        <v>52494</v>
      </c>
      <c r="V138" s="313">
        <f t="shared" si="29"/>
        <v>2414724</v>
      </c>
      <c r="W138" s="308">
        <v>5</v>
      </c>
      <c r="X138" s="309">
        <v>45054</v>
      </c>
      <c r="Y138" s="310">
        <f t="shared" si="30"/>
        <v>225270</v>
      </c>
      <c r="Z138" s="311">
        <v>9</v>
      </c>
      <c r="AA138" s="312">
        <v>43836</v>
      </c>
      <c r="AB138" s="313">
        <f t="shared" si="31"/>
        <v>394524</v>
      </c>
      <c r="AC138" s="308">
        <v>5</v>
      </c>
      <c r="AD138" s="309">
        <v>40524</v>
      </c>
      <c r="AE138" s="310">
        <f t="shared" si="32"/>
        <v>202620</v>
      </c>
      <c r="AF138" s="311">
        <v>8</v>
      </c>
      <c r="AG138" s="312">
        <v>40743</v>
      </c>
      <c r="AH138" s="313">
        <f t="shared" si="33"/>
        <v>325944</v>
      </c>
      <c r="AI138" s="308"/>
      <c r="AJ138" s="309"/>
      <c r="AK138" s="310">
        <f t="shared" si="34"/>
        <v>0</v>
      </c>
      <c r="AL138" s="311"/>
      <c r="AM138" s="312"/>
      <c r="AN138" s="313">
        <f t="shared" si="35"/>
        <v>0</v>
      </c>
      <c r="AO138" s="308">
        <v>1</v>
      </c>
      <c r="AP138" s="309">
        <v>99101</v>
      </c>
      <c r="AQ138" s="310">
        <f t="shared" si="36"/>
        <v>81084.438200000004</v>
      </c>
      <c r="AR138" s="311">
        <v>1</v>
      </c>
      <c r="AS138" s="312">
        <v>102075</v>
      </c>
      <c r="AT138" s="313">
        <f t="shared" si="37"/>
        <v>83517.764999999999</v>
      </c>
      <c r="AU138" s="308">
        <v>5</v>
      </c>
      <c r="AV138" s="309">
        <v>80571</v>
      </c>
      <c r="AW138" s="310">
        <f t="shared" si="38"/>
        <v>329615.96100000001</v>
      </c>
      <c r="AX138" s="311">
        <v>1</v>
      </c>
      <c r="AY138" s="312">
        <v>80587</v>
      </c>
      <c r="AZ138" s="313">
        <f t="shared" si="39"/>
        <v>65936.2834</v>
      </c>
      <c r="BA138" s="308">
        <v>7</v>
      </c>
      <c r="BB138" s="309">
        <v>58704</v>
      </c>
      <c r="BC138" s="310">
        <f t="shared" si="40"/>
        <v>336221.28960000002</v>
      </c>
      <c r="BD138" s="311">
        <v>10</v>
      </c>
      <c r="BE138" s="312">
        <v>66410</v>
      </c>
      <c r="BF138" s="313">
        <f t="shared" si="41"/>
        <v>543366.62</v>
      </c>
      <c r="BG138" s="308">
        <v>2</v>
      </c>
      <c r="BH138" s="309">
        <v>43528</v>
      </c>
      <c r="BI138" s="310">
        <f t="shared" si="42"/>
        <v>71229.219200000007</v>
      </c>
      <c r="BJ138" s="311">
        <v>1</v>
      </c>
      <c r="BK138" s="312">
        <v>41000</v>
      </c>
      <c r="BL138" s="313">
        <f t="shared" si="43"/>
        <v>33546.200000000004</v>
      </c>
      <c r="BM138" s="308"/>
      <c r="BN138" s="309"/>
      <c r="BO138" s="310">
        <f t="shared" si="44"/>
        <v>0</v>
      </c>
      <c r="BP138" s="311"/>
      <c r="BQ138" s="312"/>
      <c r="BR138" s="313">
        <f t="shared" si="45"/>
        <v>0</v>
      </c>
      <c r="BS138" s="308"/>
      <c r="BT138" s="309"/>
      <c r="BU138" s="310">
        <f t="shared" si="46"/>
        <v>0</v>
      </c>
      <c r="BV138" s="311"/>
      <c r="BW138" s="312"/>
      <c r="BX138" s="313">
        <f t="shared" si="47"/>
        <v>0</v>
      </c>
    </row>
    <row r="139" spans="1:76">
      <c r="A139" s="304" t="s">
        <v>448</v>
      </c>
      <c r="B139" s="305" t="s">
        <v>674</v>
      </c>
      <c r="C139" s="306">
        <v>139311</v>
      </c>
      <c r="D139" s="307">
        <v>6</v>
      </c>
      <c r="E139" s="308">
        <v>14</v>
      </c>
      <c r="F139" s="309">
        <v>69761</v>
      </c>
      <c r="G139" s="310">
        <f t="shared" ref="G139:G201" si="48">E139*F139</f>
        <v>976654</v>
      </c>
      <c r="H139" s="311">
        <v>15</v>
      </c>
      <c r="I139" s="312">
        <v>75737</v>
      </c>
      <c r="J139" s="313">
        <f t="shared" ref="J139:J201" si="49">H139*I139</f>
        <v>1136055</v>
      </c>
      <c r="K139" s="308">
        <v>39</v>
      </c>
      <c r="L139" s="309">
        <v>63000</v>
      </c>
      <c r="M139" s="310">
        <f t="shared" ref="M139:M201" si="50">K139*L139</f>
        <v>2457000</v>
      </c>
      <c r="N139" s="311">
        <v>46</v>
      </c>
      <c r="O139" s="312">
        <v>63787</v>
      </c>
      <c r="P139" s="313">
        <f t="shared" ref="P139:P201" si="51">N139*O139</f>
        <v>2934202</v>
      </c>
      <c r="Q139" s="308">
        <v>86</v>
      </c>
      <c r="R139" s="309">
        <v>51396</v>
      </c>
      <c r="S139" s="310">
        <f t="shared" ref="S139:S201" si="52">Q139*R139</f>
        <v>4420056</v>
      </c>
      <c r="T139" s="311">
        <v>91</v>
      </c>
      <c r="U139" s="312">
        <v>53253</v>
      </c>
      <c r="V139" s="313">
        <f t="shared" ref="V139:V201" si="53">T139*U139</f>
        <v>4846023</v>
      </c>
      <c r="W139" s="308">
        <v>16</v>
      </c>
      <c r="X139" s="309">
        <v>43584</v>
      </c>
      <c r="Y139" s="310">
        <f t="shared" ref="Y139:Y201" si="54">W139*X139</f>
        <v>697344</v>
      </c>
      <c r="Z139" s="311">
        <v>10</v>
      </c>
      <c r="AA139" s="312">
        <v>47547</v>
      </c>
      <c r="AB139" s="313">
        <f t="shared" ref="AB139:AB201" si="55">Z139*AA139</f>
        <v>475470</v>
      </c>
      <c r="AC139" s="308">
        <v>1</v>
      </c>
      <c r="AD139" s="309">
        <v>36457</v>
      </c>
      <c r="AE139" s="310">
        <f t="shared" ref="AE139:AE201" si="56">AC139*AD139</f>
        <v>36457</v>
      </c>
      <c r="AF139" s="311">
        <v>6</v>
      </c>
      <c r="AG139" s="312">
        <v>45514</v>
      </c>
      <c r="AH139" s="313">
        <f t="shared" ref="AH139:AH201" si="57">AF139*AG139</f>
        <v>273084</v>
      </c>
      <c r="AI139" s="308"/>
      <c r="AJ139" s="309"/>
      <c r="AK139" s="310">
        <f t="shared" ref="AK139:AK201" si="58">AI139*AJ139</f>
        <v>0</v>
      </c>
      <c r="AL139" s="311"/>
      <c r="AM139" s="312"/>
      <c r="AN139" s="313">
        <f t="shared" ref="AN139:AN201" si="59">AL139*AM139</f>
        <v>0</v>
      </c>
      <c r="AO139" s="308">
        <v>12</v>
      </c>
      <c r="AP139" s="309">
        <v>90774</v>
      </c>
      <c r="AQ139" s="310">
        <f t="shared" ref="AQ139:AQ201" si="60">(AO139*AP139)*0.8182</f>
        <v>891255.44160000002</v>
      </c>
      <c r="AR139" s="311">
        <v>11</v>
      </c>
      <c r="AS139" s="312">
        <v>93828</v>
      </c>
      <c r="AT139" s="313">
        <f t="shared" ref="AT139:AT201" si="61">(AR139*AS139)*0.8182</f>
        <v>844470.76560000004</v>
      </c>
      <c r="AU139" s="308">
        <v>8</v>
      </c>
      <c r="AV139" s="309">
        <v>86294</v>
      </c>
      <c r="AW139" s="310">
        <f t="shared" ref="AW139:AW201" si="62">(AU139*AV139)*0.8182</f>
        <v>564846.00640000007</v>
      </c>
      <c r="AX139" s="311">
        <v>7</v>
      </c>
      <c r="AY139" s="312">
        <v>78314</v>
      </c>
      <c r="AZ139" s="313">
        <f t="shared" ref="AZ139:AZ201" si="63">(AX139*AY139)*0.8182</f>
        <v>448535.60360000003</v>
      </c>
      <c r="BA139" s="308">
        <v>12</v>
      </c>
      <c r="BB139" s="309">
        <v>63104</v>
      </c>
      <c r="BC139" s="310">
        <f t="shared" ref="BC139:BC201" si="64">(BA139*BB139)*0.8182</f>
        <v>619580.31359999999</v>
      </c>
      <c r="BD139" s="311">
        <v>9</v>
      </c>
      <c r="BE139" s="312">
        <v>65977</v>
      </c>
      <c r="BF139" s="313">
        <f t="shared" ref="BF139:BF201" si="65">(BD139*BE139)*0.8182</f>
        <v>485841.4326</v>
      </c>
      <c r="BG139" s="308">
        <v>0</v>
      </c>
      <c r="BH139" s="309"/>
      <c r="BI139" s="310">
        <f t="shared" ref="BI139:BI201" si="66">(BG139*BH139)*0.8182</f>
        <v>0</v>
      </c>
      <c r="BJ139" s="311">
        <v>0</v>
      </c>
      <c r="BK139" s="312"/>
      <c r="BL139" s="313">
        <f t="shared" ref="BL139:BL201" si="67">(BJ139*BK139)*0.8182</f>
        <v>0</v>
      </c>
      <c r="BM139" s="308"/>
      <c r="BN139" s="309"/>
      <c r="BO139" s="310">
        <f t="shared" ref="BO139:BO201" si="68">(BM139*BN139)*0.8182</f>
        <v>0</v>
      </c>
      <c r="BP139" s="311"/>
      <c r="BQ139" s="312"/>
      <c r="BR139" s="313">
        <f t="shared" ref="BR139:BR201" si="69">(BP139*BQ139)*0.8182</f>
        <v>0</v>
      </c>
      <c r="BS139" s="308"/>
      <c r="BT139" s="309"/>
      <c r="BU139" s="310">
        <f t="shared" ref="BU139:BU201" si="70">(BS139*BT139)*0.8182</f>
        <v>0</v>
      </c>
      <c r="BV139" s="311"/>
      <c r="BW139" s="312"/>
      <c r="BX139" s="313">
        <f t="shared" ref="BX139:BX201" si="71">(BV139*BW139)*0.8182</f>
        <v>0</v>
      </c>
    </row>
    <row r="140" spans="1:76">
      <c r="A140" s="304" t="s">
        <v>448</v>
      </c>
      <c r="B140" s="305" t="s">
        <v>675</v>
      </c>
      <c r="C140" s="304">
        <v>140322</v>
      </c>
      <c r="D140" s="304">
        <v>6</v>
      </c>
      <c r="E140" s="308">
        <v>21</v>
      </c>
      <c r="F140" s="309">
        <v>71306</v>
      </c>
      <c r="G140" s="310">
        <f t="shared" si="48"/>
        <v>1497426</v>
      </c>
      <c r="H140" s="311">
        <v>21</v>
      </c>
      <c r="I140" s="312">
        <v>76242</v>
      </c>
      <c r="J140" s="313">
        <f t="shared" si="49"/>
        <v>1601082</v>
      </c>
      <c r="K140" s="308">
        <v>40</v>
      </c>
      <c r="L140" s="309">
        <v>59609</v>
      </c>
      <c r="M140" s="310">
        <f t="shared" si="50"/>
        <v>2384360</v>
      </c>
      <c r="N140" s="311">
        <v>38</v>
      </c>
      <c r="O140" s="312">
        <v>58807</v>
      </c>
      <c r="P140" s="313">
        <f t="shared" si="51"/>
        <v>2234666</v>
      </c>
      <c r="Q140" s="308">
        <v>108</v>
      </c>
      <c r="R140" s="309">
        <v>45761</v>
      </c>
      <c r="S140" s="310">
        <f t="shared" si="52"/>
        <v>4942188</v>
      </c>
      <c r="T140" s="311">
        <v>103</v>
      </c>
      <c r="U140" s="312">
        <v>46553</v>
      </c>
      <c r="V140" s="313">
        <f t="shared" si="53"/>
        <v>4794959</v>
      </c>
      <c r="W140" s="308">
        <v>17</v>
      </c>
      <c r="X140" s="309">
        <v>39399</v>
      </c>
      <c r="Y140" s="310">
        <f t="shared" si="54"/>
        <v>669783</v>
      </c>
      <c r="Z140" s="311">
        <v>15</v>
      </c>
      <c r="AA140" s="312">
        <v>39027</v>
      </c>
      <c r="AB140" s="313">
        <f t="shared" si="55"/>
        <v>585405</v>
      </c>
      <c r="AC140" s="308"/>
      <c r="AD140" s="309"/>
      <c r="AE140" s="310">
        <f t="shared" si="56"/>
        <v>0</v>
      </c>
      <c r="AF140" s="311">
        <v>0</v>
      </c>
      <c r="AG140" s="312"/>
      <c r="AH140" s="313">
        <f t="shared" si="57"/>
        <v>0</v>
      </c>
      <c r="AI140" s="308"/>
      <c r="AJ140" s="309"/>
      <c r="AK140" s="310">
        <f t="shared" si="58"/>
        <v>0</v>
      </c>
      <c r="AL140" s="311"/>
      <c r="AM140" s="312"/>
      <c r="AN140" s="313">
        <f t="shared" si="59"/>
        <v>0</v>
      </c>
      <c r="AO140" s="308">
        <v>0</v>
      </c>
      <c r="AP140" s="309"/>
      <c r="AQ140" s="310">
        <f t="shared" si="60"/>
        <v>0</v>
      </c>
      <c r="AR140" s="311">
        <v>1</v>
      </c>
      <c r="AS140" s="312">
        <v>94000</v>
      </c>
      <c r="AT140" s="313">
        <f t="shared" si="61"/>
        <v>76910.8</v>
      </c>
      <c r="AU140" s="308">
        <v>3</v>
      </c>
      <c r="AV140" s="309">
        <v>92121</v>
      </c>
      <c r="AW140" s="310">
        <f t="shared" si="62"/>
        <v>226120.2066</v>
      </c>
      <c r="AX140" s="311">
        <v>8</v>
      </c>
      <c r="AY140" s="312">
        <v>81070</v>
      </c>
      <c r="AZ140" s="313">
        <f t="shared" si="63"/>
        <v>530651.79200000002</v>
      </c>
      <c r="BA140" s="308">
        <v>1</v>
      </c>
      <c r="BB140" s="309">
        <v>67913</v>
      </c>
      <c r="BC140" s="310">
        <f t="shared" si="64"/>
        <v>55566.416600000004</v>
      </c>
      <c r="BD140" s="311">
        <v>1</v>
      </c>
      <c r="BE140" s="312">
        <v>70290</v>
      </c>
      <c r="BF140" s="313">
        <f t="shared" si="65"/>
        <v>57511.278000000006</v>
      </c>
      <c r="BG140" s="308">
        <v>0</v>
      </c>
      <c r="BH140" s="309"/>
      <c r="BI140" s="310">
        <f t="shared" si="66"/>
        <v>0</v>
      </c>
      <c r="BJ140" s="311">
        <v>0</v>
      </c>
      <c r="BK140" s="312"/>
      <c r="BL140" s="313">
        <f t="shared" si="67"/>
        <v>0</v>
      </c>
      <c r="BM140" s="308"/>
      <c r="BN140" s="309"/>
      <c r="BO140" s="310">
        <f t="shared" si="68"/>
        <v>0</v>
      </c>
      <c r="BP140" s="311"/>
      <c r="BQ140" s="312"/>
      <c r="BR140" s="313">
        <f t="shared" si="69"/>
        <v>0</v>
      </c>
      <c r="BS140" s="308"/>
      <c r="BT140" s="309"/>
      <c r="BU140" s="310">
        <f t="shared" si="70"/>
        <v>0</v>
      </c>
      <c r="BV140" s="311"/>
      <c r="BW140" s="312"/>
      <c r="BX140" s="313">
        <f t="shared" si="71"/>
        <v>0</v>
      </c>
    </row>
    <row r="141" spans="1:76">
      <c r="A141" s="304" t="s">
        <v>448</v>
      </c>
      <c r="B141" s="305" t="s">
        <v>676</v>
      </c>
      <c r="C141" s="306">
        <v>139463</v>
      </c>
      <c r="D141" s="307">
        <v>7</v>
      </c>
      <c r="E141" s="308">
        <v>11</v>
      </c>
      <c r="F141" s="309">
        <v>67429</v>
      </c>
      <c r="G141" s="310">
        <f t="shared" si="48"/>
        <v>741719</v>
      </c>
      <c r="H141" s="311">
        <v>13</v>
      </c>
      <c r="I141" s="312">
        <v>76879</v>
      </c>
      <c r="J141" s="313">
        <f t="shared" si="49"/>
        <v>999427</v>
      </c>
      <c r="K141" s="308">
        <v>45</v>
      </c>
      <c r="L141" s="309">
        <v>55312</v>
      </c>
      <c r="M141" s="310">
        <f t="shared" si="50"/>
        <v>2489040</v>
      </c>
      <c r="N141" s="311">
        <v>49</v>
      </c>
      <c r="O141" s="312">
        <v>56240</v>
      </c>
      <c r="P141" s="313">
        <f t="shared" si="51"/>
        <v>2755760</v>
      </c>
      <c r="Q141" s="308">
        <v>43</v>
      </c>
      <c r="R141" s="309">
        <v>45574</v>
      </c>
      <c r="S141" s="310">
        <f t="shared" si="52"/>
        <v>1959682</v>
      </c>
      <c r="T141" s="311">
        <v>51</v>
      </c>
      <c r="U141" s="312">
        <v>47364</v>
      </c>
      <c r="V141" s="313">
        <f t="shared" si="53"/>
        <v>2415564</v>
      </c>
      <c r="W141" s="308">
        <v>19</v>
      </c>
      <c r="X141" s="309">
        <v>40783</v>
      </c>
      <c r="Y141" s="310">
        <f t="shared" si="54"/>
        <v>774877</v>
      </c>
      <c r="Z141" s="311">
        <v>20</v>
      </c>
      <c r="AA141" s="312">
        <v>42172</v>
      </c>
      <c r="AB141" s="313">
        <f t="shared" si="55"/>
        <v>843440</v>
      </c>
      <c r="AC141" s="308"/>
      <c r="AD141" s="309"/>
      <c r="AE141" s="310">
        <f t="shared" si="56"/>
        <v>0</v>
      </c>
      <c r="AF141" s="311">
        <v>0</v>
      </c>
      <c r="AG141" s="312"/>
      <c r="AH141" s="313">
        <f t="shared" si="57"/>
        <v>0</v>
      </c>
      <c r="AI141" s="308"/>
      <c r="AJ141" s="309"/>
      <c r="AK141" s="310">
        <f t="shared" si="58"/>
        <v>0</v>
      </c>
      <c r="AL141" s="311"/>
      <c r="AM141" s="312"/>
      <c r="AN141" s="313">
        <f t="shared" si="59"/>
        <v>0</v>
      </c>
      <c r="AO141" s="308">
        <v>5</v>
      </c>
      <c r="AP141" s="309">
        <v>75674</v>
      </c>
      <c r="AQ141" s="310">
        <f t="shared" si="60"/>
        <v>309582.33400000003</v>
      </c>
      <c r="AR141" s="311">
        <v>4</v>
      </c>
      <c r="AS141" s="312">
        <v>84959</v>
      </c>
      <c r="AT141" s="313">
        <f t="shared" si="61"/>
        <v>278053.81520000001</v>
      </c>
      <c r="AU141" s="308">
        <v>3</v>
      </c>
      <c r="AV141" s="309">
        <v>86591</v>
      </c>
      <c r="AW141" s="310">
        <f t="shared" si="62"/>
        <v>212546.26860000001</v>
      </c>
      <c r="AX141" s="311">
        <v>2</v>
      </c>
      <c r="AY141" s="312">
        <v>93278</v>
      </c>
      <c r="AZ141" s="313">
        <f t="shared" si="63"/>
        <v>152640.11920000002</v>
      </c>
      <c r="BA141" s="308">
        <v>0</v>
      </c>
      <c r="BB141" s="309"/>
      <c r="BC141" s="310">
        <f t="shared" si="64"/>
        <v>0</v>
      </c>
      <c r="BD141" s="311">
        <v>1</v>
      </c>
      <c r="BE141" s="312">
        <v>65000</v>
      </c>
      <c r="BF141" s="313">
        <f t="shared" si="65"/>
        <v>53183</v>
      </c>
      <c r="BG141" s="308">
        <v>0</v>
      </c>
      <c r="BH141" s="309"/>
      <c r="BI141" s="310">
        <f t="shared" si="66"/>
        <v>0</v>
      </c>
      <c r="BJ141" s="311">
        <v>0</v>
      </c>
      <c r="BK141" s="312"/>
      <c r="BL141" s="313">
        <f t="shared" si="67"/>
        <v>0</v>
      </c>
      <c r="BM141" s="308"/>
      <c r="BN141" s="309"/>
      <c r="BO141" s="310">
        <f t="shared" si="68"/>
        <v>0</v>
      </c>
      <c r="BP141" s="311"/>
      <c r="BQ141" s="312"/>
      <c r="BR141" s="313">
        <f t="shared" si="69"/>
        <v>0</v>
      </c>
      <c r="BS141" s="308"/>
      <c r="BT141" s="309"/>
      <c r="BU141" s="310">
        <f t="shared" si="70"/>
        <v>0</v>
      </c>
      <c r="BV141" s="311"/>
      <c r="BW141" s="312"/>
      <c r="BX141" s="313">
        <f t="shared" si="71"/>
        <v>0</v>
      </c>
    </row>
    <row r="142" spans="1:76">
      <c r="A142" s="304" t="s">
        <v>448</v>
      </c>
      <c r="B142" s="305" t="s">
        <v>677</v>
      </c>
      <c r="C142" s="306">
        <v>244437</v>
      </c>
      <c r="D142" s="307">
        <v>8</v>
      </c>
      <c r="E142" s="308">
        <v>35</v>
      </c>
      <c r="F142" s="309">
        <v>59103</v>
      </c>
      <c r="G142" s="310">
        <f t="shared" si="48"/>
        <v>2068605</v>
      </c>
      <c r="H142" s="311">
        <v>37</v>
      </c>
      <c r="I142" s="312">
        <v>61808</v>
      </c>
      <c r="J142" s="313">
        <f t="shared" si="49"/>
        <v>2286896</v>
      </c>
      <c r="K142" s="308">
        <v>119</v>
      </c>
      <c r="L142" s="309">
        <v>52831</v>
      </c>
      <c r="M142" s="310">
        <f t="shared" si="50"/>
        <v>6286889</v>
      </c>
      <c r="N142" s="311">
        <v>121</v>
      </c>
      <c r="O142" s="312">
        <v>54982</v>
      </c>
      <c r="P142" s="313">
        <f t="shared" si="51"/>
        <v>6652822</v>
      </c>
      <c r="Q142" s="308">
        <v>67</v>
      </c>
      <c r="R142" s="309">
        <v>44233</v>
      </c>
      <c r="S142" s="310">
        <f t="shared" si="52"/>
        <v>2963611</v>
      </c>
      <c r="T142" s="311">
        <v>97</v>
      </c>
      <c r="U142" s="312">
        <v>44652</v>
      </c>
      <c r="V142" s="313">
        <f t="shared" si="53"/>
        <v>4331244</v>
      </c>
      <c r="W142" s="308">
        <v>203</v>
      </c>
      <c r="X142" s="309">
        <v>37895</v>
      </c>
      <c r="Y142" s="310">
        <f t="shared" si="54"/>
        <v>7692685</v>
      </c>
      <c r="Z142" s="311">
        <v>184</v>
      </c>
      <c r="AA142" s="312">
        <v>38566</v>
      </c>
      <c r="AB142" s="313">
        <f t="shared" si="55"/>
        <v>7096144</v>
      </c>
      <c r="AC142" s="308"/>
      <c r="AD142" s="309"/>
      <c r="AE142" s="310">
        <f t="shared" si="56"/>
        <v>0</v>
      </c>
      <c r="AF142" s="311">
        <v>0</v>
      </c>
      <c r="AG142" s="312"/>
      <c r="AH142" s="313">
        <f t="shared" si="57"/>
        <v>0</v>
      </c>
      <c r="AI142" s="308"/>
      <c r="AJ142" s="309"/>
      <c r="AK142" s="310">
        <f t="shared" si="58"/>
        <v>0</v>
      </c>
      <c r="AL142" s="311"/>
      <c r="AM142" s="312"/>
      <c r="AN142" s="313">
        <f t="shared" si="59"/>
        <v>0</v>
      </c>
      <c r="AO142" s="308">
        <v>2</v>
      </c>
      <c r="AP142" s="309">
        <v>82261</v>
      </c>
      <c r="AQ142" s="310">
        <f t="shared" si="60"/>
        <v>134611.90040000001</v>
      </c>
      <c r="AR142" s="311">
        <v>3</v>
      </c>
      <c r="AS142" s="312">
        <v>80521</v>
      </c>
      <c r="AT142" s="313">
        <f t="shared" si="61"/>
        <v>197646.84660000002</v>
      </c>
      <c r="AU142" s="308">
        <v>26</v>
      </c>
      <c r="AV142" s="309">
        <v>72701</v>
      </c>
      <c r="AW142" s="310">
        <f t="shared" si="62"/>
        <v>1546582.9132000001</v>
      </c>
      <c r="AX142" s="311">
        <v>21</v>
      </c>
      <c r="AY142" s="312">
        <v>74115</v>
      </c>
      <c r="AZ142" s="313">
        <f t="shared" si="63"/>
        <v>1273458.753</v>
      </c>
      <c r="BA142" s="308">
        <v>13</v>
      </c>
      <c r="BB142" s="309">
        <v>60470</v>
      </c>
      <c r="BC142" s="310">
        <f t="shared" si="64"/>
        <v>643195.20200000005</v>
      </c>
      <c r="BD142" s="311">
        <v>12</v>
      </c>
      <c r="BE142" s="312">
        <v>67477</v>
      </c>
      <c r="BF142" s="313">
        <f t="shared" si="65"/>
        <v>662516.17680000002</v>
      </c>
      <c r="BG142" s="308">
        <v>5</v>
      </c>
      <c r="BH142" s="309">
        <v>56733</v>
      </c>
      <c r="BI142" s="310">
        <f t="shared" si="66"/>
        <v>232094.70300000001</v>
      </c>
      <c r="BJ142" s="311">
        <v>5</v>
      </c>
      <c r="BK142" s="312">
        <v>54323</v>
      </c>
      <c r="BL142" s="313">
        <f t="shared" si="67"/>
        <v>222235.39300000001</v>
      </c>
      <c r="BM142" s="308"/>
      <c r="BN142" s="309"/>
      <c r="BO142" s="310">
        <f t="shared" si="68"/>
        <v>0</v>
      </c>
      <c r="BP142" s="311"/>
      <c r="BQ142" s="312"/>
      <c r="BR142" s="313">
        <f t="shared" si="69"/>
        <v>0</v>
      </c>
      <c r="BS142" s="308"/>
      <c r="BT142" s="309"/>
      <c r="BU142" s="310">
        <f t="shared" si="70"/>
        <v>0</v>
      </c>
      <c r="BV142" s="311"/>
      <c r="BW142" s="312"/>
      <c r="BX142" s="313">
        <f t="shared" si="71"/>
        <v>0</v>
      </c>
    </row>
    <row r="143" spans="1:76">
      <c r="A143" s="304" t="s">
        <v>448</v>
      </c>
      <c r="B143" s="305" t="s">
        <v>678</v>
      </c>
      <c r="C143" s="306">
        <v>138558</v>
      </c>
      <c r="D143" s="307">
        <v>9</v>
      </c>
      <c r="E143" s="308">
        <v>5</v>
      </c>
      <c r="F143" s="309">
        <v>59253</v>
      </c>
      <c r="G143" s="310">
        <f t="shared" si="48"/>
        <v>296265</v>
      </c>
      <c r="H143" s="311">
        <v>7</v>
      </c>
      <c r="I143" s="312">
        <v>52058</v>
      </c>
      <c r="J143" s="313">
        <f t="shared" si="49"/>
        <v>364406</v>
      </c>
      <c r="K143" s="308">
        <v>21</v>
      </c>
      <c r="L143" s="309">
        <v>48230</v>
      </c>
      <c r="M143" s="310">
        <f t="shared" si="50"/>
        <v>1012830</v>
      </c>
      <c r="N143" s="311">
        <v>18</v>
      </c>
      <c r="O143" s="312">
        <v>50568</v>
      </c>
      <c r="P143" s="313">
        <f t="shared" si="51"/>
        <v>910224</v>
      </c>
      <c r="Q143" s="308">
        <v>34</v>
      </c>
      <c r="R143" s="309">
        <v>42654</v>
      </c>
      <c r="S143" s="310">
        <f t="shared" si="52"/>
        <v>1450236</v>
      </c>
      <c r="T143" s="311">
        <v>33</v>
      </c>
      <c r="U143" s="312">
        <v>43710</v>
      </c>
      <c r="V143" s="313">
        <f t="shared" si="53"/>
        <v>1442430</v>
      </c>
      <c r="W143" s="308">
        <v>28</v>
      </c>
      <c r="X143" s="309">
        <v>37746</v>
      </c>
      <c r="Y143" s="310">
        <f t="shared" si="54"/>
        <v>1056888</v>
      </c>
      <c r="Z143" s="311">
        <v>26</v>
      </c>
      <c r="AA143" s="312">
        <v>39786</v>
      </c>
      <c r="AB143" s="313">
        <f t="shared" si="55"/>
        <v>1034436</v>
      </c>
      <c r="AC143" s="308"/>
      <c r="AD143" s="309"/>
      <c r="AE143" s="310">
        <f t="shared" si="56"/>
        <v>0</v>
      </c>
      <c r="AF143" s="311">
        <v>0</v>
      </c>
      <c r="AG143" s="312"/>
      <c r="AH143" s="313">
        <f t="shared" si="57"/>
        <v>0</v>
      </c>
      <c r="AI143" s="308"/>
      <c r="AJ143" s="309"/>
      <c r="AK143" s="310">
        <f t="shared" si="58"/>
        <v>0</v>
      </c>
      <c r="AL143" s="311"/>
      <c r="AM143" s="312"/>
      <c r="AN143" s="313">
        <f t="shared" si="59"/>
        <v>0</v>
      </c>
      <c r="AO143" s="308">
        <v>5</v>
      </c>
      <c r="AP143" s="309">
        <v>85807</v>
      </c>
      <c r="AQ143" s="310">
        <f t="shared" si="60"/>
        <v>351036.43700000003</v>
      </c>
      <c r="AR143" s="311">
        <v>5</v>
      </c>
      <c r="AS143" s="312">
        <v>89617</v>
      </c>
      <c r="AT143" s="313">
        <f t="shared" si="61"/>
        <v>366623.147</v>
      </c>
      <c r="AU143" s="308">
        <v>5</v>
      </c>
      <c r="AV143" s="309">
        <v>70434</v>
      </c>
      <c r="AW143" s="310">
        <f t="shared" si="62"/>
        <v>288145.49400000001</v>
      </c>
      <c r="AX143" s="311">
        <v>6</v>
      </c>
      <c r="AY143" s="312">
        <v>72003</v>
      </c>
      <c r="AZ143" s="313">
        <f t="shared" si="63"/>
        <v>353477.12760000001</v>
      </c>
      <c r="BA143" s="308">
        <v>6</v>
      </c>
      <c r="BB143" s="309">
        <v>69041</v>
      </c>
      <c r="BC143" s="310">
        <f t="shared" si="64"/>
        <v>338936.0772</v>
      </c>
      <c r="BD143" s="311">
        <v>4</v>
      </c>
      <c r="BE143" s="312">
        <v>69064</v>
      </c>
      <c r="BF143" s="313">
        <f t="shared" si="65"/>
        <v>226032.65920000002</v>
      </c>
      <c r="BG143" s="308">
        <v>1</v>
      </c>
      <c r="BH143" s="309">
        <v>123927</v>
      </c>
      <c r="BI143" s="310">
        <f t="shared" si="66"/>
        <v>101397.0714</v>
      </c>
      <c r="BJ143" s="311">
        <v>0</v>
      </c>
      <c r="BK143" s="312"/>
      <c r="BL143" s="313">
        <f t="shared" si="67"/>
        <v>0</v>
      </c>
      <c r="BM143" s="308"/>
      <c r="BN143" s="309"/>
      <c r="BO143" s="310">
        <f t="shared" si="68"/>
        <v>0</v>
      </c>
      <c r="BP143" s="311"/>
      <c r="BQ143" s="312"/>
      <c r="BR143" s="313">
        <f t="shared" si="69"/>
        <v>0</v>
      </c>
      <c r="BS143" s="308"/>
      <c r="BT143" s="309"/>
      <c r="BU143" s="310">
        <f t="shared" si="70"/>
        <v>0</v>
      </c>
      <c r="BV143" s="311"/>
      <c r="BW143" s="312"/>
      <c r="BX143" s="313">
        <f t="shared" si="71"/>
        <v>0</v>
      </c>
    </row>
    <row r="144" spans="1:76">
      <c r="A144" s="304" t="s">
        <v>448</v>
      </c>
      <c r="B144" s="406" t="s">
        <v>685</v>
      </c>
      <c r="C144" s="407">
        <v>139010</v>
      </c>
      <c r="D144" s="408">
        <v>9</v>
      </c>
      <c r="E144" s="308">
        <v>5</v>
      </c>
      <c r="F144" s="309">
        <v>59960</v>
      </c>
      <c r="G144" s="310">
        <f t="shared" si="48"/>
        <v>299800</v>
      </c>
      <c r="H144" s="311">
        <v>5</v>
      </c>
      <c r="I144" s="312">
        <v>61657</v>
      </c>
      <c r="J144" s="313">
        <f t="shared" si="49"/>
        <v>308285</v>
      </c>
      <c r="K144" s="308">
        <v>11</v>
      </c>
      <c r="L144" s="309">
        <v>49798</v>
      </c>
      <c r="M144" s="310">
        <f t="shared" si="50"/>
        <v>547778</v>
      </c>
      <c r="N144" s="311">
        <v>11</v>
      </c>
      <c r="O144" s="312">
        <v>51299</v>
      </c>
      <c r="P144" s="313">
        <f t="shared" si="51"/>
        <v>564289</v>
      </c>
      <c r="Q144" s="308">
        <v>14</v>
      </c>
      <c r="R144" s="309">
        <v>40698</v>
      </c>
      <c r="S144" s="310">
        <f t="shared" si="52"/>
        <v>569772</v>
      </c>
      <c r="T144" s="311">
        <v>11</v>
      </c>
      <c r="U144" s="312">
        <v>41982</v>
      </c>
      <c r="V144" s="313">
        <f t="shared" si="53"/>
        <v>461802</v>
      </c>
      <c r="W144" s="308">
        <v>15</v>
      </c>
      <c r="X144" s="309">
        <v>37272</v>
      </c>
      <c r="Y144" s="310">
        <f t="shared" si="54"/>
        <v>559080</v>
      </c>
      <c r="Z144" s="311">
        <v>16</v>
      </c>
      <c r="AA144" s="312">
        <v>37528</v>
      </c>
      <c r="AB144" s="313">
        <f t="shared" si="55"/>
        <v>600448</v>
      </c>
      <c r="AC144" s="308"/>
      <c r="AD144" s="309"/>
      <c r="AE144" s="310">
        <f t="shared" si="56"/>
        <v>0</v>
      </c>
      <c r="AF144" s="311">
        <v>0</v>
      </c>
      <c r="AG144" s="312"/>
      <c r="AH144" s="313">
        <f t="shared" si="57"/>
        <v>0</v>
      </c>
      <c r="AI144" s="308"/>
      <c r="AJ144" s="309"/>
      <c r="AK144" s="310">
        <f t="shared" si="58"/>
        <v>0</v>
      </c>
      <c r="AL144" s="311"/>
      <c r="AM144" s="312"/>
      <c r="AN144" s="313">
        <f t="shared" si="59"/>
        <v>0</v>
      </c>
      <c r="AO144" s="308">
        <v>1</v>
      </c>
      <c r="AP144" s="309">
        <v>78750</v>
      </c>
      <c r="AQ144" s="310">
        <f t="shared" si="60"/>
        <v>64433.25</v>
      </c>
      <c r="AR144" s="311">
        <v>1</v>
      </c>
      <c r="AS144" s="312">
        <v>81034</v>
      </c>
      <c r="AT144" s="313">
        <f t="shared" si="61"/>
        <v>66302.018800000005</v>
      </c>
      <c r="AU144" s="308">
        <v>1</v>
      </c>
      <c r="AV144" s="309">
        <v>65000</v>
      </c>
      <c r="AW144" s="310">
        <f t="shared" si="62"/>
        <v>53183</v>
      </c>
      <c r="AX144" s="311">
        <v>1</v>
      </c>
      <c r="AY144" s="312">
        <v>66950</v>
      </c>
      <c r="AZ144" s="313">
        <f t="shared" si="63"/>
        <v>54778.490000000005</v>
      </c>
      <c r="BA144" s="308">
        <v>6</v>
      </c>
      <c r="BB144" s="309">
        <v>49529</v>
      </c>
      <c r="BC144" s="310">
        <f t="shared" si="64"/>
        <v>243147.76680000001</v>
      </c>
      <c r="BD144" s="311">
        <v>4</v>
      </c>
      <c r="BE144" s="312">
        <v>54496</v>
      </c>
      <c r="BF144" s="313">
        <f t="shared" si="65"/>
        <v>178354.50880000001</v>
      </c>
      <c r="BG144" s="308">
        <v>4</v>
      </c>
      <c r="BH144" s="309">
        <v>49653</v>
      </c>
      <c r="BI144" s="310">
        <f t="shared" si="66"/>
        <v>162504.33840000001</v>
      </c>
      <c r="BJ144" s="311">
        <v>4</v>
      </c>
      <c r="BK144" s="312">
        <v>55074</v>
      </c>
      <c r="BL144" s="313">
        <f t="shared" si="67"/>
        <v>180246.18720000001</v>
      </c>
      <c r="BM144" s="308"/>
      <c r="BN144" s="309"/>
      <c r="BO144" s="310">
        <f t="shared" si="68"/>
        <v>0</v>
      </c>
      <c r="BP144" s="311"/>
      <c r="BQ144" s="312"/>
      <c r="BR144" s="313">
        <f t="shared" si="69"/>
        <v>0</v>
      </c>
      <c r="BS144" s="308"/>
      <c r="BT144" s="309"/>
      <c r="BU144" s="310">
        <f t="shared" si="70"/>
        <v>0</v>
      </c>
      <c r="BV144" s="311"/>
      <c r="BW144" s="312"/>
      <c r="BX144" s="313">
        <f t="shared" si="71"/>
        <v>0</v>
      </c>
    </row>
    <row r="145" spans="1:76">
      <c r="A145" s="304" t="s">
        <v>448</v>
      </c>
      <c r="B145" s="409" t="s">
        <v>15</v>
      </c>
      <c r="C145" s="306">
        <v>139250</v>
      </c>
      <c r="D145" s="307">
        <v>9</v>
      </c>
      <c r="E145" s="308">
        <v>5</v>
      </c>
      <c r="F145" s="309">
        <v>54337</v>
      </c>
      <c r="G145" s="310">
        <f t="shared" si="48"/>
        <v>271685</v>
      </c>
      <c r="H145" s="311">
        <v>5</v>
      </c>
      <c r="I145" s="312">
        <v>56181</v>
      </c>
      <c r="J145" s="313">
        <f t="shared" si="49"/>
        <v>280905</v>
      </c>
      <c r="K145" s="308">
        <v>13</v>
      </c>
      <c r="L145" s="309">
        <v>53395</v>
      </c>
      <c r="M145" s="310">
        <f t="shared" si="50"/>
        <v>694135</v>
      </c>
      <c r="N145" s="311">
        <v>12</v>
      </c>
      <c r="O145" s="312">
        <v>56204</v>
      </c>
      <c r="P145" s="313">
        <f t="shared" si="51"/>
        <v>674448</v>
      </c>
      <c r="Q145" s="308">
        <v>21</v>
      </c>
      <c r="R145" s="309">
        <v>44929</v>
      </c>
      <c r="S145" s="310">
        <f t="shared" si="52"/>
        <v>943509</v>
      </c>
      <c r="T145" s="311">
        <v>20</v>
      </c>
      <c r="U145" s="312">
        <v>46975</v>
      </c>
      <c r="V145" s="313">
        <f t="shared" si="53"/>
        <v>939500</v>
      </c>
      <c r="W145" s="308">
        <v>16</v>
      </c>
      <c r="X145" s="309">
        <v>39540</v>
      </c>
      <c r="Y145" s="310">
        <f t="shared" si="54"/>
        <v>632640</v>
      </c>
      <c r="Z145" s="311">
        <v>16</v>
      </c>
      <c r="AA145" s="312">
        <v>40374</v>
      </c>
      <c r="AB145" s="313">
        <f t="shared" si="55"/>
        <v>645984</v>
      </c>
      <c r="AC145" s="308"/>
      <c r="AD145" s="309"/>
      <c r="AE145" s="310">
        <f t="shared" si="56"/>
        <v>0</v>
      </c>
      <c r="AF145" s="311">
        <v>0</v>
      </c>
      <c r="AG145" s="312"/>
      <c r="AH145" s="313">
        <f t="shared" si="57"/>
        <v>0</v>
      </c>
      <c r="AI145" s="308"/>
      <c r="AJ145" s="309"/>
      <c r="AK145" s="310">
        <f t="shared" si="58"/>
        <v>0</v>
      </c>
      <c r="AL145" s="311"/>
      <c r="AM145" s="312"/>
      <c r="AN145" s="313">
        <f t="shared" si="59"/>
        <v>0</v>
      </c>
      <c r="AO145" s="308">
        <v>1</v>
      </c>
      <c r="AP145" s="309">
        <v>77000</v>
      </c>
      <c r="AQ145" s="310">
        <f t="shared" si="60"/>
        <v>63001.4</v>
      </c>
      <c r="AR145" s="311">
        <v>1</v>
      </c>
      <c r="AS145" s="312">
        <v>79310</v>
      </c>
      <c r="AT145" s="313">
        <f t="shared" si="61"/>
        <v>64891.442000000003</v>
      </c>
      <c r="AU145" s="308">
        <v>3</v>
      </c>
      <c r="AV145" s="309">
        <v>85715</v>
      </c>
      <c r="AW145" s="310">
        <f t="shared" si="62"/>
        <v>210396.03900000002</v>
      </c>
      <c r="AX145" s="311">
        <v>2</v>
      </c>
      <c r="AY145" s="312">
        <v>82447</v>
      </c>
      <c r="AZ145" s="313">
        <f t="shared" si="63"/>
        <v>134916.2708</v>
      </c>
      <c r="BA145" s="308">
        <v>4</v>
      </c>
      <c r="BB145" s="309">
        <v>61922</v>
      </c>
      <c r="BC145" s="310">
        <f t="shared" si="64"/>
        <v>202658.3216</v>
      </c>
      <c r="BD145" s="311">
        <v>3</v>
      </c>
      <c r="BE145" s="312">
        <v>66620</v>
      </c>
      <c r="BF145" s="313">
        <f t="shared" si="65"/>
        <v>163525.45200000002</v>
      </c>
      <c r="BG145" s="308">
        <v>1</v>
      </c>
      <c r="BH145" s="309">
        <v>51839</v>
      </c>
      <c r="BI145" s="310">
        <f t="shared" si="66"/>
        <v>42414.669800000003</v>
      </c>
      <c r="BJ145" s="311">
        <v>1</v>
      </c>
      <c r="BK145" s="312">
        <v>53602</v>
      </c>
      <c r="BL145" s="313">
        <f t="shared" si="67"/>
        <v>43857.1564</v>
      </c>
      <c r="BM145" s="308"/>
      <c r="BN145" s="309"/>
      <c r="BO145" s="310">
        <f t="shared" si="68"/>
        <v>0</v>
      </c>
      <c r="BP145" s="311"/>
      <c r="BQ145" s="312"/>
      <c r="BR145" s="313">
        <f t="shared" si="69"/>
        <v>0</v>
      </c>
      <c r="BS145" s="308"/>
      <c r="BT145" s="309"/>
      <c r="BU145" s="310">
        <f t="shared" si="70"/>
        <v>0</v>
      </c>
      <c r="BV145" s="311"/>
      <c r="BW145" s="312"/>
      <c r="BX145" s="313">
        <f t="shared" si="71"/>
        <v>0</v>
      </c>
    </row>
    <row r="146" spans="1:76">
      <c r="A146" s="304" t="s">
        <v>448</v>
      </c>
      <c r="B146" s="305" t="s">
        <v>679</v>
      </c>
      <c r="C146" s="306">
        <v>138691</v>
      </c>
      <c r="D146" s="307">
        <v>9</v>
      </c>
      <c r="E146" s="308">
        <v>3</v>
      </c>
      <c r="F146" s="309">
        <v>57759</v>
      </c>
      <c r="G146" s="310">
        <f t="shared" si="48"/>
        <v>173277</v>
      </c>
      <c r="H146" s="311">
        <v>3</v>
      </c>
      <c r="I146" s="312">
        <v>59490</v>
      </c>
      <c r="J146" s="313">
        <f t="shared" si="49"/>
        <v>178470</v>
      </c>
      <c r="K146" s="308">
        <v>7</v>
      </c>
      <c r="L146" s="309">
        <v>50874</v>
      </c>
      <c r="M146" s="310">
        <f t="shared" si="50"/>
        <v>356118</v>
      </c>
      <c r="N146" s="311">
        <v>6</v>
      </c>
      <c r="O146" s="312">
        <v>52972</v>
      </c>
      <c r="P146" s="313">
        <f t="shared" si="51"/>
        <v>317832</v>
      </c>
      <c r="Q146" s="308">
        <v>41</v>
      </c>
      <c r="R146" s="309">
        <v>44147</v>
      </c>
      <c r="S146" s="310">
        <f t="shared" si="52"/>
        <v>1810027</v>
      </c>
      <c r="T146" s="311">
        <v>46</v>
      </c>
      <c r="U146" s="312">
        <v>45398</v>
      </c>
      <c r="V146" s="313">
        <f t="shared" si="53"/>
        <v>2088308</v>
      </c>
      <c r="W146" s="308">
        <v>35</v>
      </c>
      <c r="X146" s="309">
        <v>42251</v>
      </c>
      <c r="Y146" s="310">
        <f t="shared" si="54"/>
        <v>1478785</v>
      </c>
      <c r="Z146" s="311">
        <v>33</v>
      </c>
      <c r="AA146" s="312">
        <v>42908</v>
      </c>
      <c r="AB146" s="313">
        <f t="shared" si="55"/>
        <v>1415964</v>
      </c>
      <c r="AC146" s="308"/>
      <c r="AD146" s="309"/>
      <c r="AE146" s="310">
        <f t="shared" si="56"/>
        <v>0</v>
      </c>
      <c r="AF146" s="311">
        <v>0</v>
      </c>
      <c r="AG146" s="312"/>
      <c r="AH146" s="313">
        <f t="shared" si="57"/>
        <v>0</v>
      </c>
      <c r="AI146" s="308"/>
      <c r="AJ146" s="309"/>
      <c r="AK146" s="310">
        <f t="shared" si="58"/>
        <v>0</v>
      </c>
      <c r="AL146" s="311"/>
      <c r="AM146" s="312"/>
      <c r="AN146" s="313">
        <f t="shared" si="59"/>
        <v>0</v>
      </c>
      <c r="AO146" s="308">
        <v>1</v>
      </c>
      <c r="AP146" s="309">
        <v>81419</v>
      </c>
      <c r="AQ146" s="310">
        <f t="shared" si="60"/>
        <v>66617.025800000003</v>
      </c>
      <c r="AR146" s="311">
        <v>1</v>
      </c>
      <c r="AS146" s="312">
        <v>83868</v>
      </c>
      <c r="AT146" s="313">
        <f t="shared" si="61"/>
        <v>68620.797600000005</v>
      </c>
      <c r="AU146" s="308">
        <v>0</v>
      </c>
      <c r="AV146" s="309"/>
      <c r="AW146" s="310">
        <f t="shared" si="62"/>
        <v>0</v>
      </c>
      <c r="AX146" s="311">
        <v>0</v>
      </c>
      <c r="AY146" s="312"/>
      <c r="AZ146" s="313">
        <f t="shared" si="63"/>
        <v>0</v>
      </c>
      <c r="BA146" s="308">
        <v>8</v>
      </c>
      <c r="BB146" s="309">
        <v>64599</v>
      </c>
      <c r="BC146" s="310">
        <f t="shared" si="64"/>
        <v>422839.2144</v>
      </c>
      <c r="BD146" s="311">
        <v>9</v>
      </c>
      <c r="BE146" s="312">
        <v>66515</v>
      </c>
      <c r="BF146" s="313">
        <f t="shared" si="65"/>
        <v>489803.15700000001</v>
      </c>
      <c r="BG146" s="308">
        <v>14</v>
      </c>
      <c r="BH146" s="309">
        <v>47862</v>
      </c>
      <c r="BI146" s="310">
        <f t="shared" si="66"/>
        <v>548249.63760000002</v>
      </c>
      <c r="BJ146" s="311">
        <v>16</v>
      </c>
      <c r="BK146" s="312">
        <v>46340</v>
      </c>
      <c r="BL146" s="313">
        <f t="shared" si="67"/>
        <v>606646.20799999998</v>
      </c>
      <c r="BM146" s="308"/>
      <c r="BN146" s="309"/>
      <c r="BO146" s="310">
        <f t="shared" si="68"/>
        <v>0</v>
      </c>
      <c r="BP146" s="311"/>
      <c r="BQ146" s="312"/>
      <c r="BR146" s="313">
        <f t="shared" si="69"/>
        <v>0</v>
      </c>
      <c r="BS146" s="308"/>
      <c r="BT146" s="309"/>
      <c r="BU146" s="310">
        <f t="shared" si="70"/>
        <v>0</v>
      </c>
      <c r="BV146" s="311"/>
      <c r="BW146" s="312"/>
      <c r="BX146" s="313">
        <f t="shared" si="71"/>
        <v>0</v>
      </c>
    </row>
    <row r="147" spans="1:76">
      <c r="A147" s="304" t="s">
        <v>448</v>
      </c>
      <c r="B147" s="410" t="s">
        <v>680</v>
      </c>
      <c r="C147" s="306">
        <v>139773</v>
      </c>
      <c r="D147" s="307">
        <v>9</v>
      </c>
      <c r="E147" s="308">
        <v>24</v>
      </c>
      <c r="F147" s="309">
        <v>57460</v>
      </c>
      <c r="G147" s="310">
        <f t="shared" si="48"/>
        <v>1379040</v>
      </c>
      <c r="H147" s="311">
        <v>26</v>
      </c>
      <c r="I147" s="312">
        <v>58886</v>
      </c>
      <c r="J147" s="313">
        <f t="shared" si="49"/>
        <v>1531036</v>
      </c>
      <c r="K147" s="308">
        <v>34</v>
      </c>
      <c r="L147" s="309">
        <v>47414</v>
      </c>
      <c r="M147" s="310">
        <f t="shared" si="50"/>
        <v>1612076</v>
      </c>
      <c r="N147" s="311">
        <v>34</v>
      </c>
      <c r="O147" s="312">
        <v>48512</v>
      </c>
      <c r="P147" s="313">
        <f t="shared" si="51"/>
        <v>1649408</v>
      </c>
      <c r="Q147" s="308">
        <v>53</v>
      </c>
      <c r="R147" s="309">
        <v>39093</v>
      </c>
      <c r="S147" s="310">
        <f t="shared" si="52"/>
        <v>2071929</v>
      </c>
      <c r="T147" s="311">
        <v>77</v>
      </c>
      <c r="U147" s="312">
        <v>39547</v>
      </c>
      <c r="V147" s="313">
        <f t="shared" si="53"/>
        <v>3045119</v>
      </c>
      <c r="W147" s="308">
        <v>17</v>
      </c>
      <c r="X147" s="309">
        <v>35458</v>
      </c>
      <c r="Y147" s="310">
        <f t="shared" si="54"/>
        <v>602786</v>
      </c>
      <c r="Z147" s="311">
        <v>17</v>
      </c>
      <c r="AA147" s="312">
        <v>35687</v>
      </c>
      <c r="AB147" s="313">
        <f t="shared" si="55"/>
        <v>606679</v>
      </c>
      <c r="AC147" s="308"/>
      <c r="AD147" s="309"/>
      <c r="AE147" s="310">
        <f t="shared" si="56"/>
        <v>0</v>
      </c>
      <c r="AF147" s="311">
        <v>0</v>
      </c>
      <c r="AG147" s="312"/>
      <c r="AH147" s="313">
        <f t="shared" si="57"/>
        <v>0</v>
      </c>
      <c r="AI147" s="308"/>
      <c r="AJ147" s="309"/>
      <c r="AK147" s="310">
        <f t="shared" si="58"/>
        <v>0</v>
      </c>
      <c r="AL147" s="311"/>
      <c r="AM147" s="312"/>
      <c r="AN147" s="313">
        <f t="shared" si="59"/>
        <v>0</v>
      </c>
      <c r="AO147" s="308">
        <v>6</v>
      </c>
      <c r="AP147" s="309">
        <v>84114</v>
      </c>
      <c r="AQ147" s="310">
        <f t="shared" si="60"/>
        <v>412932.44880000001</v>
      </c>
      <c r="AR147" s="311">
        <v>6</v>
      </c>
      <c r="AS147" s="312">
        <v>86727</v>
      </c>
      <c r="AT147" s="313">
        <f t="shared" si="61"/>
        <v>425760.18840000004</v>
      </c>
      <c r="AU147" s="308">
        <v>3</v>
      </c>
      <c r="AV147" s="309">
        <v>70491</v>
      </c>
      <c r="AW147" s="310">
        <f t="shared" si="62"/>
        <v>173027.20860000001</v>
      </c>
      <c r="AX147" s="311">
        <v>4</v>
      </c>
      <c r="AY147" s="312">
        <v>66533</v>
      </c>
      <c r="AZ147" s="313">
        <f t="shared" si="63"/>
        <v>217749.20240000001</v>
      </c>
      <c r="BA147" s="308">
        <v>4</v>
      </c>
      <c r="BB147" s="309">
        <v>55526</v>
      </c>
      <c r="BC147" s="310">
        <f t="shared" si="64"/>
        <v>181725.49280000001</v>
      </c>
      <c r="BD147" s="311">
        <v>5</v>
      </c>
      <c r="BE147" s="312">
        <v>54528</v>
      </c>
      <c r="BF147" s="313">
        <f t="shared" si="65"/>
        <v>223074.04800000001</v>
      </c>
      <c r="BG147" s="308">
        <v>2</v>
      </c>
      <c r="BH147" s="309">
        <v>47413</v>
      </c>
      <c r="BI147" s="310">
        <f t="shared" si="66"/>
        <v>77586.633199999997</v>
      </c>
      <c r="BJ147" s="311">
        <v>1</v>
      </c>
      <c r="BK147" s="312">
        <v>36040</v>
      </c>
      <c r="BL147" s="313">
        <f t="shared" si="67"/>
        <v>29487.928</v>
      </c>
      <c r="BM147" s="308"/>
      <c r="BN147" s="309"/>
      <c r="BO147" s="310">
        <f t="shared" si="68"/>
        <v>0</v>
      </c>
      <c r="BP147" s="311"/>
      <c r="BQ147" s="312"/>
      <c r="BR147" s="313">
        <f t="shared" si="69"/>
        <v>0</v>
      </c>
      <c r="BS147" s="308"/>
      <c r="BT147" s="309"/>
      <c r="BU147" s="310">
        <f t="shared" si="70"/>
        <v>0</v>
      </c>
      <c r="BV147" s="311"/>
      <c r="BW147" s="312"/>
      <c r="BX147" s="313">
        <f t="shared" si="71"/>
        <v>0</v>
      </c>
    </row>
    <row r="148" spans="1:76">
      <c r="A148" s="304" t="s">
        <v>448</v>
      </c>
      <c r="B148" s="305" t="s">
        <v>681</v>
      </c>
      <c r="C148" s="306">
        <v>139700</v>
      </c>
      <c r="D148" s="307">
        <v>9</v>
      </c>
      <c r="E148" s="308">
        <v>15</v>
      </c>
      <c r="F148" s="309">
        <v>54588</v>
      </c>
      <c r="G148" s="310">
        <f t="shared" si="48"/>
        <v>818820</v>
      </c>
      <c r="H148" s="311">
        <v>17</v>
      </c>
      <c r="I148" s="312">
        <v>58772</v>
      </c>
      <c r="J148" s="313">
        <f t="shared" si="49"/>
        <v>999124</v>
      </c>
      <c r="K148" s="308">
        <v>22</v>
      </c>
      <c r="L148" s="309">
        <v>49776</v>
      </c>
      <c r="M148" s="310">
        <f t="shared" si="50"/>
        <v>1095072</v>
      </c>
      <c r="N148" s="311">
        <v>22</v>
      </c>
      <c r="O148" s="312">
        <v>50692</v>
      </c>
      <c r="P148" s="313">
        <f t="shared" si="51"/>
        <v>1115224</v>
      </c>
      <c r="Q148" s="308">
        <v>19</v>
      </c>
      <c r="R148" s="309">
        <v>42001</v>
      </c>
      <c r="S148" s="310">
        <f t="shared" si="52"/>
        <v>798019</v>
      </c>
      <c r="T148" s="311">
        <v>21</v>
      </c>
      <c r="U148" s="312">
        <v>43273</v>
      </c>
      <c r="V148" s="313">
        <f t="shared" si="53"/>
        <v>908733</v>
      </c>
      <c r="W148" s="308">
        <v>26</v>
      </c>
      <c r="X148" s="309">
        <v>38812</v>
      </c>
      <c r="Y148" s="310">
        <f t="shared" si="54"/>
        <v>1009112</v>
      </c>
      <c r="Z148" s="311">
        <v>27</v>
      </c>
      <c r="AA148" s="312">
        <v>40473</v>
      </c>
      <c r="AB148" s="313">
        <f t="shared" si="55"/>
        <v>1092771</v>
      </c>
      <c r="AC148" s="308"/>
      <c r="AD148" s="309"/>
      <c r="AE148" s="310">
        <f t="shared" si="56"/>
        <v>0</v>
      </c>
      <c r="AF148" s="311">
        <v>0</v>
      </c>
      <c r="AG148" s="312"/>
      <c r="AH148" s="313">
        <f t="shared" si="57"/>
        <v>0</v>
      </c>
      <c r="AI148" s="308"/>
      <c r="AJ148" s="309"/>
      <c r="AK148" s="310">
        <f t="shared" si="58"/>
        <v>0</v>
      </c>
      <c r="AL148" s="311"/>
      <c r="AM148" s="312"/>
      <c r="AN148" s="313">
        <f t="shared" si="59"/>
        <v>0</v>
      </c>
      <c r="AO148" s="308">
        <v>5</v>
      </c>
      <c r="AP148" s="309">
        <v>85799</v>
      </c>
      <c r="AQ148" s="310">
        <f t="shared" si="60"/>
        <v>351003.70900000003</v>
      </c>
      <c r="AR148" s="311">
        <v>5</v>
      </c>
      <c r="AS148" s="312">
        <v>89763</v>
      </c>
      <c r="AT148" s="313">
        <f t="shared" si="61"/>
        <v>367220.43300000002</v>
      </c>
      <c r="AU148" s="308">
        <v>3</v>
      </c>
      <c r="AV148" s="309">
        <v>72167</v>
      </c>
      <c r="AW148" s="310">
        <f t="shared" si="62"/>
        <v>177141.1182</v>
      </c>
      <c r="AX148" s="311">
        <v>3</v>
      </c>
      <c r="AY148" s="312">
        <v>74270</v>
      </c>
      <c r="AZ148" s="313">
        <f t="shared" si="63"/>
        <v>182303.14200000002</v>
      </c>
      <c r="BA148" s="308">
        <v>0</v>
      </c>
      <c r="BB148" s="309"/>
      <c r="BC148" s="310">
        <f t="shared" si="64"/>
        <v>0</v>
      </c>
      <c r="BD148" s="311">
        <v>0</v>
      </c>
      <c r="BE148" s="312"/>
      <c r="BF148" s="313">
        <f t="shared" si="65"/>
        <v>0</v>
      </c>
      <c r="BG148" s="308">
        <v>0</v>
      </c>
      <c r="BH148" s="309"/>
      <c r="BI148" s="310">
        <f t="shared" si="66"/>
        <v>0</v>
      </c>
      <c r="BJ148" s="311">
        <v>0</v>
      </c>
      <c r="BK148" s="312"/>
      <c r="BL148" s="313">
        <f t="shared" si="67"/>
        <v>0</v>
      </c>
      <c r="BM148" s="308"/>
      <c r="BN148" s="309"/>
      <c r="BO148" s="310">
        <f t="shared" si="68"/>
        <v>0</v>
      </c>
      <c r="BP148" s="311"/>
      <c r="BQ148" s="312"/>
      <c r="BR148" s="313">
        <f t="shared" si="69"/>
        <v>0</v>
      </c>
      <c r="BS148" s="308"/>
      <c r="BT148" s="309"/>
      <c r="BU148" s="310">
        <f t="shared" si="70"/>
        <v>0</v>
      </c>
      <c r="BV148" s="311"/>
      <c r="BW148" s="312"/>
      <c r="BX148" s="313">
        <f t="shared" si="71"/>
        <v>0</v>
      </c>
    </row>
    <row r="149" spans="1:76">
      <c r="A149" s="304" t="s">
        <v>448</v>
      </c>
      <c r="B149" s="305" t="s">
        <v>682</v>
      </c>
      <c r="C149" s="306">
        <v>139968</v>
      </c>
      <c r="D149" s="307">
        <v>9</v>
      </c>
      <c r="E149" s="308">
        <v>18</v>
      </c>
      <c r="F149" s="309">
        <v>60805</v>
      </c>
      <c r="G149" s="310">
        <f t="shared" si="48"/>
        <v>1094490</v>
      </c>
      <c r="H149" s="311">
        <v>20</v>
      </c>
      <c r="I149" s="312">
        <v>59716</v>
      </c>
      <c r="J149" s="313">
        <f t="shared" si="49"/>
        <v>1194320</v>
      </c>
      <c r="K149" s="308">
        <v>32</v>
      </c>
      <c r="L149" s="309">
        <v>50673</v>
      </c>
      <c r="M149" s="310">
        <f t="shared" si="50"/>
        <v>1621536</v>
      </c>
      <c r="N149" s="311">
        <v>35</v>
      </c>
      <c r="O149" s="312">
        <v>51270</v>
      </c>
      <c r="P149" s="313">
        <f t="shared" si="51"/>
        <v>1794450</v>
      </c>
      <c r="Q149" s="308">
        <v>40</v>
      </c>
      <c r="R149" s="309">
        <v>46282</v>
      </c>
      <c r="S149" s="310">
        <f t="shared" si="52"/>
        <v>1851280</v>
      </c>
      <c r="T149" s="311">
        <v>40</v>
      </c>
      <c r="U149" s="312">
        <v>47391</v>
      </c>
      <c r="V149" s="313">
        <f t="shared" si="53"/>
        <v>1895640</v>
      </c>
      <c r="W149" s="308">
        <v>8</v>
      </c>
      <c r="X149" s="309">
        <v>42427</v>
      </c>
      <c r="Y149" s="310">
        <f t="shared" si="54"/>
        <v>339416</v>
      </c>
      <c r="Z149" s="311">
        <v>7</v>
      </c>
      <c r="AA149" s="312">
        <v>40107</v>
      </c>
      <c r="AB149" s="313">
        <f t="shared" si="55"/>
        <v>280749</v>
      </c>
      <c r="AC149" s="308"/>
      <c r="AD149" s="309"/>
      <c r="AE149" s="310">
        <f t="shared" si="56"/>
        <v>0</v>
      </c>
      <c r="AF149" s="311">
        <v>0</v>
      </c>
      <c r="AG149" s="312"/>
      <c r="AH149" s="313">
        <f t="shared" si="57"/>
        <v>0</v>
      </c>
      <c r="AI149" s="308"/>
      <c r="AJ149" s="309"/>
      <c r="AK149" s="310">
        <f t="shared" si="58"/>
        <v>0</v>
      </c>
      <c r="AL149" s="311"/>
      <c r="AM149" s="312"/>
      <c r="AN149" s="313">
        <f t="shared" si="59"/>
        <v>0</v>
      </c>
      <c r="AO149" s="308">
        <v>1</v>
      </c>
      <c r="AP149" s="309">
        <v>84076</v>
      </c>
      <c r="AQ149" s="310">
        <f t="shared" si="60"/>
        <v>68790.983200000002</v>
      </c>
      <c r="AR149" s="311">
        <v>1</v>
      </c>
      <c r="AS149" s="312">
        <v>86598</v>
      </c>
      <c r="AT149" s="313">
        <f t="shared" si="61"/>
        <v>70854.483600000007</v>
      </c>
      <c r="AU149" s="308">
        <v>2</v>
      </c>
      <c r="AV149" s="309">
        <v>84952</v>
      </c>
      <c r="AW149" s="310">
        <f t="shared" si="62"/>
        <v>139015.4528</v>
      </c>
      <c r="AX149" s="311">
        <v>3</v>
      </c>
      <c r="AY149" s="312">
        <v>85825</v>
      </c>
      <c r="AZ149" s="313">
        <f t="shared" si="63"/>
        <v>210666.04500000001</v>
      </c>
      <c r="BA149" s="308">
        <v>2</v>
      </c>
      <c r="BB149" s="309">
        <v>84760</v>
      </c>
      <c r="BC149" s="310">
        <f t="shared" si="64"/>
        <v>138701.264</v>
      </c>
      <c r="BD149" s="311">
        <v>1</v>
      </c>
      <c r="BE149" s="312">
        <v>92208</v>
      </c>
      <c r="BF149" s="313">
        <f t="shared" si="65"/>
        <v>75444.585600000006</v>
      </c>
      <c r="BG149" s="308">
        <v>0</v>
      </c>
      <c r="BH149" s="309"/>
      <c r="BI149" s="310">
        <f t="shared" si="66"/>
        <v>0</v>
      </c>
      <c r="BJ149" s="311">
        <v>0</v>
      </c>
      <c r="BK149" s="312"/>
      <c r="BL149" s="313">
        <f t="shared" si="67"/>
        <v>0</v>
      </c>
      <c r="BM149" s="308"/>
      <c r="BN149" s="309"/>
      <c r="BO149" s="310">
        <f t="shared" si="68"/>
        <v>0</v>
      </c>
      <c r="BP149" s="311"/>
      <c r="BQ149" s="312"/>
      <c r="BR149" s="313">
        <f t="shared" si="69"/>
        <v>0</v>
      </c>
      <c r="BS149" s="308"/>
      <c r="BT149" s="309"/>
      <c r="BU149" s="310">
        <f t="shared" si="70"/>
        <v>0</v>
      </c>
      <c r="BV149" s="311"/>
      <c r="BW149" s="312"/>
      <c r="BX149" s="313">
        <f t="shared" si="71"/>
        <v>0</v>
      </c>
    </row>
    <row r="150" spans="1:76">
      <c r="A150" s="304" t="s">
        <v>448</v>
      </c>
      <c r="B150" s="305" t="s">
        <v>683</v>
      </c>
      <c r="C150" s="306">
        <v>140483</v>
      </c>
      <c r="D150" s="307">
        <v>9</v>
      </c>
      <c r="E150" s="308">
        <v>10</v>
      </c>
      <c r="F150" s="309">
        <v>62512</v>
      </c>
      <c r="G150" s="310">
        <f t="shared" si="48"/>
        <v>625120</v>
      </c>
      <c r="H150" s="311">
        <v>14</v>
      </c>
      <c r="I150" s="312">
        <v>60238</v>
      </c>
      <c r="J150" s="313">
        <f t="shared" si="49"/>
        <v>843332</v>
      </c>
      <c r="K150" s="308">
        <v>19</v>
      </c>
      <c r="L150" s="309">
        <v>49593</v>
      </c>
      <c r="M150" s="310">
        <f t="shared" si="50"/>
        <v>942267</v>
      </c>
      <c r="N150" s="311">
        <v>19</v>
      </c>
      <c r="O150" s="312">
        <v>48944</v>
      </c>
      <c r="P150" s="313">
        <f t="shared" si="51"/>
        <v>929936</v>
      </c>
      <c r="Q150" s="308">
        <v>50</v>
      </c>
      <c r="R150" s="309">
        <v>41108</v>
      </c>
      <c r="S150" s="310">
        <f t="shared" si="52"/>
        <v>2055400</v>
      </c>
      <c r="T150" s="311">
        <v>51</v>
      </c>
      <c r="U150" s="312">
        <v>41021</v>
      </c>
      <c r="V150" s="313">
        <f t="shared" si="53"/>
        <v>2092071</v>
      </c>
      <c r="W150" s="308">
        <v>11</v>
      </c>
      <c r="X150" s="309">
        <v>40252</v>
      </c>
      <c r="Y150" s="310">
        <f t="shared" si="54"/>
        <v>442772</v>
      </c>
      <c r="Z150" s="311">
        <v>11</v>
      </c>
      <c r="AA150" s="312">
        <v>41888</v>
      </c>
      <c r="AB150" s="313">
        <f t="shared" si="55"/>
        <v>460768</v>
      </c>
      <c r="AC150" s="308"/>
      <c r="AD150" s="309"/>
      <c r="AE150" s="310">
        <f t="shared" si="56"/>
        <v>0</v>
      </c>
      <c r="AF150" s="311">
        <v>0</v>
      </c>
      <c r="AG150" s="312"/>
      <c r="AH150" s="313">
        <f t="shared" si="57"/>
        <v>0</v>
      </c>
      <c r="AI150" s="308"/>
      <c r="AJ150" s="309"/>
      <c r="AK150" s="310">
        <f t="shared" si="58"/>
        <v>0</v>
      </c>
      <c r="AL150" s="311"/>
      <c r="AM150" s="312"/>
      <c r="AN150" s="313">
        <f t="shared" si="59"/>
        <v>0</v>
      </c>
      <c r="AO150" s="308">
        <v>3</v>
      </c>
      <c r="AP150" s="309">
        <v>93179</v>
      </c>
      <c r="AQ150" s="310">
        <f t="shared" si="60"/>
        <v>228717.1734</v>
      </c>
      <c r="AR150" s="311">
        <v>3</v>
      </c>
      <c r="AS150" s="312">
        <v>94047</v>
      </c>
      <c r="AT150" s="313">
        <f t="shared" si="61"/>
        <v>230847.76620000001</v>
      </c>
      <c r="AU150" s="308">
        <v>2</v>
      </c>
      <c r="AV150" s="309">
        <v>79529</v>
      </c>
      <c r="AW150" s="310">
        <f t="shared" si="62"/>
        <v>130141.2556</v>
      </c>
      <c r="AX150" s="311">
        <v>3</v>
      </c>
      <c r="AY150" s="312">
        <v>74933</v>
      </c>
      <c r="AZ150" s="313">
        <f t="shared" si="63"/>
        <v>183930.54180000001</v>
      </c>
      <c r="BA150" s="308">
        <v>3</v>
      </c>
      <c r="BB150" s="309">
        <v>65000</v>
      </c>
      <c r="BC150" s="310">
        <f t="shared" si="64"/>
        <v>159549</v>
      </c>
      <c r="BD150" s="311">
        <v>4</v>
      </c>
      <c r="BE150" s="312">
        <v>68858</v>
      </c>
      <c r="BF150" s="313">
        <f t="shared" si="65"/>
        <v>225358.46240000002</v>
      </c>
      <c r="BG150" s="308">
        <v>22</v>
      </c>
      <c r="BH150" s="309">
        <v>44554</v>
      </c>
      <c r="BI150" s="310">
        <f t="shared" si="66"/>
        <v>801989.82160000002</v>
      </c>
      <c r="BJ150" s="311">
        <v>16</v>
      </c>
      <c r="BK150" s="312">
        <v>50175</v>
      </c>
      <c r="BL150" s="313">
        <f t="shared" si="67"/>
        <v>656850.96000000008</v>
      </c>
      <c r="BM150" s="308"/>
      <c r="BN150" s="309"/>
      <c r="BO150" s="310">
        <f t="shared" si="68"/>
        <v>0</v>
      </c>
      <c r="BP150" s="311"/>
      <c r="BQ150" s="312"/>
      <c r="BR150" s="313">
        <f t="shared" si="69"/>
        <v>0</v>
      </c>
      <c r="BS150" s="308"/>
      <c r="BT150" s="309"/>
      <c r="BU150" s="310">
        <f t="shared" si="70"/>
        <v>0</v>
      </c>
      <c r="BV150" s="311"/>
      <c r="BW150" s="312"/>
      <c r="BX150" s="313">
        <f t="shared" si="71"/>
        <v>0</v>
      </c>
    </row>
    <row r="151" spans="1:76">
      <c r="A151" s="304" t="s">
        <v>448</v>
      </c>
      <c r="B151" s="305" t="s">
        <v>684</v>
      </c>
      <c r="C151" s="306">
        <v>138901</v>
      </c>
      <c r="D151" s="307">
        <v>10</v>
      </c>
      <c r="E151" s="308">
        <v>5</v>
      </c>
      <c r="F151" s="309">
        <v>60550</v>
      </c>
      <c r="G151" s="310">
        <f t="shared" si="48"/>
        <v>302750</v>
      </c>
      <c r="H151" s="311">
        <v>4</v>
      </c>
      <c r="I151" s="312">
        <v>59359</v>
      </c>
      <c r="J151" s="313">
        <f t="shared" si="49"/>
        <v>237436</v>
      </c>
      <c r="K151" s="308">
        <v>14</v>
      </c>
      <c r="L151" s="309">
        <v>53949</v>
      </c>
      <c r="M151" s="310">
        <f t="shared" si="50"/>
        <v>755286</v>
      </c>
      <c r="N151" s="311">
        <v>14</v>
      </c>
      <c r="O151" s="312">
        <v>54979</v>
      </c>
      <c r="P151" s="313">
        <f t="shared" si="51"/>
        <v>769706</v>
      </c>
      <c r="Q151" s="308">
        <v>20</v>
      </c>
      <c r="R151" s="309">
        <v>46025</v>
      </c>
      <c r="S151" s="310">
        <f t="shared" si="52"/>
        <v>920500</v>
      </c>
      <c r="T151" s="311">
        <v>19</v>
      </c>
      <c r="U151" s="312">
        <v>45367</v>
      </c>
      <c r="V151" s="313">
        <f t="shared" si="53"/>
        <v>861973</v>
      </c>
      <c r="W151" s="308">
        <v>4</v>
      </c>
      <c r="X151" s="309">
        <v>38250</v>
      </c>
      <c r="Y151" s="310">
        <f t="shared" si="54"/>
        <v>153000</v>
      </c>
      <c r="Z151" s="311">
        <v>4</v>
      </c>
      <c r="AA151" s="312">
        <v>43250</v>
      </c>
      <c r="AB151" s="313">
        <f t="shared" si="55"/>
        <v>173000</v>
      </c>
      <c r="AC151" s="308"/>
      <c r="AD151" s="309"/>
      <c r="AE151" s="310">
        <f t="shared" si="56"/>
        <v>0</v>
      </c>
      <c r="AF151" s="311">
        <v>0</v>
      </c>
      <c r="AG151" s="312"/>
      <c r="AH151" s="313">
        <f t="shared" si="57"/>
        <v>0</v>
      </c>
      <c r="AI151" s="308"/>
      <c r="AJ151" s="309"/>
      <c r="AK151" s="310">
        <f t="shared" si="58"/>
        <v>0</v>
      </c>
      <c r="AL151" s="311"/>
      <c r="AM151" s="312"/>
      <c r="AN151" s="313">
        <f t="shared" si="59"/>
        <v>0</v>
      </c>
      <c r="AO151" s="308">
        <v>3</v>
      </c>
      <c r="AP151" s="309">
        <v>83387</v>
      </c>
      <c r="AQ151" s="310">
        <f t="shared" si="60"/>
        <v>204681.73020000002</v>
      </c>
      <c r="AR151" s="311">
        <v>4</v>
      </c>
      <c r="AS151" s="312">
        <v>83212</v>
      </c>
      <c r="AT151" s="313">
        <f t="shared" si="61"/>
        <v>272336.23360000004</v>
      </c>
      <c r="AU151" s="308">
        <v>0</v>
      </c>
      <c r="AV151" s="309"/>
      <c r="AW151" s="310">
        <f t="shared" si="62"/>
        <v>0</v>
      </c>
      <c r="AX151" s="311">
        <v>0</v>
      </c>
      <c r="AY151" s="312"/>
      <c r="AZ151" s="313">
        <f t="shared" si="63"/>
        <v>0</v>
      </c>
      <c r="BA151" s="308">
        <v>1</v>
      </c>
      <c r="BB151" s="309">
        <v>59091</v>
      </c>
      <c r="BC151" s="310">
        <f t="shared" si="64"/>
        <v>48348.256200000003</v>
      </c>
      <c r="BD151" s="311">
        <v>0</v>
      </c>
      <c r="BE151" s="312"/>
      <c r="BF151" s="313">
        <f t="shared" si="65"/>
        <v>0</v>
      </c>
      <c r="BG151" s="308">
        <v>3</v>
      </c>
      <c r="BH151" s="309">
        <v>39539</v>
      </c>
      <c r="BI151" s="310">
        <f t="shared" si="66"/>
        <v>97052.429400000008</v>
      </c>
      <c r="BJ151" s="311">
        <v>1</v>
      </c>
      <c r="BK151" s="312">
        <v>40675</v>
      </c>
      <c r="BL151" s="313">
        <f t="shared" si="67"/>
        <v>33280.285000000003</v>
      </c>
      <c r="BM151" s="308"/>
      <c r="BN151" s="309"/>
      <c r="BO151" s="310">
        <f t="shared" si="68"/>
        <v>0</v>
      </c>
      <c r="BP151" s="311"/>
      <c r="BQ151" s="312"/>
      <c r="BR151" s="313">
        <f t="shared" si="69"/>
        <v>0</v>
      </c>
      <c r="BS151" s="308"/>
      <c r="BT151" s="309"/>
      <c r="BU151" s="310">
        <f t="shared" si="70"/>
        <v>0</v>
      </c>
      <c r="BV151" s="311"/>
      <c r="BW151" s="312"/>
      <c r="BX151" s="313">
        <f t="shared" si="71"/>
        <v>0</v>
      </c>
    </row>
    <row r="152" spans="1:76">
      <c r="A152" s="304" t="s">
        <v>448</v>
      </c>
      <c r="B152" s="305" t="s">
        <v>686</v>
      </c>
      <c r="C152" s="306">
        <v>139621</v>
      </c>
      <c r="D152" s="307">
        <v>10</v>
      </c>
      <c r="E152" s="308">
        <v>1</v>
      </c>
      <c r="F152" s="309">
        <v>60037</v>
      </c>
      <c r="G152" s="310">
        <f t="shared" si="48"/>
        <v>60037</v>
      </c>
      <c r="H152" s="311">
        <v>1</v>
      </c>
      <c r="I152" s="312">
        <v>61838</v>
      </c>
      <c r="J152" s="313">
        <f t="shared" si="49"/>
        <v>61838</v>
      </c>
      <c r="K152" s="308">
        <v>7</v>
      </c>
      <c r="L152" s="309">
        <v>47877</v>
      </c>
      <c r="M152" s="310">
        <f t="shared" si="50"/>
        <v>335139</v>
      </c>
      <c r="N152" s="311">
        <v>7</v>
      </c>
      <c r="O152" s="312">
        <v>49477</v>
      </c>
      <c r="P152" s="313">
        <f t="shared" si="51"/>
        <v>346339</v>
      </c>
      <c r="Q152" s="308">
        <v>12</v>
      </c>
      <c r="R152" s="309">
        <v>42853</v>
      </c>
      <c r="S152" s="310">
        <f t="shared" si="52"/>
        <v>514236</v>
      </c>
      <c r="T152" s="311">
        <v>14</v>
      </c>
      <c r="U152" s="312">
        <v>45309</v>
      </c>
      <c r="V152" s="313">
        <f t="shared" si="53"/>
        <v>634326</v>
      </c>
      <c r="W152" s="308">
        <v>17</v>
      </c>
      <c r="X152" s="309">
        <v>36878</v>
      </c>
      <c r="Y152" s="310">
        <f t="shared" si="54"/>
        <v>626926</v>
      </c>
      <c r="Z152" s="311">
        <v>22</v>
      </c>
      <c r="AA152" s="312">
        <v>37081</v>
      </c>
      <c r="AB152" s="313">
        <f t="shared" si="55"/>
        <v>815782</v>
      </c>
      <c r="AC152" s="308"/>
      <c r="AD152" s="309"/>
      <c r="AE152" s="310">
        <f t="shared" si="56"/>
        <v>0</v>
      </c>
      <c r="AF152" s="311">
        <v>0</v>
      </c>
      <c r="AG152" s="312"/>
      <c r="AH152" s="313">
        <f t="shared" si="57"/>
        <v>0</v>
      </c>
      <c r="AI152" s="308"/>
      <c r="AJ152" s="309"/>
      <c r="AK152" s="310">
        <f t="shared" si="58"/>
        <v>0</v>
      </c>
      <c r="AL152" s="311"/>
      <c r="AM152" s="312"/>
      <c r="AN152" s="313">
        <f t="shared" si="59"/>
        <v>0</v>
      </c>
      <c r="AO152" s="308">
        <v>1</v>
      </c>
      <c r="AP152" s="309">
        <v>88140</v>
      </c>
      <c r="AQ152" s="310">
        <f t="shared" si="60"/>
        <v>72116.148000000001</v>
      </c>
      <c r="AR152" s="311">
        <v>1</v>
      </c>
      <c r="AS152" s="312">
        <v>88140</v>
      </c>
      <c r="AT152" s="313">
        <f t="shared" si="61"/>
        <v>72116.148000000001</v>
      </c>
      <c r="AU152" s="308">
        <v>3</v>
      </c>
      <c r="AV152" s="309">
        <v>69210</v>
      </c>
      <c r="AW152" s="310">
        <f t="shared" si="62"/>
        <v>169882.86600000001</v>
      </c>
      <c r="AX152" s="311">
        <v>3</v>
      </c>
      <c r="AY152" s="312">
        <v>70663</v>
      </c>
      <c r="AZ152" s="313">
        <f t="shared" si="63"/>
        <v>173449.39980000001</v>
      </c>
      <c r="BA152" s="308">
        <v>0</v>
      </c>
      <c r="BB152" s="309"/>
      <c r="BC152" s="310">
        <f t="shared" si="64"/>
        <v>0</v>
      </c>
      <c r="BD152" s="311">
        <v>0</v>
      </c>
      <c r="BE152" s="312"/>
      <c r="BF152" s="313">
        <f t="shared" si="65"/>
        <v>0</v>
      </c>
      <c r="BG152" s="308">
        <v>1</v>
      </c>
      <c r="BH152" s="309">
        <v>48290</v>
      </c>
      <c r="BI152" s="310">
        <f t="shared" si="66"/>
        <v>39510.878000000004</v>
      </c>
      <c r="BJ152" s="311">
        <v>1</v>
      </c>
      <c r="BK152" s="312">
        <v>49980</v>
      </c>
      <c r="BL152" s="313">
        <f t="shared" si="67"/>
        <v>40893.635999999999</v>
      </c>
      <c r="BM152" s="308"/>
      <c r="BN152" s="309"/>
      <c r="BO152" s="310">
        <f t="shared" si="68"/>
        <v>0</v>
      </c>
      <c r="BP152" s="311"/>
      <c r="BQ152" s="312"/>
      <c r="BR152" s="313">
        <f t="shared" si="69"/>
        <v>0</v>
      </c>
      <c r="BS152" s="308"/>
      <c r="BT152" s="309"/>
      <c r="BU152" s="310">
        <f t="shared" si="70"/>
        <v>0</v>
      </c>
      <c r="BV152" s="311"/>
      <c r="BW152" s="312"/>
      <c r="BX152" s="313">
        <f t="shared" si="71"/>
        <v>0</v>
      </c>
    </row>
    <row r="153" spans="1:76">
      <c r="A153" s="304" t="s">
        <v>448</v>
      </c>
      <c r="B153" s="305" t="s">
        <v>687</v>
      </c>
      <c r="C153" s="306">
        <v>140997</v>
      </c>
      <c r="D153" s="307">
        <v>10</v>
      </c>
      <c r="E153" s="308">
        <v>2</v>
      </c>
      <c r="F153" s="309">
        <v>53750</v>
      </c>
      <c r="G153" s="310">
        <f t="shared" si="48"/>
        <v>107500</v>
      </c>
      <c r="H153" s="311">
        <v>4</v>
      </c>
      <c r="I153" s="312">
        <v>52571</v>
      </c>
      <c r="J153" s="313">
        <f t="shared" si="49"/>
        <v>210284</v>
      </c>
      <c r="K153" s="308">
        <v>7</v>
      </c>
      <c r="L153" s="309">
        <v>46012</v>
      </c>
      <c r="M153" s="310">
        <f t="shared" si="50"/>
        <v>322084</v>
      </c>
      <c r="N153" s="311">
        <v>8</v>
      </c>
      <c r="O153" s="312">
        <v>46375</v>
      </c>
      <c r="P153" s="313">
        <f t="shared" si="51"/>
        <v>371000</v>
      </c>
      <c r="Q153" s="308">
        <v>16</v>
      </c>
      <c r="R153" s="309">
        <v>42527</v>
      </c>
      <c r="S153" s="310">
        <f t="shared" si="52"/>
        <v>680432</v>
      </c>
      <c r="T153" s="311">
        <v>17</v>
      </c>
      <c r="U153" s="312">
        <v>42334</v>
      </c>
      <c r="V153" s="313">
        <f t="shared" si="53"/>
        <v>719678</v>
      </c>
      <c r="W153" s="308">
        <v>11</v>
      </c>
      <c r="X153" s="309">
        <v>39818</v>
      </c>
      <c r="Y153" s="310">
        <f t="shared" si="54"/>
        <v>437998</v>
      </c>
      <c r="Z153" s="311">
        <v>10</v>
      </c>
      <c r="AA153" s="312">
        <v>40020</v>
      </c>
      <c r="AB153" s="313">
        <f t="shared" si="55"/>
        <v>400200</v>
      </c>
      <c r="AC153" s="308"/>
      <c r="AD153" s="309"/>
      <c r="AE153" s="310">
        <f t="shared" si="56"/>
        <v>0</v>
      </c>
      <c r="AF153" s="311">
        <v>0</v>
      </c>
      <c r="AG153" s="312"/>
      <c r="AH153" s="313">
        <f t="shared" si="57"/>
        <v>0</v>
      </c>
      <c r="AI153" s="308"/>
      <c r="AJ153" s="309"/>
      <c r="AK153" s="310">
        <f t="shared" si="58"/>
        <v>0</v>
      </c>
      <c r="AL153" s="311"/>
      <c r="AM153" s="312"/>
      <c r="AN153" s="313">
        <f t="shared" si="59"/>
        <v>0</v>
      </c>
      <c r="AO153" s="308">
        <v>1</v>
      </c>
      <c r="AP153" s="309">
        <v>74800</v>
      </c>
      <c r="AQ153" s="310">
        <f t="shared" si="60"/>
        <v>61201.36</v>
      </c>
      <c r="AR153" s="311">
        <v>1</v>
      </c>
      <c r="AS153" s="312">
        <v>77050</v>
      </c>
      <c r="AT153" s="313">
        <f t="shared" si="61"/>
        <v>63042.310000000005</v>
      </c>
      <c r="AU153" s="308">
        <v>4</v>
      </c>
      <c r="AV153" s="309">
        <v>67287</v>
      </c>
      <c r="AW153" s="310">
        <f t="shared" si="62"/>
        <v>220216.89360000001</v>
      </c>
      <c r="AX153" s="311">
        <v>4</v>
      </c>
      <c r="AY153" s="312">
        <v>69303</v>
      </c>
      <c r="AZ153" s="313">
        <f t="shared" si="63"/>
        <v>226814.8584</v>
      </c>
      <c r="BA153" s="308">
        <v>2</v>
      </c>
      <c r="BB153" s="309">
        <v>80575</v>
      </c>
      <c r="BC153" s="310">
        <f t="shared" si="64"/>
        <v>131852.93</v>
      </c>
      <c r="BD153" s="311">
        <v>2</v>
      </c>
      <c r="BE153" s="312">
        <v>101418</v>
      </c>
      <c r="BF153" s="313">
        <f t="shared" si="65"/>
        <v>165960.41520000002</v>
      </c>
      <c r="BG153" s="308">
        <v>1</v>
      </c>
      <c r="BH153" s="309">
        <v>55750</v>
      </c>
      <c r="BI153" s="310">
        <f t="shared" si="66"/>
        <v>45614.65</v>
      </c>
      <c r="BJ153" s="311">
        <v>1</v>
      </c>
      <c r="BK153" s="312">
        <v>57420</v>
      </c>
      <c r="BL153" s="313">
        <f t="shared" si="67"/>
        <v>46981.044000000002</v>
      </c>
      <c r="BM153" s="308"/>
      <c r="BN153" s="309"/>
      <c r="BO153" s="310">
        <f t="shared" si="68"/>
        <v>0</v>
      </c>
      <c r="BP153" s="311"/>
      <c r="BQ153" s="312"/>
      <c r="BR153" s="313">
        <f t="shared" si="69"/>
        <v>0</v>
      </c>
      <c r="BS153" s="308"/>
      <c r="BT153" s="309"/>
      <c r="BU153" s="310">
        <f t="shared" si="70"/>
        <v>0</v>
      </c>
      <c r="BV153" s="311"/>
      <c r="BW153" s="312"/>
      <c r="BX153" s="313">
        <f t="shared" si="71"/>
        <v>0</v>
      </c>
    </row>
    <row r="154" spans="1:76">
      <c r="A154" s="304" t="s">
        <v>448</v>
      </c>
      <c r="B154" s="305" t="s">
        <v>688</v>
      </c>
      <c r="C154" s="306">
        <v>141307</v>
      </c>
      <c r="D154" s="307">
        <v>10</v>
      </c>
      <c r="E154" s="308">
        <v>2</v>
      </c>
      <c r="F154" s="309">
        <v>53375</v>
      </c>
      <c r="G154" s="310">
        <f t="shared" si="48"/>
        <v>106750</v>
      </c>
      <c r="H154" s="312">
        <v>2</v>
      </c>
      <c r="I154" s="312">
        <v>55220</v>
      </c>
      <c r="J154" s="313">
        <f t="shared" si="49"/>
        <v>110440</v>
      </c>
      <c r="K154" s="308">
        <v>1</v>
      </c>
      <c r="L154" s="309">
        <v>47230</v>
      </c>
      <c r="M154" s="310">
        <f t="shared" si="50"/>
        <v>47230</v>
      </c>
      <c r="N154" s="311">
        <v>5</v>
      </c>
      <c r="O154" s="312">
        <v>44262</v>
      </c>
      <c r="P154" s="313">
        <f t="shared" si="51"/>
        <v>221310</v>
      </c>
      <c r="Q154" s="308">
        <v>6</v>
      </c>
      <c r="R154" s="309">
        <v>40637</v>
      </c>
      <c r="S154" s="310">
        <f t="shared" si="52"/>
        <v>243822</v>
      </c>
      <c r="T154" s="311">
        <v>4</v>
      </c>
      <c r="U154" s="312">
        <v>38070</v>
      </c>
      <c r="V154" s="313">
        <f t="shared" si="53"/>
        <v>152280</v>
      </c>
      <c r="W154" s="308">
        <v>10</v>
      </c>
      <c r="X154" s="309">
        <v>35819</v>
      </c>
      <c r="Y154" s="310">
        <f t="shared" si="54"/>
        <v>358190</v>
      </c>
      <c r="Z154" s="311">
        <v>10</v>
      </c>
      <c r="AA154" s="312">
        <v>36922</v>
      </c>
      <c r="AB154" s="313">
        <f t="shared" si="55"/>
        <v>369220</v>
      </c>
      <c r="AC154" s="308"/>
      <c r="AD154" s="309"/>
      <c r="AE154" s="310">
        <f t="shared" si="56"/>
        <v>0</v>
      </c>
      <c r="AF154" s="311">
        <v>0</v>
      </c>
      <c r="AG154" s="312"/>
      <c r="AH154" s="313">
        <f t="shared" si="57"/>
        <v>0</v>
      </c>
      <c r="AI154" s="308"/>
      <c r="AJ154" s="309"/>
      <c r="AK154" s="310">
        <f t="shared" si="58"/>
        <v>0</v>
      </c>
      <c r="AL154" s="311"/>
      <c r="AM154" s="312"/>
      <c r="AN154" s="313">
        <f t="shared" si="59"/>
        <v>0</v>
      </c>
      <c r="AO154" s="308">
        <v>1</v>
      </c>
      <c r="AP154" s="309">
        <v>79090</v>
      </c>
      <c r="AQ154" s="310">
        <f t="shared" si="60"/>
        <v>64711.438000000002</v>
      </c>
      <c r="AR154" s="311">
        <v>1</v>
      </c>
      <c r="AS154" s="312">
        <v>81540</v>
      </c>
      <c r="AT154" s="313">
        <f t="shared" si="61"/>
        <v>66716.028000000006</v>
      </c>
      <c r="AU154" s="308">
        <v>1</v>
      </c>
      <c r="AV154" s="309">
        <v>71010</v>
      </c>
      <c r="AW154" s="310">
        <f t="shared" si="62"/>
        <v>58100.382000000005</v>
      </c>
      <c r="AX154" s="311">
        <v>1</v>
      </c>
      <c r="AY154" s="312">
        <v>73210</v>
      </c>
      <c r="AZ154" s="313">
        <f t="shared" si="63"/>
        <v>59900.422000000006</v>
      </c>
      <c r="BA154" s="308">
        <v>0</v>
      </c>
      <c r="BB154" s="309"/>
      <c r="BC154" s="310">
        <f t="shared" si="64"/>
        <v>0</v>
      </c>
      <c r="BD154" s="311">
        <v>0</v>
      </c>
      <c r="BE154" s="312"/>
      <c r="BF154" s="313">
        <f t="shared" si="65"/>
        <v>0</v>
      </c>
      <c r="BG154" s="308">
        <v>0</v>
      </c>
      <c r="BH154" s="309"/>
      <c r="BI154" s="310">
        <f t="shared" si="66"/>
        <v>0</v>
      </c>
      <c r="BJ154" s="311">
        <v>0</v>
      </c>
      <c r="BK154" s="312"/>
      <c r="BL154" s="313">
        <f t="shared" si="67"/>
        <v>0</v>
      </c>
      <c r="BM154" s="308"/>
      <c r="BN154" s="309"/>
      <c r="BO154" s="310">
        <f t="shared" si="68"/>
        <v>0</v>
      </c>
      <c r="BP154" s="311"/>
      <c r="BQ154" s="312"/>
      <c r="BR154" s="313">
        <f t="shared" si="69"/>
        <v>0</v>
      </c>
      <c r="BS154" s="308"/>
      <c r="BT154" s="309"/>
      <c r="BU154" s="310">
        <f t="shared" si="70"/>
        <v>0</v>
      </c>
      <c r="BV154" s="311"/>
      <c r="BW154" s="312"/>
      <c r="BX154" s="313">
        <f t="shared" si="71"/>
        <v>0</v>
      </c>
    </row>
    <row r="155" spans="1:76">
      <c r="A155" s="321" t="s">
        <v>448</v>
      </c>
      <c r="B155" s="322" t="s">
        <v>829</v>
      </c>
      <c r="C155" s="321">
        <v>138682</v>
      </c>
      <c r="D155" s="320">
        <v>12</v>
      </c>
      <c r="E155" s="308"/>
      <c r="F155" s="309"/>
      <c r="G155" s="310">
        <f t="shared" si="48"/>
        <v>0</v>
      </c>
      <c r="H155" s="311"/>
      <c r="I155" s="312"/>
      <c r="J155" s="313">
        <f t="shared" si="49"/>
        <v>0</v>
      </c>
      <c r="K155" s="308"/>
      <c r="L155" s="309"/>
      <c r="M155" s="310">
        <f t="shared" si="50"/>
        <v>0</v>
      </c>
      <c r="N155" s="311"/>
      <c r="O155" s="312"/>
      <c r="P155" s="313">
        <f t="shared" si="51"/>
        <v>0</v>
      </c>
      <c r="Q155" s="308"/>
      <c r="R155" s="309"/>
      <c r="S155" s="310">
        <f t="shared" si="52"/>
        <v>0</v>
      </c>
      <c r="T155" s="311"/>
      <c r="U155" s="312"/>
      <c r="V155" s="313">
        <f t="shared" si="53"/>
        <v>0</v>
      </c>
      <c r="W155" s="308"/>
      <c r="X155" s="309"/>
      <c r="Y155" s="310">
        <f t="shared" si="54"/>
        <v>0</v>
      </c>
      <c r="Z155" s="311"/>
      <c r="AA155" s="312"/>
      <c r="AB155" s="313">
        <f t="shared" si="55"/>
        <v>0</v>
      </c>
      <c r="AC155" s="308"/>
      <c r="AD155" s="309"/>
      <c r="AE155" s="310">
        <f t="shared" si="56"/>
        <v>0</v>
      </c>
      <c r="AF155" s="311"/>
      <c r="AG155" s="312"/>
      <c r="AH155" s="313">
        <f t="shared" si="57"/>
        <v>0</v>
      </c>
      <c r="AI155" s="308"/>
      <c r="AJ155" s="309"/>
      <c r="AK155" s="310">
        <f t="shared" si="58"/>
        <v>0</v>
      </c>
      <c r="AL155" s="311"/>
      <c r="AM155" s="312"/>
      <c r="AN155" s="313">
        <f t="shared" si="59"/>
        <v>0</v>
      </c>
      <c r="AO155" s="308"/>
      <c r="AP155" s="309"/>
      <c r="AQ155" s="310">
        <f t="shared" si="60"/>
        <v>0</v>
      </c>
      <c r="AR155" s="311"/>
      <c r="AS155" s="312"/>
      <c r="AT155" s="313">
        <f t="shared" si="61"/>
        <v>0</v>
      </c>
      <c r="AU155" s="308"/>
      <c r="AV155" s="309"/>
      <c r="AW155" s="310">
        <f t="shared" si="62"/>
        <v>0</v>
      </c>
      <c r="AX155" s="311"/>
      <c r="AY155" s="312"/>
      <c r="AZ155" s="313">
        <f t="shared" si="63"/>
        <v>0</v>
      </c>
      <c r="BA155" s="308"/>
      <c r="BB155" s="309"/>
      <c r="BC155" s="310">
        <f t="shared" si="64"/>
        <v>0</v>
      </c>
      <c r="BD155" s="311"/>
      <c r="BE155" s="312"/>
      <c r="BF155" s="313">
        <f t="shared" si="65"/>
        <v>0</v>
      </c>
      <c r="BG155" s="308"/>
      <c r="BH155" s="309"/>
      <c r="BI155" s="310">
        <f t="shared" si="66"/>
        <v>0</v>
      </c>
      <c r="BJ155" s="311"/>
      <c r="BK155" s="312"/>
      <c r="BL155" s="313">
        <f t="shared" si="67"/>
        <v>0</v>
      </c>
      <c r="BM155" s="308"/>
      <c r="BN155" s="309"/>
      <c r="BO155" s="310">
        <f t="shared" si="68"/>
        <v>0</v>
      </c>
      <c r="BP155" s="311"/>
      <c r="BQ155" s="312"/>
      <c r="BR155" s="313">
        <f t="shared" si="69"/>
        <v>0</v>
      </c>
      <c r="BS155" s="308">
        <v>78</v>
      </c>
      <c r="BT155" s="309">
        <v>51755</v>
      </c>
      <c r="BU155" s="310">
        <f t="shared" si="70"/>
        <v>3302983.398</v>
      </c>
      <c r="BV155" s="311">
        <v>73</v>
      </c>
      <c r="BW155" s="312">
        <v>52467</v>
      </c>
      <c r="BX155" s="313">
        <f t="shared" si="71"/>
        <v>3133780.4562000004</v>
      </c>
    </row>
    <row r="156" spans="1:76">
      <c r="A156" s="321" t="s">
        <v>448</v>
      </c>
      <c r="B156" s="322" t="s">
        <v>831</v>
      </c>
      <c r="C156" s="321">
        <v>246813</v>
      </c>
      <c r="D156" s="320">
        <v>12</v>
      </c>
      <c r="E156" s="308"/>
      <c r="F156" s="309"/>
      <c r="G156" s="310">
        <f t="shared" si="48"/>
        <v>0</v>
      </c>
      <c r="H156" s="311"/>
      <c r="I156" s="312"/>
      <c r="J156" s="313">
        <f t="shared" si="49"/>
        <v>0</v>
      </c>
      <c r="K156" s="308"/>
      <c r="L156" s="309"/>
      <c r="M156" s="310">
        <f t="shared" si="50"/>
        <v>0</v>
      </c>
      <c r="N156" s="311"/>
      <c r="O156" s="312"/>
      <c r="P156" s="313">
        <f t="shared" si="51"/>
        <v>0</v>
      </c>
      <c r="Q156" s="308"/>
      <c r="R156" s="309"/>
      <c r="S156" s="310">
        <f t="shared" si="52"/>
        <v>0</v>
      </c>
      <c r="T156" s="311"/>
      <c r="U156" s="312"/>
      <c r="V156" s="313">
        <f t="shared" si="53"/>
        <v>0</v>
      </c>
      <c r="W156" s="308"/>
      <c r="X156" s="309"/>
      <c r="Y156" s="310">
        <f t="shared" si="54"/>
        <v>0</v>
      </c>
      <c r="Z156" s="311"/>
      <c r="AA156" s="312"/>
      <c r="AB156" s="313">
        <f t="shared" si="55"/>
        <v>0</v>
      </c>
      <c r="AC156" s="308"/>
      <c r="AD156" s="309"/>
      <c r="AE156" s="310">
        <f t="shared" si="56"/>
        <v>0</v>
      </c>
      <c r="AF156" s="311"/>
      <c r="AG156" s="312"/>
      <c r="AH156" s="313">
        <f t="shared" si="57"/>
        <v>0</v>
      </c>
      <c r="AI156" s="308">
        <v>17</v>
      </c>
      <c r="AJ156" s="309">
        <v>55725</v>
      </c>
      <c r="AK156" s="310">
        <f t="shared" si="58"/>
        <v>947325</v>
      </c>
      <c r="AL156" s="311">
        <v>16</v>
      </c>
      <c r="AM156" s="312">
        <v>56814</v>
      </c>
      <c r="AN156" s="313">
        <f t="shared" si="59"/>
        <v>909024</v>
      </c>
      <c r="AO156" s="308"/>
      <c r="AP156" s="309"/>
      <c r="AQ156" s="310">
        <f t="shared" si="60"/>
        <v>0</v>
      </c>
      <c r="AR156" s="311"/>
      <c r="AS156" s="312"/>
      <c r="AT156" s="313">
        <f t="shared" si="61"/>
        <v>0</v>
      </c>
      <c r="AU156" s="308"/>
      <c r="AV156" s="309"/>
      <c r="AW156" s="310">
        <f t="shared" si="62"/>
        <v>0</v>
      </c>
      <c r="AX156" s="311"/>
      <c r="AY156" s="312"/>
      <c r="AZ156" s="313">
        <f t="shared" si="63"/>
        <v>0</v>
      </c>
      <c r="BA156" s="308"/>
      <c r="BB156" s="309"/>
      <c r="BC156" s="310">
        <f t="shared" si="64"/>
        <v>0</v>
      </c>
      <c r="BD156" s="311"/>
      <c r="BE156" s="312"/>
      <c r="BF156" s="313">
        <f t="shared" si="65"/>
        <v>0</v>
      </c>
      <c r="BG156" s="308"/>
      <c r="BH156" s="309"/>
      <c r="BI156" s="310">
        <f t="shared" si="66"/>
        <v>0</v>
      </c>
      <c r="BJ156" s="311"/>
      <c r="BK156" s="312"/>
      <c r="BL156" s="313">
        <f t="shared" si="67"/>
        <v>0</v>
      </c>
      <c r="BM156" s="308"/>
      <c r="BN156" s="309"/>
      <c r="BO156" s="310">
        <f t="shared" si="68"/>
        <v>0</v>
      </c>
      <c r="BP156" s="311"/>
      <c r="BQ156" s="312"/>
      <c r="BR156" s="313">
        <f t="shared" si="69"/>
        <v>0</v>
      </c>
      <c r="BS156" s="308">
        <v>66</v>
      </c>
      <c r="BT156" s="309">
        <v>63448</v>
      </c>
      <c r="BU156" s="310">
        <f t="shared" si="70"/>
        <v>3426268.1376</v>
      </c>
      <c r="BV156" s="311">
        <v>73</v>
      </c>
      <c r="BW156" s="312">
        <v>58913</v>
      </c>
      <c r="BX156" s="313">
        <f t="shared" si="71"/>
        <v>3518791.0118</v>
      </c>
    </row>
    <row r="157" spans="1:76">
      <c r="A157" s="321" t="s">
        <v>448</v>
      </c>
      <c r="B157" s="322" t="s">
        <v>832</v>
      </c>
      <c r="C157" s="321">
        <v>138840</v>
      </c>
      <c r="D157" s="320">
        <v>12</v>
      </c>
      <c r="E157" s="308"/>
      <c r="F157" s="309"/>
      <c r="G157" s="310">
        <f t="shared" si="48"/>
        <v>0</v>
      </c>
      <c r="H157" s="311"/>
      <c r="I157" s="312"/>
      <c r="J157" s="313">
        <f t="shared" si="49"/>
        <v>0</v>
      </c>
      <c r="K157" s="308"/>
      <c r="L157" s="309"/>
      <c r="M157" s="310">
        <f t="shared" si="50"/>
        <v>0</v>
      </c>
      <c r="N157" s="311"/>
      <c r="O157" s="312"/>
      <c r="P157" s="313">
        <f t="shared" si="51"/>
        <v>0</v>
      </c>
      <c r="Q157" s="308"/>
      <c r="R157" s="309"/>
      <c r="S157" s="310">
        <f t="shared" si="52"/>
        <v>0</v>
      </c>
      <c r="T157" s="311"/>
      <c r="U157" s="312"/>
      <c r="V157" s="313">
        <f t="shared" si="53"/>
        <v>0</v>
      </c>
      <c r="W157" s="308"/>
      <c r="X157" s="309"/>
      <c r="Y157" s="310">
        <f t="shared" si="54"/>
        <v>0</v>
      </c>
      <c r="Z157" s="311"/>
      <c r="AA157" s="312"/>
      <c r="AB157" s="313">
        <f t="shared" si="55"/>
        <v>0</v>
      </c>
      <c r="AC157" s="308"/>
      <c r="AD157" s="309"/>
      <c r="AE157" s="310">
        <f t="shared" si="56"/>
        <v>0</v>
      </c>
      <c r="AF157" s="311"/>
      <c r="AG157" s="312"/>
      <c r="AH157" s="313">
        <f t="shared" si="57"/>
        <v>0</v>
      </c>
      <c r="AI157" s="308">
        <v>2</v>
      </c>
      <c r="AJ157" s="309">
        <v>48742</v>
      </c>
      <c r="AK157" s="310">
        <f t="shared" si="58"/>
        <v>97484</v>
      </c>
      <c r="AL157" s="311">
        <v>2</v>
      </c>
      <c r="AM157" s="312">
        <v>25113</v>
      </c>
      <c r="AN157" s="313">
        <f t="shared" si="59"/>
        <v>50226</v>
      </c>
      <c r="AO157" s="308"/>
      <c r="AP157" s="309"/>
      <c r="AQ157" s="310">
        <f t="shared" si="60"/>
        <v>0</v>
      </c>
      <c r="AR157" s="311"/>
      <c r="AS157" s="312"/>
      <c r="AT157" s="313">
        <f t="shared" si="61"/>
        <v>0</v>
      </c>
      <c r="AU157" s="308"/>
      <c r="AV157" s="309"/>
      <c r="AW157" s="310">
        <f t="shared" si="62"/>
        <v>0</v>
      </c>
      <c r="AX157" s="311"/>
      <c r="AY157" s="312"/>
      <c r="AZ157" s="313">
        <f t="shared" si="63"/>
        <v>0</v>
      </c>
      <c r="BA157" s="308"/>
      <c r="BB157" s="309"/>
      <c r="BC157" s="310">
        <f t="shared" si="64"/>
        <v>0</v>
      </c>
      <c r="BD157" s="311"/>
      <c r="BE157" s="312"/>
      <c r="BF157" s="313">
        <f t="shared" si="65"/>
        <v>0</v>
      </c>
      <c r="BG157" s="308"/>
      <c r="BH157" s="309"/>
      <c r="BI157" s="310">
        <f t="shared" si="66"/>
        <v>0</v>
      </c>
      <c r="BJ157" s="311"/>
      <c r="BK157" s="312"/>
      <c r="BL157" s="313">
        <f t="shared" si="67"/>
        <v>0</v>
      </c>
      <c r="BM157" s="308"/>
      <c r="BN157" s="309"/>
      <c r="BO157" s="310">
        <f t="shared" si="68"/>
        <v>0</v>
      </c>
      <c r="BP157" s="311"/>
      <c r="BQ157" s="312"/>
      <c r="BR157" s="313">
        <f t="shared" si="69"/>
        <v>0</v>
      </c>
      <c r="BS157" s="308">
        <v>81</v>
      </c>
      <c r="BT157" s="309">
        <v>55526</v>
      </c>
      <c r="BU157" s="310">
        <f t="shared" si="70"/>
        <v>3679941.2291999999</v>
      </c>
      <c r="BV157" s="311">
        <v>87</v>
      </c>
      <c r="BW157" s="312">
        <v>53758</v>
      </c>
      <c r="BX157" s="313">
        <f t="shared" si="71"/>
        <v>3826677.2172000003</v>
      </c>
    </row>
    <row r="158" spans="1:76">
      <c r="A158" s="321" t="s">
        <v>448</v>
      </c>
      <c r="B158" s="322" t="s">
        <v>833</v>
      </c>
      <c r="C158" s="321">
        <v>138956</v>
      </c>
      <c r="D158" s="320">
        <v>12</v>
      </c>
      <c r="E158" s="308"/>
      <c r="F158" s="309"/>
      <c r="G158" s="310">
        <f t="shared" si="48"/>
        <v>0</v>
      </c>
      <c r="H158" s="311"/>
      <c r="I158" s="312"/>
      <c r="J158" s="313">
        <f t="shared" si="49"/>
        <v>0</v>
      </c>
      <c r="K158" s="308"/>
      <c r="L158" s="309"/>
      <c r="M158" s="310">
        <f t="shared" si="50"/>
        <v>0</v>
      </c>
      <c r="N158" s="311"/>
      <c r="O158" s="312"/>
      <c r="P158" s="313">
        <f t="shared" si="51"/>
        <v>0</v>
      </c>
      <c r="Q158" s="308"/>
      <c r="R158" s="309"/>
      <c r="S158" s="310">
        <f t="shared" si="52"/>
        <v>0</v>
      </c>
      <c r="T158" s="311"/>
      <c r="U158" s="312"/>
      <c r="V158" s="313">
        <f t="shared" si="53"/>
        <v>0</v>
      </c>
      <c r="W158" s="308"/>
      <c r="X158" s="309"/>
      <c r="Y158" s="310">
        <f t="shared" si="54"/>
        <v>0</v>
      </c>
      <c r="Z158" s="311"/>
      <c r="AA158" s="312"/>
      <c r="AB158" s="313">
        <f t="shared" si="55"/>
        <v>0</v>
      </c>
      <c r="AC158" s="308"/>
      <c r="AD158" s="309"/>
      <c r="AE158" s="310">
        <f t="shared" si="56"/>
        <v>0</v>
      </c>
      <c r="AF158" s="311"/>
      <c r="AG158" s="312"/>
      <c r="AH158" s="313">
        <f t="shared" si="57"/>
        <v>0</v>
      </c>
      <c r="AI158" s="308"/>
      <c r="AJ158" s="309"/>
      <c r="AK158" s="310">
        <f t="shared" si="58"/>
        <v>0</v>
      </c>
      <c r="AL158" s="311"/>
      <c r="AM158" s="312"/>
      <c r="AN158" s="313">
        <f t="shared" si="59"/>
        <v>0</v>
      </c>
      <c r="AO158" s="308"/>
      <c r="AP158" s="309"/>
      <c r="AQ158" s="310">
        <f t="shared" si="60"/>
        <v>0</v>
      </c>
      <c r="AR158" s="311"/>
      <c r="AS158" s="312"/>
      <c r="AT158" s="313">
        <f t="shared" si="61"/>
        <v>0</v>
      </c>
      <c r="AU158" s="308"/>
      <c r="AV158" s="309"/>
      <c r="AW158" s="310">
        <f t="shared" si="62"/>
        <v>0</v>
      </c>
      <c r="AX158" s="311"/>
      <c r="AY158" s="312"/>
      <c r="AZ158" s="313">
        <f t="shared" si="63"/>
        <v>0</v>
      </c>
      <c r="BA158" s="308"/>
      <c r="BB158" s="309"/>
      <c r="BC158" s="310">
        <f t="shared" si="64"/>
        <v>0</v>
      </c>
      <c r="BD158" s="311"/>
      <c r="BE158" s="312"/>
      <c r="BF158" s="313">
        <f t="shared" si="65"/>
        <v>0</v>
      </c>
      <c r="BG158" s="308"/>
      <c r="BH158" s="309"/>
      <c r="BI158" s="310">
        <f t="shared" si="66"/>
        <v>0</v>
      </c>
      <c r="BJ158" s="311"/>
      <c r="BK158" s="312"/>
      <c r="BL158" s="313">
        <f t="shared" si="67"/>
        <v>0</v>
      </c>
      <c r="BM158" s="308"/>
      <c r="BN158" s="309"/>
      <c r="BO158" s="310">
        <f t="shared" si="68"/>
        <v>0</v>
      </c>
      <c r="BP158" s="311"/>
      <c r="BQ158" s="312"/>
      <c r="BR158" s="313">
        <f t="shared" si="69"/>
        <v>0</v>
      </c>
      <c r="BS158" s="308">
        <v>136</v>
      </c>
      <c r="BT158" s="309">
        <v>56880</v>
      </c>
      <c r="BU158" s="310">
        <f t="shared" si="70"/>
        <v>6329333.3760000002</v>
      </c>
      <c r="BV158" s="311">
        <v>133</v>
      </c>
      <c r="BW158" s="312">
        <v>58016</v>
      </c>
      <c r="BX158" s="313">
        <f t="shared" si="71"/>
        <v>6313335.9296000004</v>
      </c>
    </row>
    <row r="159" spans="1:76">
      <c r="A159" s="321" t="s">
        <v>448</v>
      </c>
      <c r="B159" s="322" t="s">
        <v>834</v>
      </c>
      <c r="C159" s="321">
        <v>140304</v>
      </c>
      <c r="D159" s="320">
        <v>12</v>
      </c>
      <c r="E159" s="308"/>
      <c r="F159" s="309"/>
      <c r="G159" s="310">
        <f t="shared" si="48"/>
        <v>0</v>
      </c>
      <c r="H159" s="311"/>
      <c r="I159" s="312"/>
      <c r="J159" s="313">
        <f t="shared" si="49"/>
        <v>0</v>
      </c>
      <c r="K159" s="308"/>
      <c r="L159" s="309"/>
      <c r="M159" s="310">
        <f t="shared" si="50"/>
        <v>0</v>
      </c>
      <c r="N159" s="311"/>
      <c r="O159" s="312"/>
      <c r="P159" s="313">
        <f t="shared" si="51"/>
        <v>0</v>
      </c>
      <c r="Q159" s="308"/>
      <c r="R159" s="309"/>
      <c r="S159" s="310">
        <f t="shared" si="52"/>
        <v>0</v>
      </c>
      <c r="T159" s="311"/>
      <c r="U159" s="312"/>
      <c r="V159" s="313">
        <f t="shared" si="53"/>
        <v>0</v>
      </c>
      <c r="W159" s="308"/>
      <c r="X159" s="309"/>
      <c r="Y159" s="310">
        <f t="shared" si="54"/>
        <v>0</v>
      </c>
      <c r="Z159" s="311"/>
      <c r="AA159" s="312"/>
      <c r="AB159" s="313">
        <f t="shared" si="55"/>
        <v>0</v>
      </c>
      <c r="AC159" s="308"/>
      <c r="AD159" s="309"/>
      <c r="AE159" s="310">
        <f t="shared" si="56"/>
        <v>0</v>
      </c>
      <c r="AF159" s="311"/>
      <c r="AG159" s="312"/>
      <c r="AH159" s="313">
        <f t="shared" si="57"/>
        <v>0</v>
      </c>
      <c r="AI159" s="308">
        <v>2</v>
      </c>
      <c r="AJ159" s="309">
        <v>50147</v>
      </c>
      <c r="AK159" s="310">
        <f t="shared" si="58"/>
        <v>100294</v>
      </c>
      <c r="AL159" s="311">
        <v>1</v>
      </c>
      <c r="AM159" s="312">
        <v>47548</v>
      </c>
      <c r="AN159" s="313">
        <f t="shared" si="59"/>
        <v>47548</v>
      </c>
      <c r="AO159" s="308"/>
      <c r="AP159" s="309"/>
      <c r="AQ159" s="310">
        <f t="shared" si="60"/>
        <v>0</v>
      </c>
      <c r="AR159" s="311"/>
      <c r="AS159" s="312"/>
      <c r="AT159" s="313">
        <f t="shared" si="61"/>
        <v>0</v>
      </c>
      <c r="AU159" s="308"/>
      <c r="AV159" s="309"/>
      <c r="AW159" s="310">
        <f t="shared" si="62"/>
        <v>0</v>
      </c>
      <c r="AX159" s="311"/>
      <c r="AY159" s="312"/>
      <c r="AZ159" s="313">
        <f t="shared" si="63"/>
        <v>0</v>
      </c>
      <c r="BA159" s="308"/>
      <c r="BB159" s="309"/>
      <c r="BC159" s="310">
        <f t="shared" si="64"/>
        <v>0</v>
      </c>
      <c r="BD159" s="311"/>
      <c r="BE159" s="312"/>
      <c r="BF159" s="313">
        <f t="shared" si="65"/>
        <v>0</v>
      </c>
      <c r="BG159" s="308"/>
      <c r="BH159" s="309"/>
      <c r="BI159" s="310">
        <f t="shared" si="66"/>
        <v>0</v>
      </c>
      <c r="BJ159" s="311"/>
      <c r="BK159" s="312"/>
      <c r="BL159" s="313">
        <f t="shared" si="67"/>
        <v>0</v>
      </c>
      <c r="BM159" s="308"/>
      <c r="BN159" s="309"/>
      <c r="BO159" s="310">
        <f t="shared" si="68"/>
        <v>0</v>
      </c>
      <c r="BP159" s="311"/>
      <c r="BQ159" s="312"/>
      <c r="BR159" s="313">
        <f t="shared" si="69"/>
        <v>0</v>
      </c>
      <c r="BS159" s="308">
        <v>109</v>
      </c>
      <c r="BT159" s="309">
        <v>62130</v>
      </c>
      <c r="BU159" s="310">
        <f t="shared" si="70"/>
        <v>5540989.4939999999</v>
      </c>
      <c r="BV159" s="311">
        <v>114</v>
      </c>
      <c r="BW159" s="312">
        <v>65746</v>
      </c>
      <c r="BX159" s="313">
        <f t="shared" si="71"/>
        <v>6132445.0008000005</v>
      </c>
    </row>
    <row r="160" spans="1:76">
      <c r="A160" s="321" t="s">
        <v>448</v>
      </c>
      <c r="B160" s="322" t="s">
        <v>835</v>
      </c>
      <c r="C160" s="321">
        <v>140331</v>
      </c>
      <c r="D160" s="320">
        <v>12</v>
      </c>
      <c r="E160" s="308"/>
      <c r="F160" s="309"/>
      <c r="G160" s="310">
        <f t="shared" si="48"/>
        <v>0</v>
      </c>
      <c r="H160" s="311"/>
      <c r="I160" s="312"/>
      <c r="J160" s="313">
        <f t="shared" si="49"/>
        <v>0</v>
      </c>
      <c r="K160" s="308"/>
      <c r="L160" s="309"/>
      <c r="M160" s="310">
        <f t="shared" si="50"/>
        <v>0</v>
      </c>
      <c r="N160" s="311"/>
      <c r="O160" s="312"/>
      <c r="P160" s="313">
        <f t="shared" si="51"/>
        <v>0</v>
      </c>
      <c r="Q160" s="308"/>
      <c r="R160" s="309"/>
      <c r="S160" s="310">
        <f t="shared" si="52"/>
        <v>0</v>
      </c>
      <c r="T160" s="311"/>
      <c r="U160" s="312"/>
      <c r="V160" s="313">
        <f t="shared" si="53"/>
        <v>0</v>
      </c>
      <c r="W160" s="308"/>
      <c r="X160" s="309"/>
      <c r="Y160" s="310">
        <f t="shared" si="54"/>
        <v>0</v>
      </c>
      <c r="Z160" s="311"/>
      <c r="AA160" s="312"/>
      <c r="AB160" s="313">
        <f t="shared" si="55"/>
        <v>0</v>
      </c>
      <c r="AC160" s="308"/>
      <c r="AD160" s="309"/>
      <c r="AE160" s="310">
        <f t="shared" si="56"/>
        <v>0</v>
      </c>
      <c r="AF160" s="311"/>
      <c r="AG160" s="312"/>
      <c r="AH160" s="313">
        <f t="shared" si="57"/>
        <v>0</v>
      </c>
      <c r="AI160" s="308">
        <v>2</v>
      </c>
      <c r="AJ160" s="309">
        <v>42744</v>
      </c>
      <c r="AK160" s="310">
        <f t="shared" si="58"/>
        <v>85488</v>
      </c>
      <c r="AL160" s="311">
        <v>2</v>
      </c>
      <c r="AM160" s="312">
        <v>44028</v>
      </c>
      <c r="AN160" s="313">
        <f t="shared" si="59"/>
        <v>88056</v>
      </c>
      <c r="AO160" s="308"/>
      <c r="AP160" s="309"/>
      <c r="AQ160" s="310">
        <f t="shared" si="60"/>
        <v>0</v>
      </c>
      <c r="AR160" s="311"/>
      <c r="AS160" s="312"/>
      <c r="AT160" s="313">
        <f t="shared" si="61"/>
        <v>0</v>
      </c>
      <c r="AU160" s="308"/>
      <c r="AV160" s="309"/>
      <c r="AW160" s="310">
        <f t="shared" si="62"/>
        <v>0</v>
      </c>
      <c r="AX160" s="311"/>
      <c r="AY160" s="312"/>
      <c r="AZ160" s="313">
        <f t="shared" si="63"/>
        <v>0</v>
      </c>
      <c r="BA160" s="308"/>
      <c r="BB160" s="309"/>
      <c r="BC160" s="310">
        <f t="shared" si="64"/>
        <v>0</v>
      </c>
      <c r="BD160" s="311"/>
      <c r="BE160" s="312"/>
      <c r="BF160" s="313">
        <f t="shared" si="65"/>
        <v>0</v>
      </c>
      <c r="BG160" s="308"/>
      <c r="BH160" s="309"/>
      <c r="BI160" s="310">
        <f t="shared" si="66"/>
        <v>0</v>
      </c>
      <c r="BJ160" s="311"/>
      <c r="BK160" s="312"/>
      <c r="BL160" s="313">
        <f t="shared" si="67"/>
        <v>0</v>
      </c>
      <c r="BM160" s="308"/>
      <c r="BN160" s="309"/>
      <c r="BO160" s="310">
        <f t="shared" si="68"/>
        <v>0</v>
      </c>
      <c r="BP160" s="311"/>
      <c r="BQ160" s="312"/>
      <c r="BR160" s="313">
        <f t="shared" si="69"/>
        <v>0</v>
      </c>
      <c r="BS160" s="308">
        <v>63</v>
      </c>
      <c r="BT160" s="309">
        <v>59659</v>
      </c>
      <c r="BU160" s="310">
        <f t="shared" si="70"/>
        <v>3075218.6094</v>
      </c>
      <c r="BV160" s="311">
        <v>70</v>
      </c>
      <c r="BW160" s="312">
        <v>60422</v>
      </c>
      <c r="BX160" s="313">
        <f t="shared" si="71"/>
        <v>3460609.628</v>
      </c>
    </row>
    <row r="161" spans="1:76">
      <c r="A161" s="321" t="s">
        <v>448</v>
      </c>
      <c r="B161" s="322" t="s">
        <v>836</v>
      </c>
      <c r="C161" s="321">
        <v>139357</v>
      </c>
      <c r="D161" s="320">
        <v>12</v>
      </c>
      <c r="E161" s="308"/>
      <c r="F161" s="309"/>
      <c r="G161" s="310">
        <f t="shared" si="48"/>
        <v>0</v>
      </c>
      <c r="H161" s="311"/>
      <c r="I161" s="312"/>
      <c r="J161" s="313">
        <f t="shared" si="49"/>
        <v>0</v>
      </c>
      <c r="K161" s="308"/>
      <c r="L161" s="309"/>
      <c r="M161" s="310">
        <f t="shared" si="50"/>
        <v>0</v>
      </c>
      <c r="N161" s="311"/>
      <c r="O161" s="312"/>
      <c r="P161" s="313">
        <f t="shared" si="51"/>
        <v>0</v>
      </c>
      <c r="Q161" s="308"/>
      <c r="R161" s="309"/>
      <c r="S161" s="310">
        <f t="shared" si="52"/>
        <v>0</v>
      </c>
      <c r="T161" s="311"/>
      <c r="U161" s="312"/>
      <c r="V161" s="313">
        <f t="shared" si="53"/>
        <v>0</v>
      </c>
      <c r="W161" s="308"/>
      <c r="X161" s="309"/>
      <c r="Y161" s="310">
        <f t="shared" si="54"/>
        <v>0</v>
      </c>
      <c r="Z161" s="311"/>
      <c r="AA161" s="312"/>
      <c r="AB161" s="313">
        <f t="shared" si="55"/>
        <v>0</v>
      </c>
      <c r="AC161" s="308"/>
      <c r="AD161" s="309"/>
      <c r="AE161" s="310">
        <f t="shared" si="56"/>
        <v>0</v>
      </c>
      <c r="AF161" s="311"/>
      <c r="AG161" s="312"/>
      <c r="AH161" s="313">
        <f t="shared" si="57"/>
        <v>0</v>
      </c>
      <c r="AI161" s="308"/>
      <c r="AJ161" s="309"/>
      <c r="AK161" s="310">
        <f t="shared" si="58"/>
        <v>0</v>
      </c>
      <c r="AL161" s="311"/>
      <c r="AM161" s="312"/>
      <c r="AN161" s="313">
        <f t="shared" si="59"/>
        <v>0</v>
      </c>
      <c r="AO161" s="308"/>
      <c r="AP161" s="309"/>
      <c r="AQ161" s="310">
        <f t="shared" si="60"/>
        <v>0</v>
      </c>
      <c r="AR161" s="311"/>
      <c r="AS161" s="312"/>
      <c r="AT161" s="313">
        <f t="shared" si="61"/>
        <v>0</v>
      </c>
      <c r="AU161" s="308"/>
      <c r="AV161" s="309"/>
      <c r="AW161" s="310">
        <f t="shared" si="62"/>
        <v>0</v>
      </c>
      <c r="AX161" s="311"/>
      <c r="AY161" s="312"/>
      <c r="AZ161" s="313">
        <f t="shared" si="63"/>
        <v>0</v>
      </c>
      <c r="BA161" s="308"/>
      <c r="BB161" s="309"/>
      <c r="BC161" s="310">
        <f t="shared" si="64"/>
        <v>0</v>
      </c>
      <c r="BD161" s="311"/>
      <c r="BE161" s="312"/>
      <c r="BF161" s="313">
        <f t="shared" si="65"/>
        <v>0</v>
      </c>
      <c r="BG161" s="308"/>
      <c r="BH161" s="309"/>
      <c r="BI161" s="310">
        <f t="shared" si="66"/>
        <v>0</v>
      </c>
      <c r="BJ161" s="311"/>
      <c r="BK161" s="312"/>
      <c r="BL161" s="313">
        <f t="shared" si="67"/>
        <v>0</v>
      </c>
      <c r="BM161" s="308"/>
      <c r="BN161" s="309"/>
      <c r="BO161" s="310">
        <f t="shared" si="68"/>
        <v>0</v>
      </c>
      <c r="BP161" s="311"/>
      <c r="BQ161" s="312"/>
      <c r="BR161" s="313">
        <f t="shared" si="69"/>
        <v>0</v>
      </c>
      <c r="BS161" s="308">
        <v>76</v>
      </c>
      <c r="BT161" s="309">
        <v>54923</v>
      </c>
      <c r="BU161" s="310">
        <f t="shared" si="70"/>
        <v>3415287.8936000001</v>
      </c>
      <c r="BV161" s="311">
        <v>81</v>
      </c>
      <c r="BW161" s="312">
        <v>54774</v>
      </c>
      <c r="BX161" s="313">
        <f t="shared" si="71"/>
        <v>3630103.0308000003</v>
      </c>
    </row>
    <row r="162" spans="1:76">
      <c r="A162" s="321" t="s">
        <v>448</v>
      </c>
      <c r="B162" s="322" t="s">
        <v>837</v>
      </c>
      <c r="C162" s="321">
        <v>139384</v>
      </c>
      <c r="D162" s="320">
        <v>12</v>
      </c>
      <c r="E162" s="308"/>
      <c r="F162" s="309"/>
      <c r="G162" s="310">
        <f t="shared" si="48"/>
        <v>0</v>
      </c>
      <c r="H162" s="311"/>
      <c r="I162" s="312"/>
      <c r="J162" s="313">
        <f t="shared" si="49"/>
        <v>0</v>
      </c>
      <c r="K162" s="308"/>
      <c r="L162" s="309"/>
      <c r="M162" s="310">
        <f t="shared" si="50"/>
        <v>0</v>
      </c>
      <c r="N162" s="311"/>
      <c r="O162" s="312"/>
      <c r="P162" s="313">
        <f t="shared" si="51"/>
        <v>0</v>
      </c>
      <c r="Q162" s="308"/>
      <c r="R162" s="309"/>
      <c r="S162" s="310">
        <f t="shared" si="52"/>
        <v>0</v>
      </c>
      <c r="T162" s="311"/>
      <c r="U162" s="312"/>
      <c r="V162" s="313">
        <f t="shared" si="53"/>
        <v>0</v>
      </c>
      <c r="W162" s="308"/>
      <c r="X162" s="309"/>
      <c r="Y162" s="310">
        <f t="shared" si="54"/>
        <v>0</v>
      </c>
      <c r="Z162" s="311"/>
      <c r="AA162" s="312"/>
      <c r="AB162" s="313">
        <f t="shared" si="55"/>
        <v>0</v>
      </c>
      <c r="AC162" s="308"/>
      <c r="AD162" s="309"/>
      <c r="AE162" s="310">
        <f t="shared" si="56"/>
        <v>0</v>
      </c>
      <c r="AF162" s="311"/>
      <c r="AG162" s="312"/>
      <c r="AH162" s="313">
        <f t="shared" si="57"/>
        <v>0</v>
      </c>
      <c r="AI162" s="308">
        <v>1</v>
      </c>
      <c r="AJ162" s="309">
        <v>54983</v>
      </c>
      <c r="AK162" s="310">
        <f t="shared" si="58"/>
        <v>54983</v>
      </c>
      <c r="AL162" s="311">
        <v>1</v>
      </c>
      <c r="AM162" s="312">
        <v>56358</v>
      </c>
      <c r="AN162" s="313">
        <f t="shared" si="59"/>
        <v>56358</v>
      </c>
      <c r="AO162" s="308"/>
      <c r="AP162" s="309"/>
      <c r="AQ162" s="310">
        <f t="shared" si="60"/>
        <v>0</v>
      </c>
      <c r="AR162" s="311"/>
      <c r="AS162" s="312"/>
      <c r="AT162" s="313">
        <f t="shared" si="61"/>
        <v>0</v>
      </c>
      <c r="AU162" s="308"/>
      <c r="AV162" s="309"/>
      <c r="AW162" s="310">
        <f t="shared" si="62"/>
        <v>0</v>
      </c>
      <c r="AX162" s="311"/>
      <c r="AY162" s="312"/>
      <c r="AZ162" s="313">
        <f t="shared" si="63"/>
        <v>0</v>
      </c>
      <c r="BA162" s="308"/>
      <c r="BB162" s="309"/>
      <c r="BC162" s="310">
        <f t="shared" si="64"/>
        <v>0</v>
      </c>
      <c r="BD162" s="311"/>
      <c r="BE162" s="312"/>
      <c r="BF162" s="313">
        <f t="shared" si="65"/>
        <v>0</v>
      </c>
      <c r="BG162" s="308"/>
      <c r="BH162" s="309"/>
      <c r="BI162" s="310">
        <f t="shared" si="66"/>
        <v>0</v>
      </c>
      <c r="BJ162" s="311"/>
      <c r="BK162" s="312"/>
      <c r="BL162" s="313">
        <f t="shared" si="67"/>
        <v>0</v>
      </c>
      <c r="BM162" s="308"/>
      <c r="BN162" s="309"/>
      <c r="BO162" s="310">
        <f t="shared" si="68"/>
        <v>0</v>
      </c>
      <c r="BP162" s="311"/>
      <c r="BQ162" s="312"/>
      <c r="BR162" s="313">
        <f t="shared" si="69"/>
        <v>0</v>
      </c>
      <c r="BS162" s="308">
        <v>76</v>
      </c>
      <c r="BT162" s="309">
        <v>53077</v>
      </c>
      <c r="BU162" s="310">
        <f t="shared" si="70"/>
        <v>3300497.7064</v>
      </c>
      <c r="BV162" s="311">
        <v>79</v>
      </c>
      <c r="BW162" s="312">
        <v>54086</v>
      </c>
      <c r="BX162" s="313">
        <f t="shared" si="71"/>
        <v>3496000.0508000003</v>
      </c>
    </row>
    <row r="163" spans="1:76">
      <c r="A163" s="321" t="s">
        <v>448</v>
      </c>
      <c r="B163" s="322" t="s">
        <v>838</v>
      </c>
      <c r="C163" s="321">
        <v>244446</v>
      </c>
      <c r="D163" s="320">
        <v>12</v>
      </c>
      <c r="E163" s="308"/>
      <c r="F163" s="309"/>
      <c r="G163" s="310">
        <f t="shared" si="48"/>
        <v>0</v>
      </c>
      <c r="H163" s="311"/>
      <c r="I163" s="312"/>
      <c r="J163" s="313">
        <f t="shared" si="49"/>
        <v>0</v>
      </c>
      <c r="K163" s="308"/>
      <c r="L163" s="309"/>
      <c r="M163" s="310">
        <f t="shared" si="50"/>
        <v>0</v>
      </c>
      <c r="N163" s="311"/>
      <c r="O163" s="312"/>
      <c r="P163" s="313">
        <f t="shared" si="51"/>
        <v>0</v>
      </c>
      <c r="Q163" s="308"/>
      <c r="R163" s="309"/>
      <c r="S163" s="310">
        <f t="shared" si="52"/>
        <v>0</v>
      </c>
      <c r="T163" s="311"/>
      <c r="U163" s="312"/>
      <c r="V163" s="313">
        <f t="shared" si="53"/>
        <v>0</v>
      </c>
      <c r="W163" s="308"/>
      <c r="X163" s="309"/>
      <c r="Y163" s="310">
        <f t="shared" si="54"/>
        <v>0</v>
      </c>
      <c r="Z163" s="311"/>
      <c r="AA163" s="312"/>
      <c r="AB163" s="313">
        <f t="shared" si="55"/>
        <v>0</v>
      </c>
      <c r="AC163" s="308"/>
      <c r="AD163" s="309"/>
      <c r="AE163" s="310">
        <f t="shared" si="56"/>
        <v>0</v>
      </c>
      <c r="AF163" s="311"/>
      <c r="AG163" s="312"/>
      <c r="AH163" s="313">
        <f t="shared" si="57"/>
        <v>0</v>
      </c>
      <c r="AI163" s="308"/>
      <c r="AJ163" s="309"/>
      <c r="AK163" s="310">
        <f t="shared" si="58"/>
        <v>0</v>
      </c>
      <c r="AL163" s="311"/>
      <c r="AM163" s="312"/>
      <c r="AN163" s="313">
        <f t="shared" si="59"/>
        <v>0</v>
      </c>
      <c r="AO163" s="308"/>
      <c r="AP163" s="309"/>
      <c r="AQ163" s="310">
        <f t="shared" si="60"/>
        <v>0</v>
      </c>
      <c r="AR163" s="311"/>
      <c r="AS163" s="312"/>
      <c r="AT163" s="313">
        <f t="shared" si="61"/>
        <v>0</v>
      </c>
      <c r="AU163" s="308"/>
      <c r="AV163" s="309"/>
      <c r="AW163" s="310">
        <f t="shared" si="62"/>
        <v>0</v>
      </c>
      <c r="AX163" s="311"/>
      <c r="AY163" s="312"/>
      <c r="AZ163" s="313">
        <f t="shared" si="63"/>
        <v>0</v>
      </c>
      <c r="BA163" s="308"/>
      <c r="BB163" s="309"/>
      <c r="BC163" s="310">
        <f t="shared" si="64"/>
        <v>0</v>
      </c>
      <c r="BD163" s="311"/>
      <c r="BE163" s="312"/>
      <c r="BF163" s="313">
        <f t="shared" si="65"/>
        <v>0</v>
      </c>
      <c r="BG163" s="308"/>
      <c r="BH163" s="309"/>
      <c r="BI163" s="310">
        <f t="shared" si="66"/>
        <v>0</v>
      </c>
      <c r="BJ163" s="311"/>
      <c r="BK163" s="312"/>
      <c r="BL163" s="313">
        <f t="shared" si="67"/>
        <v>0</v>
      </c>
      <c r="BM163" s="308"/>
      <c r="BN163" s="309"/>
      <c r="BO163" s="310">
        <f t="shared" si="68"/>
        <v>0</v>
      </c>
      <c r="BP163" s="311"/>
      <c r="BQ163" s="312"/>
      <c r="BR163" s="313">
        <f t="shared" si="69"/>
        <v>0</v>
      </c>
      <c r="BS163" s="308">
        <v>101</v>
      </c>
      <c r="BT163" s="309">
        <v>59727</v>
      </c>
      <c r="BU163" s="310">
        <f t="shared" si="70"/>
        <v>4935731.7714</v>
      </c>
      <c r="BV163" s="311">
        <v>100</v>
      </c>
      <c r="BW163" s="312">
        <v>59939</v>
      </c>
      <c r="BX163" s="313">
        <f t="shared" si="71"/>
        <v>4904208.9800000004</v>
      </c>
    </row>
    <row r="164" spans="1:76">
      <c r="A164" s="321" t="s">
        <v>448</v>
      </c>
      <c r="B164" s="323" t="s">
        <v>839</v>
      </c>
      <c r="C164" s="324">
        <v>139126</v>
      </c>
      <c r="D164" s="324">
        <v>12</v>
      </c>
      <c r="E164" s="308"/>
      <c r="F164" s="309"/>
      <c r="G164" s="310">
        <f t="shared" si="48"/>
        <v>0</v>
      </c>
      <c r="H164" s="311"/>
      <c r="I164" s="312"/>
      <c r="J164" s="313">
        <f t="shared" si="49"/>
        <v>0</v>
      </c>
      <c r="K164" s="308"/>
      <c r="L164" s="309"/>
      <c r="M164" s="310">
        <f t="shared" si="50"/>
        <v>0</v>
      </c>
      <c r="N164" s="311"/>
      <c r="O164" s="312"/>
      <c r="P164" s="313">
        <f t="shared" si="51"/>
        <v>0</v>
      </c>
      <c r="Q164" s="308"/>
      <c r="R164" s="309"/>
      <c r="S164" s="310">
        <f t="shared" si="52"/>
        <v>0</v>
      </c>
      <c r="T164" s="311"/>
      <c r="U164" s="312"/>
      <c r="V164" s="313">
        <f t="shared" si="53"/>
        <v>0</v>
      </c>
      <c r="W164" s="308"/>
      <c r="X164" s="309"/>
      <c r="Y164" s="310">
        <f t="shared" si="54"/>
        <v>0</v>
      </c>
      <c r="Z164" s="311"/>
      <c r="AA164" s="312"/>
      <c r="AB164" s="313">
        <f t="shared" si="55"/>
        <v>0</v>
      </c>
      <c r="AC164" s="308"/>
      <c r="AD164" s="309"/>
      <c r="AE164" s="310">
        <f t="shared" si="56"/>
        <v>0</v>
      </c>
      <c r="AF164" s="311"/>
      <c r="AG164" s="312"/>
      <c r="AH164" s="313">
        <f t="shared" si="57"/>
        <v>0</v>
      </c>
      <c r="AI164" s="308">
        <v>2</v>
      </c>
      <c r="AJ164" s="309">
        <v>33186</v>
      </c>
      <c r="AK164" s="310">
        <f t="shared" si="58"/>
        <v>66372</v>
      </c>
      <c r="AL164" s="311">
        <v>3</v>
      </c>
      <c r="AM164" s="312">
        <v>30328</v>
      </c>
      <c r="AN164" s="313">
        <f t="shared" si="59"/>
        <v>90984</v>
      </c>
      <c r="AO164" s="308"/>
      <c r="AP164" s="309"/>
      <c r="AQ164" s="310">
        <f t="shared" si="60"/>
        <v>0</v>
      </c>
      <c r="AR164" s="311"/>
      <c r="AS164" s="312"/>
      <c r="AT164" s="313">
        <f t="shared" si="61"/>
        <v>0</v>
      </c>
      <c r="AU164" s="308"/>
      <c r="AV164" s="309"/>
      <c r="AW164" s="310">
        <f t="shared" si="62"/>
        <v>0</v>
      </c>
      <c r="AX164" s="311"/>
      <c r="AY164" s="312"/>
      <c r="AZ164" s="313">
        <f t="shared" si="63"/>
        <v>0</v>
      </c>
      <c r="BA164" s="308"/>
      <c r="BB164" s="309"/>
      <c r="BC164" s="310">
        <f t="shared" si="64"/>
        <v>0</v>
      </c>
      <c r="BD164" s="311"/>
      <c r="BE164" s="312"/>
      <c r="BF164" s="313">
        <f t="shared" si="65"/>
        <v>0</v>
      </c>
      <c r="BG164" s="308"/>
      <c r="BH164" s="309"/>
      <c r="BI164" s="310">
        <f t="shared" si="66"/>
        <v>0</v>
      </c>
      <c r="BJ164" s="311"/>
      <c r="BK164" s="312"/>
      <c r="BL164" s="313">
        <f t="shared" si="67"/>
        <v>0</v>
      </c>
      <c r="BM164" s="308"/>
      <c r="BN164" s="309"/>
      <c r="BO164" s="310">
        <f t="shared" si="68"/>
        <v>0</v>
      </c>
      <c r="BP164" s="311"/>
      <c r="BQ164" s="312"/>
      <c r="BR164" s="313">
        <f t="shared" si="69"/>
        <v>0</v>
      </c>
      <c r="BS164" s="308">
        <v>38</v>
      </c>
      <c r="BT164" s="309">
        <v>44959</v>
      </c>
      <c r="BU164" s="310">
        <f t="shared" si="70"/>
        <v>1397847.2444</v>
      </c>
      <c r="BV164" s="311">
        <v>48</v>
      </c>
      <c r="BW164" s="312">
        <v>42778</v>
      </c>
      <c r="BX164" s="313">
        <f t="shared" si="71"/>
        <v>1680046.0608000001</v>
      </c>
    </row>
    <row r="165" spans="1:76">
      <c r="A165" s="321" t="s">
        <v>448</v>
      </c>
      <c r="B165" s="322" t="s">
        <v>840</v>
      </c>
      <c r="C165" s="321">
        <v>139986</v>
      </c>
      <c r="D165" s="320">
        <v>12</v>
      </c>
      <c r="E165" s="308"/>
      <c r="F165" s="309"/>
      <c r="G165" s="310">
        <f t="shared" si="48"/>
        <v>0</v>
      </c>
      <c r="H165" s="311"/>
      <c r="I165" s="312"/>
      <c r="J165" s="313">
        <f t="shared" si="49"/>
        <v>0</v>
      </c>
      <c r="K165" s="308"/>
      <c r="L165" s="309"/>
      <c r="M165" s="310">
        <f t="shared" si="50"/>
        <v>0</v>
      </c>
      <c r="N165" s="311"/>
      <c r="O165" s="312"/>
      <c r="P165" s="313">
        <f t="shared" si="51"/>
        <v>0</v>
      </c>
      <c r="Q165" s="308"/>
      <c r="R165" s="309"/>
      <c r="S165" s="310">
        <f t="shared" si="52"/>
        <v>0</v>
      </c>
      <c r="T165" s="311"/>
      <c r="U165" s="312"/>
      <c r="V165" s="313">
        <f t="shared" si="53"/>
        <v>0</v>
      </c>
      <c r="W165" s="308"/>
      <c r="X165" s="309"/>
      <c r="Y165" s="310">
        <f t="shared" si="54"/>
        <v>0</v>
      </c>
      <c r="Z165" s="311"/>
      <c r="AA165" s="312"/>
      <c r="AB165" s="313">
        <f t="shared" si="55"/>
        <v>0</v>
      </c>
      <c r="AC165" s="308"/>
      <c r="AD165" s="309"/>
      <c r="AE165" s="310">
        <f t="shared" si="56"/>
        <v>0</v>
      </c>
      <c r="AF165" s="311"/>
      <c r="AG165" s="312"/>
      <c r="AH165" s="313">
        <f t="shared" si="57"/>
        <v>0</v>
      </c>
      <c r="AI165" s="308"/>
      <c r="AJ165" s="309"/>
      <c r="AK165" s="310">
        <f t="shared" si="58"/>
        <v>0</v>
      </c>
      <c r="AL165" s="311"/>
      <c r="AM165" s="312"/>
      <c r="AN165" s="313">
        <f t="shared" si="59"/>
        <v>0</v>
      </c>
      <c r="AO165" s="308"/>
      <c r="AP165" s="309"/>
      <c r="AQ165" s="310">
        <f t="shared" si="60"/>
        <v>0</v>
      </c>
      <c r="AR165" s="311"/>
      <c r="AS165" s="312"/>
      <c r="AT165" s="313">
        <f t="shared" si="61"/>
        <v>0</v>
      </c>
      <c r="AU165" s="308"/>
      <c r="AV165" s="309"/>
      <c r="AW165" s="310">
        <f t="shared" si="62"/>
        <v>0</v>
      </c>
      <c r="AX165" s="311"/>
      <c r="AY165" s="312"/>
      <c r="AZ165" s="313">
        <f t="shared" si="63"/>
        <v>0</v>
      </c>
      <c r="BA165" s="308"/>
      <c r="BB165" s="309"/>
      <c r="BC165" s="310">
        <f t="shared" si="64"/>
        <v>0</v>
      </c>
      <c r="BD165" s="311"/>
      <c r="BE165" s="312"/>
      <c r="BF165" s="313">
        <f t="shared" si="65"/>
        <v>0</v>
      </c>
      <c r="BG165" s="308"/>
      <c r="BH165" s="309"/>
      <c r="BI165" s="310">
        <f t="shared" si="66"/>
        <v>0</v>
      </c>
      <c r="BJ165" s="311"/>
      <c r="BK165" s="312"/>
      <c r="BL165" s="313">
        <f t="shared" si="67"/>
        <v>0</v>
      </c>
      <c r="BM165" s="308"/>
      <c r="BN165" s="309"/>
      <c r="BO165" s="310">
        <f t="shared" si="68"/>
        <v>0</v>
      </c>
      <c r="BP165" s="311"/>
      <c r="BQ165" s="312"/>
      <c r="BR165" s="313">
        <f t="shared" si="69"/>
        <v>0</v>
      </c>
      <c r="BS165" s="308">
        <v>76</v>
      </c>
      <c r="BT165" s="309">
        <v>51946</v>
      </c>
      <c r="BU165" s="310">
        <f t="shared" si="70"/>
        <v>3230168.5072000003</v>
      </c>
      <c r="BV165" s="311">
        <v>73</v>
      </c>
      <c r="BW165" s="312">
        <v>52013</v>
      </c>
      <c r="BX165" s="313">
        <f t="shared" si="71"/>
        <v>3106663.6718000001</v>
      </c>
    </row>
    <row r="166" spans="1:76">
      <c r="A166" s="321" t="s">
        <v>448</v>
      </c>
      <c r="B166" s="322" t="s">
        <v>841</v>
      </c>
      <c r="C166" s="321">
        <v>140012</v>
      </c>
      <c r="D166" s="320">
        <v>12</v>
      </c>
      <c r="E166" s="308"/>
      <c r="F166" s="309"/>
      <c r="G166" s="310">
        <f t="shared" si="48"/>
        <v>0</v>
      </c>
      <c r="H166" s="311"/>
      <c r="I166" s="312"/>
      <c r="J166" s="313">
        <f t="shared" si="49"/>
        <v>0</v>
      </c>
      <c r="K166" s="308"/>
      <c r="L166" s="309"/>
      <c r="M166" s="310">
        <f t="shared" si="50"/>
        <v>0</v>
      </c>
      <c r="N166" s="311"/>
      <c r="O166" s="312"/>
      <c r="P166" s="313">
        <f t="shared" si="51"/>
        <v>0</v>
      </c>
      <c r="Q166" s="308"/>
      <c r="R166" s="309"/>
      <c r="S166" s="310">
        <f t="shared" si="52"/>
        <v>0</v>
      </c>
      <c r="T166" s="311"/>
      <c r="U166" s="312"/>
      <c r="V166" s="313">
        <f t="shared" si="53"/>
        <v>0</v>
      </c>
      <c r="W166" s="308"/>
      <c r="X166" s="309"/>
      <c r="Y166" s="310">
        <f t="shared" si="54"/>
        <v>0</v>
      </c>
      <c r="Z166" s="311"/>
      <c r="AA166" s="312"/>
      <c r="AB166" s="313">
        <f t="shared" si="55"/>
        <v>0</v>
      </c>
      <c r="AC166" s="308"/>
      <c r="AD166" s="309"/>
      <c r="AE166" s="310">
        <f t="shared" si="56"/>
        <v>0</v>
      </c>
      <c r="AF166" s="311"/>
      <c r="AG166" s="312"/>
      <c r="AH166" s="313">
        <f t="shared" si="57"/>
        <v>0</v>
      </c>
      <c r="AI166" s="308"/>
      <c r="AJ166" s="309"/>
      <c r="AK166" s="310">
        <f t="shared" si="58"/>
        <v>0</v>
      </c>
      <c r="AL166" s="311"/>
      <c r="AM166" s="312"/>
      <c r="AN166" s="313">
        <f t="shared" si="59"/>
        <v>0</v>
      </c>
      <c r="AO166" s="308"/>
      <c r="AP166" s="309"/>
      <c r="AQ166" s="310">
        <f t="shared" si="60"/>
        <v>0</v>
      </c>
      <c r="AR166" s="311"/>
      <c r="AS166" s="312"/>
      <c r="AT166" s="313">
        <f t="shared" si="61"/>
        <v>0</v>
      </c>
      <c r="AU166" s="308"/>
      <c r="AV166" s="309"/>
      <c r="AW166" s="310">
        <f t="shared" si="62"/>
        <v>0</v>
      </c>
      <c r="AX166" s="311"/>
      <c r="AY166" s="312"/>
      <c r="AZ166" s="313">
        <f t="shared" si="63"/>
        <v>0</v>
      </c>
      <c r="BA166" s="308"/>
      <c r="BB166" s="309"/>
      <c r="BC166" s="310">
        <f t="shared" si="64"/>
        <v>0</v>
      </c>
      <c r="BD166" s="311"/>
      <c r="BE166" s="312"/>
      <c r="BF166" s="313">
        <f t="shared" si="65"/>
        <v>0</v>
      </c>
      <c r="BG166" s="308"/>
      <c r="BH166" s="309"/>
      <c r="BI166" s="310">
        <f t="shared" si="66"/>
        <v>0</v>
      </c>
      <c r="BJ166" s="311"/>
      <c r="BK166" s="312"/>
      <c r="BL166" s="313">
        <f t="shared" si="67"/>
        <v>0</v>
      </c>
      <c r="BM166" s="308"/>
      <c r="BN166" s="309"/>
      <c r="BO166" s="310">
        <f t="shared" si="68"/>
        <v>0</v>
      </c>
      <c r="BP166" s="311"/>
      <c r="BQ166" s="312"/>
      <c r="BR166" s="313">
        <f t="shared" si="69"/>
        <v>0</v>
      </c>
      <c r="BS166" s="308">
        <v>80</v>
      </c>
      <c r="BT166" s="309">
        <v>69681</v>
      </c>
      <c r="BU166" s="310">
        <f t="shared" si="70"/>
        <v>4561039.5360000003</v>
      </c>
      <c r="BV166" s="311">
        <v>87</v>
      </c>
      <c r="BW166" s="312">
        <v>68729</v>
      </c>
      <c r="BX166" s="313">
        <f t="shared" si="71"/>
        <v>4892363.8986</v>
      </c>
    </row>
    <row r="167" spans="1:76">
      <c r="A167" s="321" t="s">
        <v>448</v>
      </c>
      <c r="B167" s="322" t="s">
        <v>842</v>
      </c>
      <c r="C167" s="321">
        <v>140076</v>
      </c>
      <c r="D167" s="320">
        <v>12</v>
      </c>
      <c r="E167" s="308"/>
      <c r="F167" s="309"/>
      <c r="G167" s="310">
        <f t="shared" si="48"/>
        <v>0</v>
      </c>
      <c r="H167" s="311"/>
      <c r="I167" s="312"/>
      <c r="J167" s="313">
        <f t="shared" si="49"/>
        <v>0</v>
      </c>
      <c r="K167" s="308"/>
      <c r="L167" s="309"/>
      <c r="M167" s="310">
        <f t="shared" si="50"/>
        <v>0</v>
      </c>
      <c r="N167" s="311"/>
      <c r="O167" s="312"/>
      <c r="P167" s="313">
        <f t="shared" si="51"/>
        <v>0</v>
      </c>
      <c r="Q167" s="308"/>
      <c r="R167" s="309"/>
      <c r="S167" s="310">
        <f t="shared" si="52"/>
        <v>0</v>
      </c>
      <c r="T167" s="311"/>
      <c r="U167" s="312"/>
      <c r="V167" s="313">
        <f t="shared" si="53"/>
        <v>0</v>
      </c>
      <c r="W167" s="308"/>
      <c r="X167" s="309"/>
      <c r="Y167" s="310">
        <f t="shared" si="54"/>
        <v>0</v>
      </c>
      <c r="Z167" s="311"/>
      <c r="AA167" s="312"/>
      <c r="AB167" s="313">
        <f t="shared" si="55"/>
        <v>0</v>
      </c>
      <c r="AC167" s="308"/>
      <c r="AD167" s="309"/>
      <c r="AE167" s="310">
        <f t="shared" si="56"/>
        <v>0</v>
      </c>
      <c r="AF167" s="311"/>
      <c r="AG167" s="312"/>
      <c r="AH167" s="313">
        <f t="shared" si="57"/>
        <v>0</v>
      </c>
      <c r="AI167" s="308">
        <v>2</v>
      </c>
      <c r="AJ167" s="309">
        <v>22451</v>
      </c>
      <c r="AK167" s="310">
        <f t="shared" si="58"/>
        <v>44902</v>
      </c>
      <c r="AL167" s="311"/>
      <c r="AM167" s="312"/>
      <c r="AN167" s="313">
        <f t="shared" si="59"/>
        <v>0</v>
      </c>
      <c r="AO167" s="308"/>
      <c r="AP167" s="309"/>
      <c r="AQ167" s="310">
        <f t="shared" si="60"/>
        <v>0</v>
      </c>
      <c r="AR167" s="311"/>
      <c r="AS167" s="312"/>
      <c r="AT167" s="313">
        <f t="shared" si="61"/>
        <v>0</v>
      </c>
      <c r="AU167" s="308"/>
      <c r="AV167" s="309"/>
      <c r="AW167" s="310">
        <f t="shared" si="62"/>
        <v>0</v>
      </c>
      <c r="AX167" s="311"/>
      <c r="AY167" s="312"/>
      <c r="AZ167" s="313">
        <f t="shared" si="63"/>
        <v>0</v>
      </c>
      <c r="BA167" s="308"/>
      <c r="BB167" s="309"/>
      <c r="BC167" s="310">
        <f t="shared" si="64"/>
        <v>0</v>
      </c>
      <c r="BD167" s="311"/>
      <c r="BE167" s="312"/>
      <c r="BF167" s="313">
        <f t="shared" si="65"/>
        <v>0</v>
      </c>
      <c r="BG167" s="308"/>
      <c r="BH167" s="309"/>
      <c r="BI167" s="310">
        <f t="shared" si="66"/>
        <v>0</v>
      </c>
      <c r="BJ167" s="311"/>
      <c r="BK167" s="312"/>
      <c r="BL167" s="313">
        <f t="shared" si="67"/>
        <v>0</v>
      </c>
      <c r="BM167" s="308"/>
      <c r="BN167" s="309"/>
      <c r="BO167" s="310">
        <f t="shared" si="68"/>
        <v>0</v>
      </c>
      <c r="BP167" s="311"/>
      <c r="BQ167" s="312"/>
      <c r="BR167" s="313">
        <f t="shared" si="69"/>
        <v>0</v>
      </c>
      <c r="BS167" s="308">
        <v>56</v>
      </c>
      <c r="BT167" s="309">
        <v>51911</v>
      </c>
      <c r="BU167" s="310">
        <f t="shared" si="70"/>
        <v>2378520.4912</v>
      </c>
      <c r="BV167" s="311">
        <v>56</v>
      </c>
      <c r="BW167" s="312">
        <v>49615</v>
      </c>
      <c r="BX167" s="313">
        <f t="shared" si="71"/>
        <v>2273319.608</v>
      </c>
    </row>
    <row r="168" spans="1:76">
      <c r="A168" s="321" t="s">
        <v>448</v>
      </c>
      <c r="B168" s="322" t="s">
        <v>843</v>
      </c>
      <c r="C168" s="321">
        <v>140243</v>
      </c>
      <c r="D168" s="320">
        <v>12</v>
      </c>
      <c r="E168" s="308"/>
      <c r="F168" s="309"/>
      <c r="G168" s="310">
        <f t="shared" si="48"/>
        <v>0</v>
      </c>
      <c r="H168" s="311"/>
      <c r="I168" s="312"/>
      <c r="J168" s="313">
        <f t="shared" si="49"/>
        <v>0</v>
      </c>
      <c r="K168" s="308"/>
      <c r="L168" s="309"/>
      <c r="M168" s="310">
        <f t="shared" si="50"/>
        <v>0</v>
      </c>
      <c r="N168" s="311"/>
      <c r="O168" s="312"/>
      <c r="P168" s="313">
        <f t="shared" si="51"/>
        <v>0</v>
      </c>
      <c r="Q168" s="308"/>
      <c r="R168" s="309"/>
      <c r="S168" s="310">
        <f t="shared" si="52"/>
        <v>0</v>
      </c>
      <c r="T168" s="311"/>
      <c r="U168" s="312"/>
      <c r="V168" s="313">
        <f t="shared" si="53"/>
        <v>0</v>
      </c>
      <c r="W168" s="308"/>
      <c r="X168" s="309"/>
      <c r="Y168" s="310">
        <f t="shared" si="54"/>
        <v>0</v>
      </c>
      <c r="Z168" s="311"/>
      <c r="AA168" s="312"/>
      <c r="AB168" s="313">
        <f t="shared" si="55"/>
        <v>0</v>
      </c>
      <c r="AC168" s="308"/>
      <c r="AD168" s="309"/>
      <c r="AE168" s="310">
        <f t="shared" si="56"/>
        <v>0</v>
      </c>
      <c r="AF168" s="311"/>
      <c r="AG168" s="312"/>
      <c r="AH168" s="313">
        <f t="shared" si="57"/>
        <v>0</v>
      </c>
      <c r="AI168" s="308">
        <v>1</v>
      </c>
      <c r="AJ168" s="309">
        <v>40797</v>
      </c>
      <c r="AK168" s="310">
        <f t="shared" si="58"/>
        <v>40797</v>
      </c>
      <c r="AL168" s="311">
        <v>1</v>
      </c>
      <c r="AM168" s="312">
        <v>42371</v>
      </c>
      <c r="AN168" s="313">
        <f t="shared" si="59"/>
        <v>42371</v>
      </c>
      <c r="AO168" s="308"/>
      <c r="AP168" s="309"/>
      <c r="AQ168" s="310">
        <f t="shared" si="60"/>
        <v>0</v>
      </c>
      <c r="AR168" s="311"/>
      <c r="AS168" s="312"/>
      <c r="AT168" s="313">
        <f t="shared" si="61"/>
        <v>0</v>
      </c>
      <c r="AU168" s="308"/>
      <c r="AV168" s="309"/>
      <c r="AW168" s="310">
        <f t="shared" si="62"/>
        <v>0</v>
      </c>
      <c r="AX168" s="311"/>
      <c r="AY168" s="312"/>
      <c r="AZ168" s="313">
        <f t="shared" si="63"/>
        <v>0</v>
      </c>
      <c r="BA168" s="308"/>
      <c r="BB168" s="309"/>
      <c r="BC168" s="310">
        <f t="shared" si="64"/>
        <v>0</v>
      </c>
      <c r="BD168" s="311"/>
      <c r="BE168" s="312"/>
      <c r="BF168" s="313">
        <f t="shared" si="65"/>
        <v>0</v>
      </c>
      <c r="BG168" s="308"/>
      <c r="BH168" s="309"/>
      <c r="BI168" s="310">
        <f t="shared" si="66"/>
        <v>0</v>
      </c>
      <c r="BJ168" s="311"/>
      <c r="BK168" s="312"/>
      <c r="BL168" s="313">
        <f t="shared" si="67"/>
        <v>0</v>
      </c>
      <c r="BM168" s="308"/>
      <c r="BN168" s="309"/>
      <c r="BO168" s="310">
        <f t="shared" si="68"/>
        <v>0</v>
      </c>
      <c r="BP168" s="311"/>
      <c r="BQ168" s="312"/>
      <c r="BR168" s="313">
        <f t="shared" si="69"/>
        <v>0</v>
      </c>
      <c r="BS168" s="308">
        <v>77</v>
      </c>
      <c r="BT168" s="309">
        <v>53580</v>
      </c>
      <c r="BU168" s="310">
        <f t="shared" si="70"/>
        <v>3375615.0120000001</v>
      </c>
      <c r="BV168" s="311">
        <v>75</v>
      </c>
      <c r="BW168" s="312">
        <v>54543</v>
      </c>
      <c r="BX168" s="313">
        <f t="shared" si="71"/>
        <v>3347031.1950000003</v>
      </c>
    </row>
    <row r="169" spans="1:76">
      <c r="A169" s="321" t="s">
        <v>448</v>
      </c>
      <c r="B169" s="322" t="s">
        <v>844</v>
      </c>
      <c r="C169" s="321">
        <v>140085</v>
      </c>
      <c r="D169" s="320">
        <v>12</v>
      </c>
      <c r="E169" s="308"/>
      <c r="F169" s="309"/>
      <c r="G169" s="310">
        <f t="shared" si="48"/>
        <v>0</v>
      </c>
      <c r="H169" s="311"/>
      <c r="I169" s="312"/>
      <c r="J169" s="313">
        <f t="shared" si="49"/>
        <v>0</v>
      </c>
      <c r="K169" s="308"/>
      <c r="L169" s="309"/>
      <c r="M169" s="310">
        <f t="shared" si="50"/>
        <v>0</v>
      </c>
      <c r="N169" s="311"/>
      <c r="O169" s="312"/>
      <c r="P169" s="313">
        <f t="shared" si="51"/>
        <v>0</v>
      </c>
      <c r="Q169" s="308"/>
      <c r="R169" s="309"/>
      <c r="S169" s="310">
        <f t="shared" si="52"/>
        <v>0</v>
      </c>
      <c r="T169" s="311"/>
      <c r="U169" s="312"/>
      <c r="V169" s="313">
        <f t="shared" si="53"/>
        <v>0</v>
      </c>
      <c r="W169" s="308"/>
      <c r="X169" s="309"/>
      <c r="Y169" s="310">
        <f t="shared" si="54"/>
        <v>0</v>
      </c>
      <c r="Z169" s="311"/>
      <c r="AA169" s="312"/>
      <c r="AB169" s="313">
        <f t="shared" si="55"/>
        <v>0</v>
      </c>
      <c r="AC169" s="308"/>
      <c r="AD169" s="309"/>
      <c r="AE169" s="310">
        <f t="shared" si="56"/>
        <v>0</v>
      </c>
      <c r="AF169" s="311"/>
      <c r="AG169" s="312"/>
      <c r="AH169" s="313">
        <f t="shared" si="57"/>
        <v>0</v>
      </c>
      <c r="AI169" s="308"/>
      <c r="AJ169" s="309"/>
      <c r="AK169" s="310">
        <f t="shared" si="58"/>
        <v>0</v>
      </c>
      <c r="AL169" s="311"/>
      <c r="AM169" s="312"/>
      <c r="AN169" s="313">
        <f t="shared" si="59"/>
        <v>0</v>
      </c>
      <c r="AO169" s="308"/>
      <c r="AP169" s="309"/>
      <c r="AQ169" s="310">
        <f t="shared" si="60"/>
        <v>0</v>
      </c>
      <c r="AR169" s="311"/>
      <c r="AS169" s="312"/>
      <c r="AT169" s="313">
        <f t="shared" si="61"/>
        <v>0</v>
      </c>
      <c r="AU169" s="308"/>
      <c r="AV169" s="309"/>
      <c r="AW169" s="310">
        <f t="shared" si="62"/>
        <v>0</v>
      </c>
      <c r="AX169" s="311"/>
      <c r="AY169" s="312"/>
      <c r="AZ169" s="313">
        <f t="shared" si="63"/>
        <v>0</v>
      </c>
      <c r="BA169" s="308"/>
      <c r="BB169" s="309"/>
      <c r="BC169" s="310">
        <f t="shared" si="64"/>
        <v>0</v>
      </c>
      <c r="BD169" s="311"/>
      <c r="BE169" s="312"/>
      <c r="BF169" s="313">
        <f t="shared" si="65"/>
        <v>0</v>
      </c>
      <c r="BG169" s="308"/>
      <c r="BH169" s="309"/>
      <c r="BI169" s="310">
        <f t="shared" si="66"/>
        <v>0</v>
      </c>
      <c r="BJ169" s="311"/>
      <c r="BK169" s="312"/>
      <c r="BL169" s="313">
        <f t="shared" si="67"/>
        <v>0</v>
      </c>
      <c r="BM169" s="308"/>
      <c r="BN169" s="309"/>
      <c r="BO169" s="310">
        <f t="shared" si="68"/>
        <v>0</v>
      </c>
      <c r="BP169" s="311"/>
      <c r="BQ169" s="312"/>
      <c r="BR169" s="313">
        <f t="shared" si="69"/>
        <v>0</v>
      </c>
      <c r="BS169" s="308">
        <v>88</v>
      </c>
      <c r="BT169" s="309">
        <v>47363</v>
      </c>
      <c r="BU169" s="310">
        <f t="shared" si="70"/>
        <v>3410211.7808000003</v>
      </c>
      <c r="BV169" s="311">
        <v>98</v>
      </c>
      <c r="BW169" s="312">
        <v>50472</v>
      </c>
      <c r="BX169" s="313">
        <f t="shared" si="71"/>
        <v>4047026.6592000001</v>
      </c>
    </row>
    <row r="170" spans="1:76">
      <c r="A170" s="321" t="s">
        <v>448</v>
      </c>
      <c r="B170" s="322" t="s">
        <v>845</v>
      </c>
      <c r="C170" s="321">
        <v>140599</v>
      </c>
      <c r="D170" s="320">
        <v>12</v>
      </c>
      <c r="E170" s="308"/>
      <c r="F170" s="309"/>
      <c r="G170" s="310">
        <f t="shared" si="48"/>
        <v>0</v>
      </c>
      <c r="H170" s="311"/>
      <c r="I170" s="312"/>
      <c r="J170" s="313">
        <f t="shared" si="49"/>
        <v>0</v>
      </c>
      <c r="K170" s="308"/>
      <c r="L170" s="309"/>
      <c r="M170" s="310">
        <f t="shared" si="50"/>
        <v>0</v>
      </c>
      <c r="N170" s="311"/>
      <c r="O170" s="312"/>
      <c r="P170" s="313">
        <f t="shared" si="51"/>
        <v>0</v>
      </c>
      <c r="Q170" s="308"/>
      <c r="R170" s="309"/>
      <c r="S170" s="310">
        <f t="shared" si="52"/>
        <v>0</v>
      </c>
      <c r="T170" s="311"/>
      <c r="U170" s="312"/>
      <c r="V170" s="313">
        <f t="shared" si="53"/>
        <v>0</v>
      </c>
      <c r="W170" s="308"/>
      <c r="X170" s="309"/>
      <c r="Y170" s="310">
        <f t="shared" si="54"/>
        <v>0</v>
      </c>
      <c r="Z170" s="311"/>
      <c r="AA170" s="312"/>
      <c r="AB170" s="313">
        <f t="shared" si="55"/>
        <v>0</v>
      </c>
      <c r="AC170" s="308"/>
      <c r="AD170" s="309"/>
      <c r="AE170" s="310">
        <f t="shared" si="56"/>
        <v>0</v>
      </c>
      <c r="AF170" s="311"/>
      <c r="AG170" s="312"/>
      <c r="AH170" s="313">
        <f t="shared" si="57"/>
        <v>0</v>
      </c>
      <c r="AI170" s="308"/>
      <c r="AJ170" s="309"/>
      <c r="AK170" s="310">
        <f t="shared" si="58"/>
        <v>0</v>
      </c>
      <c r="AL170" s="311"/>
      <c r="AM170" s="312"/>
      <c r="AN170" s="313">
        <f t="shared" si="59"/>
        <v>0</v>
      </c>
      <c r="AO170" s="308"/>
      <c r="AP170" s="309"/>
      <c r="AQ170" s="310">
        <f t="shared" si="60"/>
        <v>0</v>
      </c>
      <c r="AR170" s="311"/>
      <c r="AS170" s="312"/>
      <c r="AT170" s="313">
        <f t="shared" si="61"/>
        <v>0</v>
      </c>
      <c r="AU170" s="308"/>
      <c r="AV170" s="309"/>
      <c r="AW170" s="310">
        <f t="shared" si="62"/>
        <v>0</v>
      </c>
      <c r="AX170" s="311"/>
      <c r="AY170" s="312"/>
      <c r="AZ170" s="313">
        <f t="shared" si="63"/>
        <v>0</v>
      </c>
      <c r="BA170" s="308"/>
      <c r="BB170" s="309"/>
      <c r="BC170" s="310">
        <f t="shared" si="64"/>
        <v>0</v>
      </c>
      <c r="BD170" s="311"/>
      <c r="BE170" s="312"/>
      <c r="BF170" s="313">
        <f t="shared" si="65"/>
        <v>0</v>
      </c>
      <c r="BG170" s="308"/>
      <c r="BH170" s="309"/>
      <c r="BI170" s="310">
        <f t="shared" si="66"/>
        <v>0</v>
      </c>
      <c r="BJ170" s="311"/>
      <c r="BK170" s="312"/>
      <c r="BL170" s="313">
        <f t="shared" si="67"/>
        <v>0</v>
      </c>
      <c r="BM170" s="308"/>
      <c r="BN170" s="309"/>
      <c r="BO170" s="310">
        <f t="shared" si="68"/>
        <v>0</v>
      </c>
      <c r="BP170" s="311"/>
      <c r="BQ170" s="312"/>
      <c r="BR170" s="313">
        <f t="shared" si="69"/>
        <v>0</v>
      </c>
      <c r="BS170" s="308">
        <v>56</v>
      </c>
      <c r="BT170" s="309">
        <v>49862</v>
      </c>
      <c r="BU170" s="310">
        <f t="shared" si="70"/>
        <v>2284636.9504</v>
      </c>
      <c r="BV170" s="311">
        <v>54</v>
      </c>
      <c r="BW170" s="312">
        <v>50961</v>
      </c>
      <c r="BX170" s="313">
        <f t="shared" si="71"/>
        <v>2251599.6708</v>
      </c>
    </row>
    <row r="171" spans="1:76">
      <c r="A171" s="321" t="s">
        <v>448</v>
      </c>
      <c r="B171" s="322" t="s">
        <v>846</v>
      </c>
      <c r="C171" s="321">
        <v>140678</v>
      </c>
      <c r="D171" s="320">
        <v>12</v>
      </c>
      <c r="E171" s="308"/>
      <c r="F171" s="309"/>
      <c r="G171" s="310">
        <f t="shared" si="48"/>
        <v>0</v>
      </c>
      <c r="H171" s="311"/>
      <c r="I171" s="312"/>
      <c r="J171" s="313">
        <f t="shared" si="49"/>
        <v>0</v>
      </c>
      <c r="K171" s="308"/>
      <c r="L171" s="309"/>
      <c r="M171" s="310">
        <f t="shared" si="50"/>
        <v>0</v>
      </c>
      <c r="N171" s="311"/>
      <c r="O171" s="312"/>
      <c r="P171" s="313">
        <f t="shared" si="51"/>
        <v>0</v>
      </c>
      <c r="Q171" s="308"/>
      <c r="R171" s="309"/>
      <c r="S171" s="310">
        <f t="shared" si="52"/>
        <v>0</v>
      </c>
      <c r="T171" s="311"/>
      <c r="U171" s="312"/>
      <c r="V171" s="313">
        <f t="shared" si="53"/>
        <v>0</v>
      </c>
      <c r="W171" s="308"/>
      <c r="X171" s="309"/>
      <c r="Y171" s="310">
        <f t="shared" si="54"/>
        <v>0</v>
      </c>
      <c r="Z171" s="311"/>
      <c r="AA171" s="312"/>
      <c r="AB171" s="313">
        <f t="shared" si="55"/>
        <v>0</v>
      </c>
      <c r="AC171" s="308"/>
      <c r="AD171" s="309"/>
      <c r="AE171" s="310">
        <f t="shared" si="56"/>
        <v>0</v>
      </c>
      <c r="AF171" s="311"/>
      <c r="AG171" s="312"/>
      <c r="AH171" s="313">
        <f t="shared" si="57"/>
        <v>0</v>
      </c>
      <c r="AI171" s="308">
        <v>2</v>
      </c>
      <c r="AJ171" s="309">
        <v>38548</v>
      </c>
      <c r="AK171" s="310">
        <f t="shared" si="58"/>
        <v>77096</v>
      </c>
      <c r="AL171" s="311">
        <v>1</v>
      </c>
      <c r="AM171" s="312">
        <v>38147</v>
      </c>
      <c r="AN171" s="313">
        <f t="shared" si="59"/>
        <v>38147</v>
      </c>
      <c r="AO171" s="308"/>
      <c r="AP171" s="309"/>
      <c r="AQ171" s="310">
        <f t="shared" si="60"/>
        <v>0</v>
      </c>
      <c r="AR171" s="311"/>
      <c r="AS171" s="312"/>
      <c r="AT171" s="313">
        <f t="shared" si="61"/>
        <v>0</v>
      </c>
      <c r="AU171" s="308"/>
      <c r="AV171" s="309"/>
      <c r="AW171" s="310">
        <f t="shared" si="62"/>
        <v>0</v>
      </c>
      <c r="AX171" s="311"/>
      <c r="AY171" s="312"/>
      <c r="AZ171" s="313">
        <f t="shared" si="63"/>
        <v>0</v>
      </c>
      <c r="BA171" s="308"/>
      <c r="BB171" s="309"/>
      <c r="BC171" s="310">
        <f t="shared" si="64"/>
        <v>0</v>
      </c>
      <c r="BD171" s="311"/>
      <c r="BE171" s="312"/>
      <c r="BF171" s="313">
        <f t="shared" si="65"/>
        <v>0</v>
      </c>
      <c r="BG171" s="308"/>
      <c r="BH171" s="309"/>
      <c r="BI171" s="310">
        <f t="shared" si="66"/>
        <v>0</v>
      </c>
      <c r="BJ171" s="311"/>
      <c r="BK171" s="312"/>
      <c r="BL171" s="313">
        <f t="shared" si="67"/>
        <v>0</v>
      </c>
      <c r="BM171" s="308"/>
      <c r="BN171" s="309"/>
      <c r="BO171" s="310">
        <f t="shared" si="68"/>
        <v>0</v>
      </c>
      <c r="BP171" s="311"/>
      <c r="BQ171" s="312"/>
      <c r="BR171" s="313">
        <f t="shared" si="69"/>
        <v>0</v>
      </c>
      <c r="BS171" s="308">
        <v>69</v>
      </c>
      <c r="BT171" s="309">
        <v>46427</v>
      </c>
      <c r="BU171" s="310">
        <f t="shared" si="70"/>
        <v>2621073.4266000004</v>
      </c>
      <c r="BV171" s="311">
        <v>71</v>
      </c>
      <c r="BW171" s="312">
        <v>46809</v>
      </c>
      <c r="BX171" s="313">
        <f t="shared" si="71"/>
        <v>2719237.7897999999</v>
      </c>
    </row>
    <row r="172" spans="1:76">
      <c r="A172" s="321" t="s">
        <v>448</v>
      </c>
      <c r="B172" s="323" t="s">
        <v>847</v>
      </c>
      <c r="C172" s="324">
        <v>366456</v>
      </c>
      <c r="D172" s="324">
        <v>12</v>
      </c>
      <c r="E172" s="308"/>
      <c r="F172" s="309"/>
      <c r="G172" s="310">
        <f t="shared" si="48"/>
        <v>0</v>
      </c>
      <c r="H172" s="311"/>
      <c r="I172" s="312"/>
      <c r="J172" s="313">
        <f t="shared" si="49"/>
        <v>0</v>
      </c>
      <c r="K172" s="308"/>
      <c r="L172" s="309"/>
      <c r="M172" s="310">
        <f t="shared" si="50"/>
        <v>0</v>
      </c>
      <c r="N172" s="311"/>
      <c r="O172" s="312"/>
      <c r="P172" s="313">
        <f t="shared" si="51"/>
        <v>0</v>
      </c>
      <c r="Q172" s="308"/>
      <c r="R172" s="309"/>
      <c r="S172" s="310">
        <f t="shared" si="52"/>
        <v>0</v>
      </c>
      <c r="T172" s="311"/>
      <c r="U172" s="312"/>
      <c r="V172" s="313">
        <f t="shared" si="53"/>
        <v>0</v>
      </c>
      <c r="W172" s="308"/>
      <c r="X172" s="309"/>
      <c r="Y172" s="310">
        <f t="shared" si="54"/>
        <v>0</v>
      </c>
      <c r="Z172" s="311"/>
      <c r="AA172" s="312"/>
      <c r="AB172" s="313">
        <f t="shared" si="55"/>
        <v>0</v>
      </c>
      <c r="AC172" s="308"/>
      <c r="AD172" s="309"/>
      <c r="AE172" s="310">
        <f t="shared" si="56"/>
        <v>0</v>
      </c>
      <c r="AF172" s="311"/>
      <c r="AG172" s="312"/>
      <c r="AH172" s="313">
        <f t="shared" si="57"/>
        <v>0</v>
      </c>
      <c r="AI172" s="308"/>
      <c r="AJ172" s="309"/>
      <c r="AK172" s="310">
        <f t="shared" si="58"/>
        <v>0</v>
      </c>
      <c r="AL172" s="311"/>
      <c r="AM172" s="312"/>
      <c r="AN172" s="313">
        <f t="shared" si="59"/>
        <v>0</v>
      </c>
      <c r="AO172" s="308"/>
      <c r="AP172" s="309"/>
      <c r="AQ172" s="310">
        <f t="shared" si="60"/>
        <v>0</v>
      </c>
      <c r="AR172" s="311"/>
      <c r="AS172" s="312"/>
      <c r="AT172" s="313">
        <f t="shared" si="61"/>
        <v>0</v>
      </c>
      <c r="AU172" s="308"/>
      <c r="AV172" s="309"/>
      <c r="AW172" s="310">
        <f t="shared" si="62"/>
        <v>0</v>
      </c>
      <c r="AX172" s="311"/>
      <c r="AY172" s="312"/>
      <c r="AZ172" s="313">
        <f t="shared" si="63"/>
        <v>0</v>
      </c>
      <c r="BA172" s="308"/>
      <c r="BB172" s="309"/>
      <c r="BC172" s="310">
        <f t="shared" si="64"/>
        <v>0</v>
      </c>
      <c r="BD172" s="311"/>
      <c r="BE172" s="312"/>
      <c r="BF172" s="313">
        <f t="shared" si="65"/>
        <v>0</v>
      </c>
      <c r="BG172" s="308"/>
      <c r="BH172" s="309"/>
      <c r="BI172" s="310">
        <f t="shared" si="66"/>
        <v>0</v>
      </c>
      <c r="BJ172" s="311"/>
      <c r="BK172" s="312"/>
      <c r="BL172" s="313">
        <f t="shared" si="67"/>
        <v>0</v>
      </c>
      <c r="BM172" s="308"/>
      <c r="BN172" s="309"/>
      <c r="BO172" s="310">
        <f t="shared" si="68"/>
        <v>0</v>
      </c>
      <c r="BP172" s="311"/>
      <c r="BQ172" s="312"/>
      <c r="BR172" s="313">
        <f t="shared" si="69"/>
        <v>0</v>
      </c>
      <c r="BS172" s="308">
        <v>40</v>
      </c>
      <c r="BT172" s="309">
        <v>55207</v>
      </c>
      <c r="BU172" s="310">
        <f t="shared" si="70"/>
        <v>1806814.696</v>
      </c>
      <c r="BV172" s="311">
        <v>42</v>
      </c>
      <c r="BW172" s="312">
        <v>56963</v>
      </c>
      <c r="BX172" s="313">
        <f t="shared" si="71"/>
        <v>1957499.3172000002</v>
      </c>
    </row>
    <row r="173" spans="1:76">
      <c r="A173" s="321" t="s">
        <v>448</v>
      </c>
      <c r="B173" s="323" t="s">
        <v>848</v>
      </c>
      <c r="C173" s="324">
        <v>141273</v>
      </c>
      <c r="D173" s="320">
        <v>12</v>
      </c>
      <c r="E173" s="308"/>
      <c r="F173" s="309"/>
      <c r="G173" s="310">
        <f t="shared" si="48"/>
        <v>0</v>
      </c>
      <c r="H173" s="311"/>
      <c r="I173" s="312"/>
      <c r="J173" s="313">
        <f t="shared" si="49"/>
        <v>0</v>
      </c>
      <c r="K173" s="308"/>
      <c r="L173" s="309"/>
      <c r="M173" s="310">
        <f t="shared" si="50"/>
        <v>0</v>
      </c>
      <c r="N173" s="311"/>
      <c r="O173" s="312"/>
      <c r="P173" s="313">
        <f t="shared" si="51"/>
        <v>0</v>
      </c>
      <c r="Q173" s="308"/>
      <c r="R173" s="309"/>
      <c r="S173" s="310">
        <f t="shared" si="52"/>
        <v>0</v>
      </c>
      <c r="T173" s="311"/>
      <c r="U173" s="312"/>
      <c r="V173" s="313">
        <f t="shared" si="53"/>
        <v>0</v>
      </c>
      <c r="W173" s="308"/>
      <c r="X173" s="309"/>
      <c r="Y173" s="310">
        <f t="shared" si="54"/>
        <v>0</v>
      </c>
      <c r="Z173" s="311"/>
      <c r="AA173" s="312"/>
      <c r="AB173" s="313">
        <f t="shared" si="55"/>
        <v>0</v>
      </c>
      <c r="AC173" s="308"/>
      <c r="AD173" s="309"/>
      <c r="AE173" s="310">
        <f t="shared" si="56"/>
        <v>0</v>
      </c>
      <c r="AF173" s="311"/>
      <c r="AG173" s="312"/>
      <c r="AH173" s="313">
        <f t="shared" si="57"/>
        <v>0</v>
      </c>
      <c r="AI173" s="308">
        <v>11</v>
      </c>
      <c r="AJ173" s="309">
        <v>46611</v>
      </c>
      <c r="AK173" s="310">
        <f t="shared" si="58"/>
        <v>512721</v>
      </c>
      <c r="AL173" s="311">
        <v>6</v>
      </c>
      <c r="AM173" s="312">
        <v>58958</v>
      </c>
      <c r="AN173" s="313">
        <f t="shared" si="59"/>
        <v>353748</v>
      </c>
      <c r="AO173" s="308"/>
      <c r="AP173" s="309"/>
      <c r="AQ173" s="310">
        <f t="shared" si="60"/>
        <v>0</v>
      </c>
      <c r="AR173" s="311"/>
      <c r="AS173" s="312"/>
      <c r="AT173" s="313">
        <f t="shared" si="61"/>
        <v>0</v>
      </c>
      <c r="AU173" s="308"/>
      <c r="AV173" s="309"/>
      <c r="AW173" s="310">
        <f t="shared" si="62"/>
        <v>0</v>
      </c>
      <c r="AX173" s="311"/>
      <c r="AY173" s="312"/>
      <c r="AZ173" s="313">
        <f t="shared" si="63"/>
        <v>0</v>
      </c>
      <c r="BA173" s="308"/>
      <c r="BB173" s="309"/>
      <c r="BC173" s="310">
        <f t="shared" si="64"/>
        <v>0</v>
      </c>
      <c r="BD173" s="311"/>
      <c r="BE173" s="312"/>
      <c r="BF173" s="313">
        <f t="shared" si="65"/>
        <v>0</v>
      </c>
      <c r="BG173" s="308"/>
      <c r="BH173" s="309"/>
      <c r="BI173" s="310">
        <f t="shared" si="66"/>
        <v>0</v>
      </c>
      <c r="BJ173" s="311"/>
      <c r="BK173" s="312"/>
      <c r="BL173" s="313">
        <f t="shared" si="67"/>
        <v>0</v>
      </c>
      <c r="BM173" s="308"/>
      <c r="BN173" s="309"/>
      <c r="BO173" s="310">
        <f t="shared" si="68"/>
        <v>0</v>
      </c>
      <c r="BP173" s="311"/>
      <c r="BQ173" s="312"/>
      <c r="BR173" s="313">
        <f t="shared" si="69"/>
        <v>0</v>
      </c>
      <c r="BS173" s="308">
        <v>46</v>
      </c>
      <c r="BT173" s="309">
        <v>52216</v>
      </c>
      <c r="BU173" s="310">
        <f t="shared" si="70"/>
        <v>1965264.0352</v>
      </c>
      <c r="BV173" s="311">
        <v>48</v>
      </c>
      <c r="BW173" s="312">
        <v>48537</v>
      </c>
      <c r="BX173" s="313">
        <f t="shared" si="71"/>
        <v>1906222.7232000001</v>
      </c>
    </row>
    <row r="174" spans="1:76">
      <c r="A174" s="321" t="s">
        <v>448</v>
      </c>
      <c r="B174" s="323" t="s">
        <v>849</v>
      </c>
      <c r="C174" s="324">
        <v>366465</v>
      </c>
      <c r="D174" s="324">
        <v>12</v>
      </c>
      <c r="E174" s="308"/>
      <c r="F174" s="309"/>
      <c r="G174" s="310">
        <f t="shared" si="48"/>
        <v>0</v>
      </c>
      <c r="H174" s="311"/>
      <c r="I174" s="312"/>
      <c r="J174" s="313">
        <f t="shared" si="49"/>
        <v>0</v>
      </c>
      <c r="K174" s="308"/>
      <c r="L174" s="309"/>
      <c r="M174" s="310">
        <f t="shared" si="50"/>
        <v>0</v>
      </c>
      <c r="N174" s="311"/>
      <c r="O174" s="312"/>
      <c r="P174" s="313">
        <f t="shared" si="51"/>
        <v>0</v>
      </c>
      <c r="Q174" s="308"/>
      <c r="R174" s="309"/>
      <c r="S174" s="310">
        <f t="shared" si="52"/>
        <v>0</v>
      </c>
      <c r="T174" s="311"/>
      <c r="U174" s="312"/>
      <c r="V174" s="313">
        <f t="shared" si="53"/>
        <v>0</v>
      </c>
      <c r="W174" s="308"/>
      <c r="X174" s="309"/>
      <c r="Y174" s="310">
        <f t="shared" si="54"/>
        <v>0</v>
      </c>
      <c r="Z174" s="311"/>
      <c r="AA174" s="312"/>
      <c r="AB174" s="313">
        <f t="shared" si="55"/>
        <v>0</v>
      </c>
      <c r="AC174" s="308"/>
      <c r="AD174" s="309"/>
      <c r="AE174" s="310">
        <f t="shared" si="56"/>
        <v>0</v>
      </c>
      <c r="AF174" s="311"/>
      <c r="AG174" s="312"/>
      <c r="AH174" s="313">
        <f t="shared" si="57"/>
        <v>0</v>
      </c>
      <c r="AI174" s="308"/>
      <c r="AJ174" s="309"/>
      <c r="AK174" s="310">
        <f t="shared" si="58"/>
        <v>0</v>
      </c>
      <c r="AL174" s="311"/>
      <c r="AM174" s="312"/>
      <c r="AN174" s="313">
        <f t="shared" si="59"/>
        <v>0</v>
      </c>
      <c r="AO174" s="308"/>
      <c r="AP174" s="309"/>
      <c r="AQ174" s="310">
        <f t="shared" si="60"/>
        <v>0</v>
      </c>
      <c r="AR174" s="311"/>
      <c r="AS174" s="312"/>
      <c r="AT174" s="313">
        <f t="shared" si="61"/>
        <v>0</v>
      </c>
      <c r="AU174" s="308"/>
      <c r="AV174" s="309"/>
      <c r="AW174" s="310">
        <f t="shared" si="62"/>
        <v>0</v>
      </c>
      <c r="AX174" s="311"/>
      <c r="AY174" s="312"/>
      <c r="AZ174" s="313">
        <f t="shared" si="63"/>
        <v>0</v>
      </c>
      <c r="BA174" s="308"/>
      <c r="BB174" s="309"/>
      <c r="BC174" s="310">
        <f t="shared" si="64"/>
        <v>0</v>
      </c>
      <c r="BD174" s="311"/>
      <c r="BE174" s="312"/>
      <c r="BF174" s="313">
        <f t="shared" si="65"/>
        <v>0</v>
      </c>
      <c r="BG174" s="308"/>
      <c r="BH174" s="309"/>
      <c r="BI174" s="310">
        <f t="shared" si="66"/>
        <v>0</v>
      </c>
      <c r="BJ174" s="311"/>
      <c r="BK174" s="312"/>
      <c r="BL174" s="313">
        <f t="shared" si="67"/>
        <v>0</v>
      </c>
      <c r="BM174" s="308"/>
      <c r="BN174" s="309"/>
      <c r="BO174" s="310">
        <f t="shared" si="68"/>
        <v>0</v>
      </c>
      <c r="BP174" s="311"/>
      <c r="BQ174" s="312"/>
      <c r="BR174" s="313">
        <f t="shared" si="69"/>
        <v>0</v>
      </c>
      <c r="BS174" s="308">
        <v>68</v>
      </c>
      <c r="BT174" s="309">
        <v>50351</v>
      </c>
      <c r="BU174" s="310">
        <f t="shared" si="70"/>
        <v>2801408.7976000002</v>
      </c>
      <c r="BV174" s="311">
        <v>67</v>
      </c>
      <c r="BW174" s="312">
        <v>48757</v>
      </c>
      <c r="BX174" s="313">
        <f t="shared" si="71"/>
        <v>2672829.4857999999</v>
      </c>
    </row>
    <row r="175" spans="1:76">
      <c r="A175" s="321" t="s">
        <v>448</v>
      </c>
      <c r="B175" s="323" t="s">
        <v>850</v>
      </c>
      <c r="C175" s="324">
        <v>248776</v>
      </c>
      <c r="D175" s="320">
        <v>12</v>
      </c>
      <c r="E175" s="308"/>
      <c r="F175" s="309"/>
      <c r="G175" s="310">
        <f t="shared" si="48"/>
        <v>0</v>
      </c>
      <c r="H175" s="311"/>
      <c r="I175" s="312"/>
      <c r="J175" s="313">
        <f t="shared" si="49"/>
        <v>0</v>
      </c>
      <c r="K175" s="308"/>
      <c r="L175" s="309"/>
      <c r="M175" s="310">
        <f t="shared" si="50"/>
        <v>0</v>
      </c>
      <c r="N175" s="311"/>
      <c r="O175" s="312"/>
      <c r="P175" s="313">
        <f t="shared" si="51"/>
        <v>0</v>
      </c>
      <c r="Q175" s="308"/>
      <c r="R175" s="309"/>
      <c r="S175" s="310">
        <f t="shared" si="52"/>
        <v>0</v>
      </c>
      <c r="T175" s="311"/>
      <c r="U175" s="312"/>
      <c r="V175" s="313">
        <f t="shared" si="53"/>
        <v>0</v>
      </c>
      <c r="W175" s="308"/>
      <c r="X175" s="309"/>
      <c r="Y175" s="310">
        <f t="shared" si="54"/>
        <v>0</v>
      </c>
      <c r="Z175" s="311"/>
      <c r="AA175" s="312"/>
      <c r="AB175" s="313">
        <f t="shared" si="55"/>
        <v>0</v>
      </c>
      <c r="AC175" s="308"/>
      <c r="AD175" s="309"/>
      <c r="AE175" s="310">
        <f t="shared" si="56"/>
        <v>0</v>
      </c>
      <c r="AF175" s="311"/>
      <c r="AG175" s="312"/>
      <c r="AH175" s="313">
        <f t="shared" si="57"/>
        <v>0</v>
      </c>
      <c r="AI175" s="308">
        <v>4</v>
      </c>
      <c r="AJ175" s="309">
        <v>35526</v>
      </c>
      <c r="AK175" s="310">
        <f t="shared" si="58"/>
        <v>142104</v>
      </c>
      <c r="AL175" s="311">
        <v>6</v>
      </c>
      <c r="AM175" s="312">
        <v>36910</v>
      </c>
      <c r="AN175" s="313">
        <f t="shared" si="59"/>
        <v>221460</v>
      </c>
      <c r="AO175" s="308"/>
      <c r="AP175" s="309"/>
      <c r="AQ175" s="310">
        <f t="shared" si="60"/>
        <v>0</v>
      </c>
      <c r="AR175" s="311"/>
      <c r="AS175" s="312"/>
      <c r="AT175" s="313">
        <f t="shared" si="61"/>
        <v>0</v>
      </c>
      <c r="AU175" s="308"/>
      <c r="AV175" s="309"/>
      <c r="AW175" s="310">
        <f t="shared" si="62"/>
        <v>0</v>
      </c>
      <c r="AX175" s="311"/>
      <c r="AY175" s="312"/>
      <c r="AZ175" s="313">
        <f t="shared" si="63"/>
        <v>0</v>
      </c>
      <c r="BA175" s="308"/>
      <c r="BB175" s="309"/>
      <c r="BC175" s="310">
        <f t="shared" si="64"/>
        <v>0</v>
      </c>
      <c r="BD175" s="311"/>
      <c r="BE175" s="312"/>
      <c r="BF175" s="313">
        <f t="shared" si="65"/>
        <v>0</v>
      </c>
      <c r="BG175" s="308"/>
      <c r="BH175" s="309"/>
      <c r="BI175" s="310">
        <f t="shared" si="66"/>
        <v>0</v>
      </c>
      <c r="BJ175" s="311"/>
      <c r="BK175" s="312"/>
      <c r="BL175" s="313">
        <f t="shared" si="67"/>
        <v>0</v>
      </c>
      <c r="BM175" s="308"/>
      <c r="BN175" s="309"/>
      <c r="BO175" s="310">
        <f t="shared" si="68"/>
        <v>0</v>
      </c>
      <c r="BP175" s="311"/>
      <c r="BQ175" s="312"/>
      <c r="BR175" s="313">
        <f t="shared" si="69"/>
        <v>0</v>
      </c>
      <c r="BS175" s="308">
        <v>45</v>
      </c>
      <c r="BT175" s="309">
        <v>46318</v>
      </c>
      <c r="BU175" s="310">
        <f t="shared" si="70"/>
        <v>1705382.442</v>
      </c>
      <c r="BV175" s="311">
        <v>49</v>
      </c>
      <c r="BW175" s="312">
        <v>47747</v>
      </c>
      <c r="BX175" s="313">
        <f t="shared" si="71"/>
        <v>1914263.1746</v>
      </c>
    </row>
    <row r="176" spans="1:76">
      <c r="A176" s="321" t="s">
        <v>448</v>
      </c>
      <c r="B176" s="323" t="s">
        <v>851</v>
      </c>
      <c r="C176" s="324">
        <v>140942</v>
      </c>
      <c r="D176" s="320">
        <v>12</v>
      </c>
      <c r="E176" s="308"/>
      <c r="F176" s="309"/>
      <c r="G176" s="310">
        <f t="shared" si="48"/>
        <v>0</v>
      </c>
      <c r="H176" s="311"/>
      <c r="I176" s="312"/>
      <c r="J176" s="313">
        <f t="shared" si="49"/>
        <v>0</v>
      </c>
      <c r="K176" s="308"/>
      <c r="L176" s="309"/>
      <c r="M176" s="310">
        <f t="shared" si="50"/>
        <v>0</v>
      </c>
      <c r="N176" s="311"/>
      <c r="O176" s="312"/>
      <c r="P176" s="313">
        <f t="shared" si="51"/>
        <v>0</v>
      </c>
      <c r="Q176" s="308"/>
      <c r="R176" s="309"/>
      <c r="S176" s="310">
        <f t="shared" si="52"/>
        <v>0</v>
      </c>
      <c r="T176" s="311"/>
      <c r="U176" s="312"/>
      <c r="V176" s="313">
        <f t="shared" si="53"/>
        <v>0</v>
      </c>
      <c r="W176" s="308"/>
      <c r="X176" s="309"/>
      <c r="Y176" s="310">
        <f t="shared" si="54"/>
        <v>0</v>
      </c>
      <c r="Z176" s="311"/>
      <c r="AA176" s="312"/>
      <c r="AB176" s="313">
        <f t="shared" si="55"/>
        <v>0</v>
      </c>
      <c r="AC176" s="308"/>
      <c r="AD176" s="309"/>
      <c r="AE176" s="310">
        <f t="shared" si="56"/>
        <v>0</v>
      </c>
      <c r="AF176" s="311"/>
      <c r="AG176" s="312"/>
      <c r="AH176" s="313">
        <f t="shared" si="57"/>
        <v>0</v>
      </c>
      <c r="AI176" s="308">
        <v>2</v>
      </c>
      <c r="AJ176" s="309">
        <v>39149</v>
      </c>
      <c r="AK176" s="310">
        <f t="shared" si="58"/>
        <v>78298</v>
      </c>
      <c r="AL176" s="311">
        <v>3</v>
      </c>
      <c r="AM176" s="312">
        <v>34376</v>
      </c>
      <c r="AN176" s="313">
        <f t="shared" si="59"/>
        <v>103128</v>
      </c>
      <c r="AO176" s="308"/>
      <c r="AP176" s="309"/>
      <c r="AQ176" s="310">
        <f t="shared" si="60"/>
        <v>0</v>
      </c>
      <c r="AR176" s="311"/>
      <c r="AS176" s="312"/>
      <c r="AT176" s="313">
        <f t="shared" si="61"/>
        <v>0</v>
      </c>
      <c r="AU176" s="308"/>
      <c r="AV176" s="309"/>
      <c r="AW176" s="310">
        <f t="shared" si="62"/>
        <v>0</v>
      </c>
      <c r="AX176" s="311"/>
      <c r="AY176" s="312"/>
      <c r="AZ176" s="313">
        <f t="shared" si="63"/>
        <v>0</v>
      </c>
      <c r="BA176" s="308"/>
      <c r="BB176" s="309"/>
      <c r="BC176" s="310">
        <f t="shared" si="64"/>
        <v>0</v>
      </c>
      <c r="BD176" s="311"/>
      <c r="BE176" s="312"/>
      <c r="BF176" s="313">
        <f t="shared" si="65"/>
        <v>0</v>
      </c>
      <c r="BG176" s="308"/>
      <c r="BH176" s="309"/>
      <c r="BI176" s="310">
        <f t="shared" si="66"/>
        <v>0</v>
      </c>
      <c r="BJ176" s="311"/>
      <c r="BK176" s="312"/>
      <c r="BL176" s="313">
        <f t="shared" si="67"/>
        <v>0</v>
      </c>
      <c r="BM176" s="308"/>
      <c r="BN176" s="309"/>
      <c r="BO176" s="310">
        <f t="shared" si="68"/>
        <v>0</v>
      </c>
      <c r="BP176" s="311"/>
      <c r="BQ176" s="312"/>
      <c r="BR176" s="313">
        <f t="shared" si="69"/>
        <v>0</v>
      </c>
      <c r="BS176" s="308">
        <v>83</v>
      </c>
      <c r="BT176" s="309">
        <v>53937</v>
      </c>
      <c r="BU176" s="310">
        <f t="shared" si="70"/>
        <v>3662894.0322000002</v>
      </c>
      <c r="BV176" s="311">
        <v>79</v>
      </c>
      <c r="BW176" s="312">
        <v>54663</v>
      </c>
      <c r="BX176" s="313">
        <f t="shared" si="71"/>
        <v>3533296.0614</v>
      </c>
    </row>
    <row r="177" spans="1:80">
      <c r="A177" s="321" t="s">
        <v>448</v>
      </c>
      <c r="B177" s="323" t="s">
        <v>852</v>
      </c>
      <c r="C177" s="324">
        <v>141006</v>
      </c>
      <c r="D177" s="320">
        <v>12</v>
      </c>
      <c r="E177" s="308"/>
      <c r="F177" s="309"/>
      <c r="G177" s="310">
        <f t="shared" si="48"/>
        <v>0</v>
      </c>
      <c r="H177" s="311"/>
      <c r="I177" s="312"/>
      <c r="J177" s="313">
        <f t="shared" si="49"/>
        <v>0</v>
      </c>
      <c r="K177" s="308"/>
      <c r="L177" s="309"/>
      <c r="M177" s="310">
        <f t="shared" si="50"/>
        <v>0</v>
      </c>
      <c r="N177" s="311"/>
      <c r="O177" s="312"/>
      <c r="P177" s="313">
        <f t="shared" si="51"/>
        <v>0</v>
      </c>
      <c r="Q177" s="308"/>
      <c r="R177" s="309"/>
      <c r="S177" s="310">
        <f t="shared" si="52"/>
        <v>0</v>
      </c>
      <c r="T177" s="311"/>
      <c r="U177" s="312"/>
      <c r="V177" s="313">
        <f t="shared" si="53"/>
        <v>0</v>
      </c>
      <c r="W177" s="308"/>
      <c r="X177" s="309"/>
      <c r="Y177" s="310">
        <f t="shared" si="54"/>
        <v>0</v>
      </c>
      <c r="Z177" s="311"/>
      <c r="AA177" s="312"/>
      <c r="AB177" s="313">
        <f t="shared" si="55"/>
        <v>0</v>
      </c>
      <c r="AC177" s="308"/>
      <c r="AD177" s="309"/>
      <c r="AE177" s="310">
        <f t="shared" si="56"/>
        <v>0</v>
      </c>
      <c r="AF177" s="311"/>
      <c r="AG177" s="312"/>
      <c r="AH177" s="313">
        <f t="shared" si="57"/>
        <v>0</v>
      </c>
      <c r="AI177" s="308"/>
      <c r="AJ177" s="309"/>
      <c r="AK177" s="310">
        <f t="shared" si="58"/>
        <v>0</v>
      </c>
      <c r="AL177" s="380"/>
      <c r="AM177" s="312"/>
      <c r="AN177" s="313">
        <f t="shared" si="59"/>
        <v>0</v>
      </c>
      <c r="AO177" s="308"/>
      <c r="AP177" s="309"/>
      <c r="AQ177" s="310">
        <f t="shared" si="60"/>
        <v>0</v>
      </c>
      <c r="AR177" s="311"/>
      <c r="AS177" s="312"/>
      <c r="AT177" s="313">
        <f t="shared" si="61"/>
        <v>0</v>
      </c>
      <c r="AU177" s="308"/>
      <c r="AV177" s="309"/>
      <c r="AW177" s="310">
        <f t="shared" si="62"/>
        <v>0</v>
      </c>
      <c r="AX177" s="311"/>
      <c r="AY177" s="312"/>
      <c r="AZ177" s="313">
        <f t="shared" si="63"/>
        <v>0</v>
      </c>
      <c r="BA177" s="308"/>
      <c r="BB177" s="309"/>
      <c r="BC177" s="310">
        <f t="shared" si="64"/>
        <v>0</v>
      </c>
      <c r="BD177" s="311"/>
      <c r="BE177" s="312"/>
      <c r="BF177" s="313">
        <f t="shared" si="65"/>
        <v>0</v>
      </c>
      <c r="BG177" s="308"/>
      <c r="BH177" s="309"/>
      <c r="BI177" s="310">
        <f t="shared" si="66"/>
        <v>0</v>
      </c>
      <c r="BJ177" s="311"/>
      <c r="BK177" s="312"/>
      <c r="BL177" s="313">
        <f t="shared" si="67"/>
        <v>0</v>
      </c>
      <c r="BM177" s="308"/>
      <c r="BN177" s="309"/>
      <c r="BO177" s="310">
        <f t="shared" si="68"/>
        <v>0</v>
      </c>
      <c r="BP177" s="311"/>
      <c r="BQ177" s="312"/>
      <c r="BR177" s="313">
        <f t="shared" si="69"/>
        <v>0</v>
      </c>
      <c r="BS177" s="308">
        <v>60</v>
      </c>
      <c r="BT177" s="309">
        <v>50991</v>
      </c>
      <c r="BU177" s="310">
        <f t="shared" si="70"/>
        <v>2503250.1720000003</v>
      </c>
      <c r="BV177" s="311">
        <v>63</v>
      </c>
      <c r="BW177" s="312">
        <v>52074</v>
      </c>
      <c r="BX177" s="313">
        <f t="shared" si="71"/>
        <v>2684237.6484000003</v>
      </c>
    </row>
    <row r="178" spans="1:80">
      <c r="A178" s="321" t="s">
        <v>448</v>
      </c>
      <c r="B178" s="323" t="s">
        <v>854</v>
      </c>
      <c r="C178" s="324">
        <v>141158</v>
      </c>
      <c r="D178" s="320">
        <v>12</v>
      </c>
      <c r="E178" s="308"/>
      <c r="F178" s="309"/>
      <c r="G178" s="310">
        <f t="shared" si="48"/>
        <v>0</v>
      </c>
      <c r="H178" s="311"/>
      <c r="I178" s="312"/>
      <c r="J178" s="313">
        <f t="shared" si="49"/>
        <v>0</v>
      </c>
      <c r="K178" s="308"/>
      <c r="L178" s="309"/>
      <c r="M178" s="310">
        <f t="shared" si="50"/>
        <v>0</v>
      </c>
      <c r="N178" s="311"/>
      <c r="O178" s="312"/>
      <c r="P178" s="313">
        <f t="shared" si="51"/>
        <v>0</v>
      </c>
      <c r="Q178" s="308"/>
      <c r="R178" s="309"/>
      <c r="S178" s="310">
        <f t="shared" si="52"/>
        <v>0</v>
      </c>
      <c r="T178" s="311"/>
      <c r="U178" s="312"/>
      <c r="V178" s="313">
        <f t="shared" si="53"/>
        <v>0</v>
      </c>
      <c r="W178" s="308"/>
      <c r="X178" s="309"/>
      <c r="Y178" s="310">
        <f t="shared" si="54"/>
        <v>0</v>
      </c>
      <c r="Z178" s="311"/>
      <c r="AA178" s="312"/>
      <c r="AB178" s="313">
        <f t="shared" si="55"/>
        <v>0</v>
      </c>
      <c r="AC178" s="308"/>
      <c r="AD178" s="309"/>
      <c r="AE178" s="310">
        <f t="shared" si="56"/>
        <v>0</v>
      </c>
      <c r="AF178" s="311"/>
      <c r="AG178" s="312"/>
      <c r="AH178" s="313">
        <f t="shared" si="57"/>
        <v>0</v>
      </c>
      <c r="AI178" s="308"/>
      <c r="AJ178" s="309"/>
      <c r="AK178" s="310">
        <f t="shared" si="58"/>
        <v>0</v>
      </c>
      <c r="AL178" s="380"/>
      <c r="AM178" s="312"/>
      <c r="AN178" s="313">
        <f t="shared" si="59"/>
        <v>0</v>
      </c>
      <c r="AO178" s="308"/>
      <c r="AP178" s="309"/>
      <c r="AQ178" s="310">
        <f t="shared" si="60"/>
        <v>0</v>
      </c>
      <c r="AR178" s="311"/>
      <c r="AS178" s="312"/>
      <c r="AT178" s="313">
        <f t="shared" si="61"/>
        <v>0</v>
      </c>
      <c r="AU178" s="308"/>
      <c r="AV178" s="309"/>
      <c r="AW178" s="310">
        <f t="shared" si="62"/>
        <v>0</v>
      </c>
      <c r="AX178" s="311"/>
      <c r="AY178" s="312"/>
      <c r="AZ178" s="313">
        <f t="shared" si="63"/>
        <v>0</v>
      </c>
      <c r="BA178" s="308"/>
      <c r="BB178" s="309"/>
      <c r="BC178" s="310">
        <f t="shared" si="64"/>
        <v>0</v>
      </c>
      <c r="BD178" s="311"/>
      <c r="BE178" s="312"/>
      <c r="BF178" s="313">
        <f t="shared" si="65"/>
        <v>0</v>
      </c>
      <c r="BG178" s="308"/>
      <c r="BH178" s="309"/>
      <c r="BI178" s="310">
        <f t="shared" si="66"/>
        <v>0</v>
      </c>
      <c r="BJ178" s="311"/>
      <c r="BK178" s="312"/>
      <c r="BL178" s="313">
        <f t="shared" si="67"/>
        <v>0</v>
      </c>
      <c r="BM178" s="308"/>
      <c r="BN178" s="309"/>
      <c r="BO178" s="310">
        <f t="shared" si="68"/>
        <v>0</v>
      </c>
      <c r="BP178" s="311"/>
      <c r="BQ178" s="312"/>
      <c r="BR178" s="313">
        <f t="shared" si="69"/>
        <v>0</v>
      </c>
      <c r="BS178" s="308">
        <v>55</v>
      </c>
      <c r="BT178" s="309">
        <v>55526</v>
      </c>
      <c r="BU178" s="310">
        <f t="shared" si="70"/>
        <v>2498725.5260000001</v>
      </c>
      <c r="BV178" s="311">
        <v>54</v>
      </c>
      <c r="BW178" s="312">
        <v>55539</v>
      </c>
      <c r="BX178" s="313">
        <f t="shared" si="71"/>
        <v>2453868.5292000002</v>
      </c>
    </row>
    <row r="179" spans="1:80">
      <c r="A179" s="321" t="s">
        <v>448</v>
      </c>
      <c r="B179" s="323" t="s">
        <v>855</v>
      </c>
      <c r="C179" s="324">
        <v>141255</v>
      </c>
      <c r="D179" s="320">
        <v>12</v>
      </c>
      <c r="E179" s="308"/>
      <c r="F179" s="309"/>
      <c r="G179" s="310">
        <f t="shared" si="48"/>
        <v>0</v>
      </c>
      <c r="H179" s="311"/>
      <c r="I179" s="312"/>
      <c r="J179" s="313">
        <f t="shared" si="49"/>
        <v>0</v>
      </c>
      <c r="K179" s="308"/>
      <c r="L179" s="309"/>
      <c r="M179" s="310">
        <f t="shared" si="50"/>
        <v>0</v>
      </c>
      <c r="N179" s="311"/>
      <c r="O179" s="312"/>
      <c r="P179" s="313">
        <f t="shared" si="51"/>
        <v>0</v>
      </c>
      <c r="Q179" s="308"/>
      <c r="R179" s="309"/>
      <c r="S179" s="310">
        <f t="shared" si="52"/>
        <v>0</v>
      </c>
      <c r="T179" s="311"/>
      <c r="U179" s="312"/>
      <c r="V179" s="313">
        <f t="shared" si="53"/>
        <v>0</v>
      </c>
      <c r="W179" s="308"/>
      <c r="X179" s="309"/>
      <c r="Y179" s="310">
        <f t="shared" si="54"/>
        <v>0</v>
      </c>
      <c r="Z179" s="311"/>
      <c r="AA179" s="312"/>
      <c r="AB179" s="313">
        <f t="shared" si="55"/>
        <v>0</v>
      </c>
      <c r="AC179" s="308"/>
      <c r="AD179" s="309"/>
      <c r="AE179" s="310">
        <f t="shared" si="56"/>
        <v>0</v>
      </c>
      <c r="AF179" s="311"/>
      <c r="AG179" s="312"/>
      <c r="AH179" s="313">
        <f t="shared" si="57"/>
        <v>0</v>
      </c>
      <c r="AI179" s="308"/>
      <c r="AJ179" s="309"/>
      <c r="AK179" s="310">
        <f t="shared" si="58"/>
        <v>0</v>
      </c>
      <c r="AL179" s="380"/>
      <c r="AM179" s="312"/>
      <c r="AN179" s="313">
        <f t="shared" si="59"/>
        <v>0</v>
      </c>
      <c r="AO179" s="308"/>
      <c r="AP179" s="309"/>
      <c r="AQ179" s="310">
        <f t="shared" si="60"/>
        <v>0</v>
      </c>
      <c r="AR179" s="311"/>
      <c r="AS179" s="312"/>
      <c r="AT179" s="313">
        <f t="shared" si="61"/>
        <v>0</v>
      </c>
      <c r="AU179" s="308"/>
      <c r="AV179" s="309"/>
      <c r="AW179" s="310">
        <f t="shared" si="62"/>
        <v>0</v>
      </c>
      <c r="AX179" s="311"/>
      <c r="AY179" s="312"/>
      <c r="AZ179" s="313">
        <f t="shared" si="63"/>
        <v>0</v>
      </c>
      <c r="BA179" s="308"/>
      <c r="BB179" s="309"/>
      <c r="BC179" s="310">
        <f t="shared" si="64"/>
        <v>0</v>
      </c>
      <c r="BD179" s="311"/>
      <c r="BE179" s="312"/>
      <c r="BF179" s="313">
        <f t="shared" si="65"/>
        <v>0</v>
      </c>
      <c r="BG179" s="308"/>
      <c r="BH179" s="309"/>
      <c r="BI179" s="310">
        <f t="shared" si="66"/>
        <v>0</v>
      </c>
      <c r="BJ179" s="311"/>
      <c r="BK179" s="312"/>
      <c r="BL179" s="313">
        <f t="shared" si="67"/>
        <v>0</v>
      </c>
      <c r="BM179" s="308"/>
      <c r="BN179" s="309"/>
      <c r="BO179" s="310">
        <f t="shared" si="68"/>
        <v>0</v>
      </c>
      <c r="BP179" s="311"/>
      <c r="BQ179" s="312"/>
      <c r="BR179" s="313">
        <f t="shared" si="69"/>
        <v>0</v>
      </c>
      <c r="BS179" s="308">
        <v>65</v>
      </c>
      <c r="BT179" s="309">
        <v>50353</v>
      </c>
      <c r="BU179" s="310">
        <f t="shared" si="70"/>
        <v>2677923.5989999999</v>
      </c>
      <c r="BV179" s="311">
        <v>69</v>
      </c>
      <c r="BW179" s="312">
        <v>50717</v>
      </c>
      <c r="BX179" s="313">
        <f t="shared" si="71"/>
        <v>2863268.8086000001</v>
      </c>
    </row>
    <row r="180" spans="1:80">
      <c r="A180" s="321" t="s">
        <v>448</v>
      </c>
      <c r="B180" s="322" t="s">
        <v>856</v>
      </c>
      <c r="C180" s="321">
        <v>139278</v>
      </c>
      <c r="D180" s="320">
        <v>12</v>
      </c>
      <c r="E180" s="308"/>
      <c r="F180" s="309"/>
      <c r="G180" s="310">
        <f t="shared" si="48"/>
        <v>0</v>
      </c>
      <c r="H180" s="311"/>
      <c r="I180" s="312"/>
      <c r="J180" s="313">
        <f t="shared" si="49"/>
        <v>0</v>
      </c>
      <c r="K180" s="308"/>
      <c r="L180" s="309"/>
      <c r="M180" s="310">
        <f t="shared" si="50"/>
        <v>0</v>
      </c>
      <c r="N180" s="311"/>
      <c r="O180" s="312"/>
      <c r="P180" s="313">
        <f t="shared" si="51"/>
        <v>0</v>
      </c>
      <c r="Q180" s="308"/>
      <c r="R180" s="309"/>
      <c r="S180" s="310">
        <f t="shared" si="52"/>
        <v>0</v>
      </c>
      <c r="T180" s="311"/>
      <c r="U180" s="312"/>
      <c r="V180" s="313">
        <f t="shared" si="53"/>
        <v>0</v>
      </c>
      <c r="W180" s="308"/>
      <c r="X180" s="309"/>
      <c r="Y180" s="310">
        <f t="shared" si="54"/>
        <v>0</v>
      </c>
      <c r="Z180" s="311"/>
      <c r="AA180" s="312"/>
      <c r="AB180" s="313">
        <f t="shared" si="55"/>
        <v>0</v>
      </c>
      <c r="AC180" s="308"/>
      <c r="AD180" s="309"/>
      <c r="AE180" s="310">
        <f t="shared" si="56"/>
        <v>0</v>
      </c>
      <c r="AF180" s="311"/>
      <c r="AG180" s="312"/>
      <c r="AH180" s="313">
        <f t="shared" si="57"/>
        <v>0</v>
      </c>
      <c r="AI180" s="308">
        <v>2</v>
      </c>
      <c r="AJ180" s="309">
        <v>36825</v>
      </c>
      <c r="AK180" s="310">
        <f t="shared" si="58"/>
        <v>73650</v>
      </c>
      <c r="AL180" s="380"/>
      <c r="AM180" s="312"/>
      <c r="AN180" s="313">
        <f t="shared" si="59"/>
        <v>0</v>
      </c>
      <c r="AO180" s="308"/>
      <c r="AP180" s="309"/>
      <c r="AQ180" s="310">
        <f t="shared" si="60"/>
        <v>0</v>
      </c>
      <c r="AR180" s="311"/>
      <c r="AS180" s="312"/>
      <c r="AT180" s="313">
        <f t="shared" si="61"/>
        <v>0</v>
      </c>
      <c r="AU180" s="308"/>
      <c r="AV180" s="309"/>
      <c r="AW180" s="310">
        <f t="shared" si="62"/>
        <v>0</v>
      </c>
      <c r="AX180" s="311"/>
      <c r="AY180" s="312"/>
      <c r="AZ180" s="313">
        <f t="shared" si="63"/>
        <v>0</v>
      </c>
      <c r="BA180" s="308"/>
      <c r="BB180" s="309"/>
      <c r="BC180" s="310">
        <f t="shared" si="64"/>
        <v>0</v>
      </c>
      <c r="BD180" s="311"/>
      <c r="BE180" s="312"/>
      <c r="BF180" s="313">
        <f t="shared" si="65"/>
        <v>0</v>
      </c>
      <c r="BG180" s="308"/>
      <c r="BH180" s="309"/>
      <c r="BI180" s="310">
        <f t="shared" si="66"/>
        <v>0</v>
      </c>
      <c r="BJ180" s="311"/>
      <c r="BK180" s="312"/>
      <c r="BL180" s="313">
        <f t="shared" si="67"/>
        <v>0</v>
      </c>
      <c r="BM180" s="308"/>
      <c r="BN180" s="309"/>
      <c r="BO180" s="310">
        <f t="shared" si="68"/>
        <v>0</v>
      </c>
      <c r="BP180" s="311"/>
      <c r="BQ180" s="312"/>
      <c r="BR180" s="313">
        <f t="shared" si="69"/>
        <v>0</v>
      </c>
      <c r="BS180" s="308">
        <v>77</v>
      </c>
      <c r="BT180" s="309">
        <v>48323</v>
      </c>
      <c r="BU180" s="310">
        <f t="shared" si="70"/>
        <v>3044416.6522000004</v>
      </c>
      <c r="BV180" s="311">
        <v>84</v>
      </c>
      <c r="BW180" s="312">
        <v>48037</v>
      </c>
      <c r="BX180" s="313">
        <f t="shared" si="71"/>
        <v>3301525.3656000001</v>
      </c>
    </row>
    <row r="181" spans="1:80">
      <c r="A181" s="321" t="s">
        <v>448</v>
      </c>
      <c r="B181" s="323" t="s">
        <v>857</v>
      </c>
      <c r="C181" s="324">
        <v>141228</v>
      </c>
      <c r="D181" s="320">
        <v>12</v>
      </c>
      <c r="E181" s="308"/>
      <c r="F181" s="309"/>
      <c r="G181" s="310">
        <f t="shared" si="48"/>
        <v>0</v>
      </c>
      <c r="H181" s="311"/>
      <c r="I181" s="312"/>
      <c r="J181" s="313">
        <f t="shared" si="49"/>
        <v>0</v>
      </c>
      <c r="K181" s="308"/>
      <c r="L181" s="309"/>
      <c r="M181" s="310">
        <f t="shared" si="50"/>
        <v>0</v>
      </c>
      <c r="N181" s="311"/>
      <c r="O181" s="312"/>
      <c r="P181" s="313">
        <f t="shared" si="51"/>
        <v>0</v>
      </c>
      <c r="Q181" s="308"/>
      <c r="R181" s="309"/>
      <c r="S181" s="310">
        <f t="shared" si="52"/>
        <v>0</v>
      </c>
      <c r="T181" s="311"/>
      <c r="U181" s="312"/>
      <c r="V181" s="313">
        <f t="shared" si="53"/>
        <v>0</v>
      </c>
      <c r="W181" s="308"/>
      <c r="X181" s="309"/>
      <c r="Y181" s="310">
        <f t="shared" si="54"/>
        <v>0</v>
      </c>
      <c r="Z181" s="311"/>
      <c r="AA181" s="312"/>
      <c r="AB181" s="313">
        <f t="shared" si="55"/>
        <v>0</v>
      </c>
      <c r="AC181" s="308"/>
      <c r="AD181" s="309"/>
      <c r="AE181" s="310">
        <f t="shared" si="56"/>
        <v>0</v>
      </c>
      <c r="AF181" s="311"/>
      <c r="AG181" s="312"/>
      <c r="AH181" s="313">
        <f t="shared" si="57"/>
        <v>0</v>
      </c>
      <c r="AI181" s="308"/>
      <c r="AJ181" s="309"/>
      <c r="AK181" s="310">
        <f t="shared" si="58"/>
        <v>0</v>
      </c>
      <c r="AL181" s="380"/>
      <c r="AM181" s="312"/>
      <c r="AN181" s="313">
        <f t="shared" si="59"/>
        <v>0</v>
      </c>
      <c r="AO181" s="308"/>
      <c r="AP181" s="309"/>
      <c r="AQ181" s="310">
        <f t="shared" si="60"/>
        <v>0</v>
      </c>
      <c r="AR181" s="311"/>
      <c r="AS181" s="312"/>
      <c r="AT181" s="313">
        <f t="shared" si="61"/>
        <v>0</v>
      </c>
      <c r="AU181" s="308"/>
      <c r="AV181" s="309"/>
      <c r="AW181" s="310">
        <f t="shared" si="62"/>
        <v>0</v>
      </c>
      <c r="AX181" s="311"/>
      <c r="AY181" s="312"/>
      <c r="AZ181" s="313">
        <f t="shared" si="63"/>
        <v>0</v>
      </c>
      <c r="BA181" s="308"/>
      <c r="BB181" s="309"/>
      <c r="BC181" s="310">
        <f t="shared" si="64"/>
        <v>0</v>
      </c>
      <c r="BD181" s="311"/>
      <c r="BE181" s="312"/>
      <c r="BF181" s="313">
        <f t="shared" si="65"/>
        <v>0</v>
      </c>
      <c r="BG181" s="308"/>
      <c r="BH181" s="309"/>
      <c r="BI181" s="310">
        <f t="shared" si="66"/>
        <v>0</v>
      </c>
      <c r="BJ181" s="311"/>
      <c r="BK181" s="312"/>
      <c r="BL181" s="313">
        <f t="shared" si="67"/>
        <v>0</v>
      </c>
      <c r="BM181" s="308"/>
      <c r="BN181" s="309"/>
      <c r="BO181" s="310">
        <f t="shared" si="68"/>
        <v>0</v>
      </c>
      <c r="BP181" s="311"/>
      <c r="BQ181" s="312"/>
      <c r="BR181" s="313">
        <f t="shared" si="69"/>
        <v>0</v>
      </c>
      <c r="BS181" s="308">
        <v>49</v>
      </c>
      <c r="BT181" s="309">
        <v>48742</v>
      </c>
      <c r="BU181" s="310">
        <f t="shared" si="70"/>
        <v>1954154.5156</v>
      </c>
      <c r="BV181" s="311">
        <v>48</v>
      </c>
      <c r="BW181" s="312">
        <v>54235</v>
      </c>
      <c r="BX181" s="313">
        <f t="shared" si="71"/>
        <v>2130003.696</v>
      </c>
    </row>
    <row r="182" spans="1:80">
      <c r="A182" s="321" t="s">
        <v>448</v>
      </c>
      <c r="B182" s="396" t="s">
        <v>830</v>
      </c>
      <c r="C182" s="324">
        <v>366447</v>
      </c>
      <c r="D182" s="320">
        <v>13</v>
      </c>
      <c r="E182" s="308"/>
      <c r="F182" s="309"/>
      <c r="G182" s="310">
        <f t="shared" si="48"/>
        <v>0</v>
      </c>
      <c r="H182" s="311"/>
      <c r="I182" s="312"/>
      <c r="J182" s="313">
        <f t="shared" si="49"/>
        <v>0</v>
      </c>
      <c r="K182" s="308"/>
      <c r="L182" s="309"/>
      <c r="M182" s="310">
        <f t="shared" si="50"/>
        <v>0</v>
      </c>
      <c r="N182" s="311"/>
      <c r="O182" s="312"/>
      <c r="P182" s="313">
        <f t="shared" si="51"/>
        <v>0</v>
      </c>
      <c r="Q182" s="308"/>
      <c r="R182" s="309"/>
      <c r="S182" s="310">
        <f t="shared" si="52"/>
        <v>0</v>
      </c>
      <c r="T182" s="311"/>
      <c r="U182" s="312"/>
      <c r="V182" s="313">
        <f t="shared" si="53"/>
        <v>0</v>
      </c>
      <c r="W182" s="308"/>
      <c r="X182" s="309"/>
      <c r="Y182" s="310">
        <f t="shared" si="54"/>
        <v>0</v>
      </c>
      <c r="Z182" s="311"/>
      <c r="AA182" s="312"/>
      <c r="AB182" s="313">
        <f t="shared" si="55"/>
        <v>0</v>
      </c>
      <c r="AC182" s="308"/>
      <c r="AD182" s="309"/>
      <c r="AE182" s="310">
        <f t="shared" si="56"/>
        <v>0</v>
      </c>
      <c r="AF182" s="311"/>
      <c r="AG182" s="312"/>
      <c r="AH182" s="313">
        <f t="shared" si="57"/>
        <v>0</v>
      </c>
      <c r="AI182" s="308"/>
      <c r="AJ182" s="309"/>
      <c r="AK182" s="310">
        <f t="shared" si="58"/>
        <v>0</v>
      </c>
      <c r="AL182" s="380"/>
      <c r="AM182" s="312"/>
      <c r="AN182" s="313">
        <f t="shared" si="59"/>
        <v>0</v>
      </c>
      <c r="AO182" s="308"/>
      <c r="AP182" s="309"/>
      <c r="AQ182" s="310">
        <f t="shared" si="60"/>
        <v>0</v>
      </c>
      <c r="AR182" s="311"/>
      <c r="AS182" s="312"/>
      <c r="AT182" s="313">
        <f t="shared" si="61"/>
        <v>0</v>
      </c>
      <c r="AU182" s="308"/>
      <c r="AV182" s="309"/>
      <c r="AW182" s="310">
        <f t="shared" si="62"/>
        <v>0</v>
      </c>
      <c r="AX182" s="311"/>
      <c r="AY182" s="312"/>
      <c r="AZ182" s="313">
        <f t="shared" si="63"/>
        <v>0</v>
      </c>
      <c r="BA182" s="308"/>
      <c r="BB182" s="309"/>
      <c r="BC182" s="310">
        <f t="shared" si="64"/>
        <v>0</v>
      </c>
      <c r="BD182" s="311"/>
      <c r="BE182" s="312"/>
      <c r="BF182" s="313">
        <f t="shared" si="65"/>
        <v>0</v>
      </c>
      <c r="BG182" s="308"/>
      <c r="BH182" s="309"/>
      <c r="BI182" s="310">
        <f t="shared" si="66"/>
        <v>0</v>
      </c>
      <c r="BJ182" s="311"/>
      <c r="BK182" s="312"/>
      <c r="BL182" s="313">
        <f t="shared" si="67"/>
        <v>0</v>
      </c>
      <c r="BM182" s="308"/>
      <c r="BN182" s="309"/>
      <c r="BO182" s="310">
        <f t="shared" si="68"/>
        <v>0</v>
      </c>
      <c r="BP182" s="311"/>
      <c r="BQ182" s="312"/>
      <c r="BR182" s="313">
        <f t="shared" si="69"/>
        <v>0</v>
      </c>
      <c r="BS182" s="308">
        <v>42</v>
      </c>
      <c r="BT182" s="309">
        <v>46593</v>
      </c>
      <c r="BU182" s="310">
        <f t="shared" si="70"/>
        <v>1601140.4892000002</v>
      </c>
      <c r="BV182" s="311">
        <v>39</v>
      </c>
      <c r="BW182" s="312">
        <v>49016</v>
      </c>
      <c r="BX182" s="313">
        <f t="shared" si="71"/>
        <v>1564090.7568000001</v>
      </c>
    </row>
    <row r="183" spans="1:80">
      <c r="A183" s="321" t="s">
        <v>448</v>
      </c>
      <c r="B183" s="411" t="s">
        <v>858</v>
      </c>
      <c r="C183" s="324">
        <v>140809</v>
      </c>
      <c r="D183" s="320">
        <v>13</v>
      </c>
      <c r="E183" s="308"/>
      <c r="F183" s="309"/>
      <c r="G183" s="310">
        <f t="shared" si="48"/>
        <v>0</v>
      </c>
      <c r="H183" s="311"/>
      <c r="I183" s="312"/>
      <c r="J183" s="313">
        <f t="shared" si="49"/>
        <v>0</v>
      </c>
      <c r="K183" s="308"/>
      <c r="L183" s="309"/>
      <c r="M183" s="310">
        <f t="shared" si="50"/>
        <v>0</v>
      </c>
      <c r="N183" s="311"/>
      <c r="O183" s="312"/>
      <c r="P183" s="313">
        <f t="shared" si="51"/>
        <v>0</v>
      </c>
      <c r="Q183" s="308"/>
      <c r="R183" s="309"/>
      <c r="S183" s="310">
        <f t="shared" si="52"/>
        <v>0</v>
      </c>
      <c r="T183" s="311"/>
      <c r="U183" s="312"/>
      <c r="V183" s="313">
        <f t="shared" si="53"/>
        <v>0</v>
      </c>
      <c r="W183" s="308"/>
      <c r="X183" s="309"/>
      <c r="Y183" s="310">
        <f t="shared" si="54"/>
        <v>0</v>
      </c>
      <c r="Z183" s="311"/>
      <c r="AA183" s="312"/>
      <c r="AB183" s="313">
        <f t="shared" si="55"/>
        <v>0</v>
      </c>
      <c r="AC183" s="308"/>
      <c r="AD183" s="309"/>
      <c r="AE183" s="310">
        <f t="shared" si="56"/>
        <v>0</v>
      </c>
      <c r="AF183" s="311"/>
      <c r="AG183" s="312"/>
      <c r="AH183" s="313">
        <f t="shared" si="57"/>
        <v>0</v>
      </c>
      <c r="AI183" s="308"/>
      <c r="AJ183" s="309"/>
      <c r="AK183" s="310">
        <f t="shared" si="58"/>
        <v>0</v>
      </c>
      <c r="AL183" s="380"/>
      <c r="AM183" s="312"/>
      <c r="AN183" s="313">
        <f t="shared" si="59"/>
        <v>0</v>
      </c>
      <c r="AO183" s="308"/>
      <c r="AP183" s="309"/>
      <c r="AQ183" s="310">
        <f t="shared" si="60"/>
        <v>0</v>
      </c>
      <c r="AR183" s="311"/>
      <c r="AS183" s="312"/>
      <c r="AT183" s="313">
        <f t="shared" si="61"/>
        <v>0</v>
      </c>
      <c r="AU183" s="308"/>
      <c r="AV183" s="309"/>
      <c r="AW183" s="310">
        <f t="shared" si="62"/>
        <v>0</v>
      </c>
      <c r="AX183" s="311"/>
      <c r="AY183" s="312"/>
      <c r="AZ183" s="313">
        <f t="shared" si="63"/>
        <v>0</v>
      </c>
      <c r="BA183" s="308"/>
      <c r="BB183" s="309"/>
      <c r="BC183" s="310">
        <f t="shared" si="64"/>
        <v>0</v>
      </c>
      <c r="BD183" s="311"/>
      <c r="BE183" s="312"/>
      <c r="BF183" s="313">
        <f t="shared" si="65"/>
        <v>0</v>
      </c>
      <c r="BG183" s="308"/>
      <c r="BH183" s="309"/>
      <c r="BI183" s="310">
        <f t="shared" si="66"/>
        <v>0</v>
      </c>
      <c r="BJ183" s="311"/>
      <c r="BK183" s="312"/>
      <c r="BL183" s="313">
        <f t="shared" si="67"/>
        <v>0</v>
      </c>
      <c r="BM183" s="308"/>
      <c r="BN183" s="309"/>
      <c r="BO183" s="310">
        <f t="shared" si="68"/>
        <v>0</v>
      </c>
      <c r="BP183" s="311"/>
      <c r="BQ183" s="312"/>
      <c r="BR183" s="313">
        <f t="shared" si="69"/>
        <v>0</v>
      </c>
      <c r="BS183" s="308">
        <v>30</v>
      </c>
      <c r="BT183" s="309">
        <v>46836</v>
      </c>
      <c r="BU183" s="310">
        <f t="shared" si="70"/>
        <v>1149636.456</v>
      </c>
      <c r="BV183" s="311">
        <v>25</v>
      </c>
      <c r="BW183" s="312">
        <v>50082</v>
      </c>
      <c r="BX183" s="313">
        <f t="shared" si="71"/>
        <v>1024427.31</v>
      </c>
    </row>
    <row r="184" spans="1:80">
      <c r="A184" s="321" t="s">
        <v>448</v>
      </c>
      <c r="B184" s="396" t="s">
        <v>859</v>
      </c>
      <c r="C184" s="324">
        <v>248794</v>
      </c>
      <c r="D184" s="320">
        <v>13</v>
      </c>
      <c r="E184" s="308"/>
      <c r="F184" s="309"/>
      <c r="G184" s="310">
        <f t="shared" si="48"/>
        <v>0</v>
      </c>
      <c r="H184" s="311"/>
      <c r="I184" s="312"/>
      <c r="J184" s="313">
        <f t="shared" si="49"/>
        <v>0</v>
      </c>
      <c r="K184" s="308"/>
      <c r="L184" s="309"/>
      <c r="M184" s="310">
        <f t="shared" si="50"/>
        <v>0</v>
      </c>
      <c r="N184" s="311"/>
      <c r="O184" s="312"/>
      <c r="P184" s="313">
        <f t="shared" si="51"/>
        <v>0</v>
      </c>
      <c r="Q184" s="308"/>
      <c r="R184" s="309"/>
      <c r="S184" s="310">
        <f t="shared" si="52"/>
        <v>0</v>
      </c>
      <c r="T184" s="311"/>
      <c r="U184" s="312"/>
      <c r="V184" s="313">
        <f t="shared" si="53"/>
        <v>0</v>
      </c>
      <c r="W184" s="308"/>
      <c r="X184" s="309"/>
      <c r="Y184" s="310">
        <f t="shared" si="54"/>
        <v>0</v>
      </c>
      <c r="Z184" s="311"/>
      <c r="AA184" s="312"/>
      <c r="AB184" s="313">
        <f t="shared" si="55"/>
        <v>0</v>
      </c>
      <c r="AC184" s="308"/>
      <c r="AD184" s="309"/>
      <c r="AE184" s="310">
        <f t="shared" si="56"/>
        <v>0</v>
      </c>
      <c r="AF184" s="311"/>
      <c r="AG184" s="312"/>
      <c r="AH184" s="313">
        <f t="shared" si="57"/>
        <v>0</v>
      </c>
      <c r="AI184" s="308"/>
      <c r="AJ184" s="309"/>
      <c r="AK184" s="310">
        <f t="shared" si="58"/>
        <v>0</v>
      </c>
      <c r="AL184" s="380"/>
      <c r="AM184" s="312"/>
      <c r="AN184" s="313">
        <f t="shared" si="59"/>
        <v>0</v>
      </c>
      <c r="AO184" s="308"/>
      <c r="AP184" s="309"/>
      <c r="AQ184" s="310">
        <f t="shared" si="60"/>
        <v>0</v>
      </c>
      <c r="AR184" s="311"/>
      <c r="AS184" s="312"/>
      <c r="AT184" s="313">
        <f t="shared" si="61"/>
        <v>0</v>
      </c>
      <c r="AU184" s="308"/>
      <c r="AV184" s="309"/>
      <c r="AW184" s="310">
        <f t="shared" si="62"/>
        <v>0</v>
      </c>
      <c r="AX184" s="311"/>
      <c r="AY184" s="312"/>
      <c r="AZ184" s="313">
        <f t="shared" si="63"/>
        <v>0</v>
      </c>
      <c r="BA184" s="308"/>
      <c r="BB184" s="309"/>
      <c r="BC184" s="310">
        <f t="shared" si="64"/>
        <v>0</v>
      </c>
      <c r="BD184" s="311"/>
      <c r="BE184" s="312"/>
      <c r="BF184" s="313">
        <f t="shared" si="65"/>
        <v>0</v>
      </c>
      <c r="BG184" s="308"/>
      <c r="BH184" s="309"/>
      <c r="BI184" s="310">
        <f t="shared" si="66"/>
        <v>0</v>
      </c>
      <c r="BJ184" s="311"/>
      <c r="BK184" s="312"/>
      <c r="BL184" s="313">
        <f t="shared" si="67"/>
        <v>0</v>
      </c>
      <c r="BM184" s="308"/>
      <c r="BN184" s="309"/>
      <c r="BO184" s="310">
        <f t="shared" si="68"/>
        <v>0</v>
      </c>
      <c r="BP184" s="311"/>
      <c r="BQ184" s="312"/>
      <c r="BR184" s="313">
        <f t="shared" si="69"/>
        <v>0</v>
      </c>
      <c r="BS184" s="308">
        <v>30</v>
      </c>
      <c r="BT184" s="309">
        <v>46404</v>
      </c>
      <c r="BU184" s="310">
        <f t="shared" si="70"/>
        <v>1139032.584</v>
      </c>
      <c r="BV184" s="311">
        <v>31</v>
      </c>
      <c r="BW184" s="312">
        <v>46547</v>
      </c>
      <c r="BX184" s="313">
        <f t="shared" si="71"/>
        <v>1180627.4174000002</v>
      </c>
    </row>
    <row r="185" spans="1:80">
      <c r="A185" s="321" t="s">
        <v>448</v>
      </c>
      <c r="B185" s="411" t="s">
        <v>860</v>
      </c>
      <c r="C185" s="324">
        <v>420431</v>
      </c>
      <c r="D185" s="320">
        <v>13</v>
      </c>
      <c r="E185" s="308"/>
      <c r="F185" s="309"/>
      <c r="G185" s="310">
        <f t="shared" si="48"/>
        <v>0</v>
      </c>
      <c r="H185" s="311"/>
      <c r="I185" s="312"/>
      <c r="J185" s="313">
        <f t="shared" si="49"/>
        <v>0</v>
      </c>
      <c r="K185" s="308"/>
      <c r="L185" s="309"/>
      <c r="M185" s="310">
        <f t="shared" si="50"/>
        <v>0</v>
      </c>
      <c r="N185" s="311"/>
      <c r="O185" s="312"/>
      <c r="P185" s="313">
        <f t="shared" si="51"/>
        <v>0</v>
      </c>
      <c r="Q185" s="308"/>
      <c r="R185" s="309"/>
      <c r="S185" s="310">
        <f t="shared" si="52"/>
        <v>0</v>
      </c>
      <c r="T185" s="311"/>
      <c r="U185" s="312"/>
      <c r="V185" s="313">
        <f t="shared" si="53"/>
        <v>0</v>
      </c>
      <c r="W185" s="308"/>
      <c r="X185" s="309"/>
      <c r="Y185" s="310">
        <f t="shared" si="54"/>
        <v>0</v>
      </c>
      <c r="Z185" s="311"/>
      <c r="AA185" s="312"/>
      <c r="AB185" s="313">
        <f t="shared" si="55"/>
        <v>0</v>
      </c>
      <c r="AC185" s="308"/>
      <c r="AD185" s="309"/>
      <c r="AE185" s="310">
        <f t="shared" si="56"/>
        <v>0</v>
      </c>
      <c r="AF185" s="311"/>
      <c r="AG185" s="312"/>
      <c r="AH185" s="313">
        <f t="shared" si="57"/>
        <v>0</v>
      </c>
      <c r="AI185" s="308">
        <v>1</v>
      </c>
      <c r="AJ185" s="309">
        <v>32800</v>
      </c>
      <c r="AK185" s="310">
        <f t="shared" si="58"/>
        <v>32800</v>
      </c>
      <c r="AL185" s="380">
        <v>1</v>
      </c>
      <c r="AM185" s="312">
        <v>25700</v>
      </c>
      <c r="AN185" s="313">
        <f t="shared" si="59"/>
        <v>25700</v>
      </c>
      <c r="AO185" s="308"/>
      <c r="AP185" s="309"/>
      <c r="AQ185" s="310">
        <f t="shared" si="60"/>
        <v>0</v>
      </c>
      <c r="AR185" s="311"/>
      <c r="AS185" s="312"/>
      <c r="AT185" s="313">
        <f t="shared" si="61"/>
        <v>0</v>
      </c>
      <c r="AU185" s="308"/>
      <c r="AV185" s="309"/>
      <c r="AW185" s="310">
        <f t="shared" si="62"/>
        <v>0</v>
      </c>
      <c r="AX185" s="311"/>
      <c r="AY185" s="312"/>
      <c r="AZ185" s="313">
        <f t="shared" si="63"/>
        <v>0</v>
      </c>
      <c r="BA185" s="308"/>
      <c r="BB185" s="309"/>
      <c r="BC185" s="310">
        <f t="shared" si="64"/>
        <v>0</v>
      </c>
      <c r="BD185" s="311"/>
      <c r="BE185" s="312"/>
      <c r="BF185" s="313">
        <f t="shared" si="65"/>
        <v>0</v>
      </c>
      <c r="BG185" s="308"/>
      <c r="BH185" s="309"/>
      <c r="BI185" s="310">
        <f t="shared" si="66"/>
        <v>0</v>
      </c>
      <c r="BJ185" s="311"/>
      <c r="BK185" s="312"/>
      <c r="BL185" s="313">
        <f t="shared" si="67"/>
        <v>0</v>
      </c>
      <c r="BM185" s="308"/>
      <c r="BN185" s="309"/>
      <c r="BO185" s="310">
        <f t="shared" si="68"/>
        <v>0</v>
      </c>
      <c r="BP185" s="311"/>
      <c r="BQ185" s="312"/>
      <c r="BR185" s="313">
        <f t="shared" si="69"/>
        <v>0</v>
      </c>
      <c r="BS185" s="308">
        <v>29</v>
      </c>
      <c r="BT185" s="309">
        <v>44597</v>
      </c>
      <c r="BU185" s="310">
        <f t="shared" si="70"/>
        <v>1058188.6966000001</v>
      </c>
      <c r="BV185" s="311">
        <v>30</v>
      </c>
      <c r="BW185" s="312">
        <v>44413</v>
      </c>
      <c r="BX185" s="313">
        <f t="shared" si="71"/>
        <v>1090161.4980000001</v>
      </c>
    </row>
    <row r="186" spans="1:80">
      <c r="A186" s="321" t="s">
        <v>448</v>
      </c>
      <c r="B186" s="411" t="s">
        <v>853</v>
      </c>
      <c r="C186" s="324">
        <v>368911</v>
      </c>
      <c r="D186" s="320">
        <v>13</v>
      </c>
      <c r="E186" s="308"/>
      <c r="F186" s="309"/>
      <c r="G186" s="310">
        <f t="shared" si="48"/>
        <v>0</v>
      </c>
      <c r="H186" s="311"/>
      <c r="I186" s="312"/>
      <c r="J186" s="313">
        <f t="shared" si="49"/>
        <v>0</v>
      </c>
      <c r="K186" s="308"/>
      <c r="L186" s="309"/>
      <c r="M186" s="310">
        <f t="shared" si="50"/>
        <v>0</v>
      </c>
      <c r="N186" s="311"/>
      <c r="O186" s="312"/>
      <c r="P186" s="313">
        <f t="shared" si="51"/>
        <v>0</v>
      </c>
      <c r="Q186" s="308"/>
      <c r="R186" s="309"/>
      <c r="S186" s="310">
        <f t="shared" si="52"/>
        <v>0</v>
      </c>
      <c r="T186" s="311"/>
      <c r="U186" s="312"/>
      <c r="V186" s="313">
        <f t="shared" si="53"/>
        <v>0</v>
      </c>
      <c r="W186" s="308"/>
      <c r="X186" s="309"/>
      <c r="Y186" s="310">
        <f t="shared" si="54"/>
        <v>0</v>
      </c>
      <c r="Z186" s="311"/>
      <c r="AA186" s="312"/>
      <c r="AB186" s="313">
        <f t="shared" si="55"/>
        <v>0</v>
      </c>
      <c r="AC186" s="308"/>
      <c r="AD186" s="309"/>
      <c r="AE186" s="310">
        <f t="shared" si="56"/>
        <v>0</v>
      </c>
      <c r="AF186" s="311"/>
      <c r="AG186" s="312"/>
      <c r="AH186" s="313">
        <f t="shared" si="57"/>
        <v>0</v>
      </c>
      <c r="AI186" s="308"/>
      <c r="AJ186" s="309"/>
      <c r="AK186" s="310">
        <f t="shared" si="58"/>
        <v>0</v>
      </c>
      <c r="AL186" s="380"/>
      <c r="AM186" s="312"/>
      <c r="AN186" s="313">
        <f t="shared" si="59"/>
        <v>0</v>
      </c>
      <c r="AO186" s="308"/>
      <c r="AP186" s="309"/>
      <c r="AQ186" s="310">
        <f t="shared" si="60"/>
        <v>0</v>
      </c>
      <c r="AR186" s="311"/>
      <c r="AS186" s="312"/>
      <c r="AT186" s="313">
        <f t="shared" si="61"/>
        <v>0</v>
      </c>
      <c r="AU186" s="308"/>
      <c r="AV186" s="309"/>
      <c r="AW186" s="310">
        <f t="shared" si="62"/>
        <v>0</v>
      </c>
      <c r="AX186" s="311"/>
      <c r="AY186" s="312"/>
      <c r="AZ186" s="313">
        <f t="shared" si="63"/>
        <v>0</v>
      </c>
      <c r="BA186" s="308"/>
      <c r="BB186" s="309"/>
      <c r="BC186" s="310">
        <f t="shared" si="64"/>
        <v>0</v>
      </c>
      <c r="BD186" s="311"/>
      <c r="BE186" s="312"/>
      <c r="BF186" s="313">
        <f t="shared" si="65"/>
        <v>0</v>
      </c>
      <c r="BG186" s="308"/>
      <c r="BH186" s="309"/>
      <c r="BI186" s="310">
        <f t="shared" si="66"/>
        <v>0</v>
      </c>
      <c r="BJ186" s="311"/>
      <c r="BK186" s="312"/>
      <c r="BL186" s="313">
        <f t="shared" si="67"/>
        <v>0</v>
      </c>
      <c r="BM186" s="308"/>
      <c r="BN186" s="309"/>
      <c r="BO186" s="310">
        <f t="shared" si="68"/>
        <v>0</v>
      </c>
      <c r="BP186" s="311"/>
      <c r="BQ186" s="312"/>
      <c r="BR186" s="313">
        <f t="shared" si="69"/>
        <v>0</v>
      </c>
      <c r="BS186" s="308">
        <v>41</v>
      </c>
      <c r="BT186" s="309">
        <v>49360</v>
      </c>
      <c r="BU186" s="310">
        <f t="shared" si="70"/>
        <v>1655840.432</v>
      </c>
      <c r="BV186" s="311">
        <v>40</v>
      </c>
      <c r="BW186" s="312">
        <v>51394</v>
      </c>
      <c r="BX186" s="313">
        <f t="shared" si="71"/>
        <v>1682022.8320000002</v>
      </c>
    </row>
    <row r="187" spans="1:80">
      <c r="A187" s="321" t="s">
        <v>448</v>
      </c>
      <c r="B187" s="323" t="s">
        <v>861</v>
      </c>
      <c r="C187" s="324">
        <v>141121</v>
      </c>
      <c r="D187" s="320">
        <v>13</v>
      </c>
      <c r="E187" s="308"/>
      <c r="F187" s="309"/>
      <c r="G187" s="310">
        <f t="shared" si="48"/>
        <v>0</v>
      </c>
      <c r="H187" s="311"/>
      <c r="I187" s="312"/>
      <c r="J187" s="313">
        <f t="shared" si="49"/>
        <v>0</v>
      </c>
      <c r="K187" s="308"/>
      <c r="L187" s="309"/>
      <c r="M187" s="310">
        <f t="shared" si="50"/>
        <v>0</v>
      </c>
      <c r="N187" s="311"/>
      <c r="O187" s="312"/>
      <c r="P187" s="313">
        <f t="shared" si="51"/>
        <v>0</v>
      </c>
      <c r="Q187" s="308"/>
      <c r="R187" s="309"/>
      <c r="S187" s="310">
        <f t="shared" si="52"/>
        <v>0</v>
      </c>
      <c r="T187" s="311"/>
      <c r="U187" s="312"/>
      <c r="V187" s="313">
        <f t="shared" si="53"/>
        <v>0</v>
      </c>
      <c r="W187" s="308"/>
      <c r="X187" s="309"/>
      <c r="Y187" s="310">
        <f t="shared" si="54"/>
        <v>0</v>
      </c>
      <c r="Z187" s="311"/>
      <c r="AA187" s="312"/>
      <c r="AB187" s="313">
        <f t="shared" si="55"/>
        <v>0</v>
      </c>
      <c r="AC187" s="308"/>
      <c r="AD187" s="309"/>
      <c r="AE187" s="310">
        <f t="shared" si="56"/>
        <v>0</v>
      </c>
      <c r="AF187" s="311"/>
      <c r="AG187" s="312"/>
      <c r="AH187" s="313">
        <f t="shared" si="57"/>
        <v>0</v>
      </c>
      <c r="AI187" s="308"/>
      <c r="AJ187" s="309"/>
      <c r="AK187" s="310">
        <f t="shared" si="58"/>
        <v>0</v>
      </c>
      <c r="AL187" s="380"/>
      <c r="AM187" s="312"/>
      <c r="AN187" s="313">
        <f t="shared" si="59"/>
        <v>0</v>
      </c>
      <c r="AO187" s="308"/>
      <c r="AP187" s="309"/>
      <c r="AQ187" s="310">
        <f t="shared" si="60"/>
        <v>0</v>
      </c>
      <c r="AR187" s="311"/>
      <c r="AS187" s="312"/>
      <c r="AT187" s="313">
        <f t="shared" si="61"/>
        <v>0</v>
      </c>
      <c r="AU187" s="308"/>
      <c r="AV187" s="309"/>
      <c r="AW187" s="310">
        <f t="shared" si="62"/>
        <v>0</v>
      </c>
      <c r="AX187" s="311"/>
      <c r="AY187" s="312"/>
      <c r="AZ187" s="313">
        <f t="shared" si="63"/>
        <v>0</v>
      </c>
      <c r="BA187" s="308"/>
      <c r="BB187" s="309"/>
      <c r="BC187" s="310">
        <f t="shared" si="64"/>
        <v>0</v>
      </c>
      <c r="BD187" s="311"/>
      <c r="BE187" s="312"/>
      <c r="BF187" s="313">
        <f t="shared" si="65"/>
        <v>0</v>
      </c>
      <c r="BG187" s="308"/>
      <c r="BH187" s="309"/>
      <c r="BI187" s="310">
        <f t="shared" si="66"/>
        <v>0</v>
      </c>
      <c r="BJ187" s="311"/>
      <c r="BK187" s="312"/>
      <c r="BL187" s="313">
        <f t="shared" si="67"/>
        <v>0</v>
      </c>
      <c r="BM187" s="308"/>
      <c r="BN187" s="309"/>
      <c r="BO187" s="310">
        <f t="shared" si="68"/>
        <v>0</v>
      </c>
      <c r="BP187" s="311"/>
      <c r="BQ187" s="312"/>
      <c r="BR187" s="313">
        <f t="shared" si="69"/>
        <v>0</v>
      </c>
      <c r="BS187" s="308">
        <v>36</v>
      </c>
      <c r="BT187" s="309">
        <v>47709</v>
      </c>
      <c r="BU187" s="310">
        <f t="shared" si="70"/>
        <v>1405278.1368</v>
      </c>
      <c r="BV187" s="311">
        <v>41</v>
      </c>
      <c r="BW187" s="312">
        <v>48358</v>
      </c>
      <c r="BX187" s="313">
        <f t="shared" si="71"/>
        <v>1622227.1396000001</v>
      </c>
    </row>
    <row r="188" spans="1:80" s="223" customFormat="1">
      <c r="A188" s="314" t="s">
        <v>451</v>
      </c>
      <c r="B188" s="315" t="s">
        <v>899</v>
      </c>
      <c r="C188" s="314">
        <v>157085</v>
      </c>
      <c r="D188" s="364">
        <v>1</v>
      </c>
      <c r="E188" s="308">
        <f>261+46</f>
        <v>307</v>
      </c>
      <c r="F188" s="309">
        <f>+(27057865+4389195)/(261+46)</f>
        <v>102433.42019543974</v>
      </c>
      <c r="G188" s="310">
        <f t="shared" si="48"/>
        <v>31447060</v>
      </c>
      <c r="H188" s="311">
        <f>252+47</f>
        <v>299</v>
      </c>
      <c r="I188" s="312">
        <f>+(26994595+4385734)/(252+47)</f>
        <v>104950.9331103679</v>
      </c>
      <c r="J188" s="313">
        <f t="shared" si="49"/>
        <v>31380329.000000004</v>
      </c>
      <c r="K188" s="308">
        <f>182+113</f>
        <v>295</v>
      </c>
      <c r="L188" s="309">
        <f>+(13426687+7823798)/(182+113)</f>
        <v>72035.542372881362</v>
      </c>
      <c r="M188" s="310">
        <f t="shared" si="50"/>
        <v>21250485</v>
      </c>
      <c r="N188" s="311">
        <f>177+108</f>
        <v>285</v>
      </c>
      <c r="O188" s="312">
        <f>+(13320762+7663459)/(177+108)</f>
        <v>73628.84561403509</v>
      </c>
      <c r="P188" s="313">
        <f t="shared" si="51"/>
        <v>20984221</v>
      </c>
      <c r="Q188" s="308">
        <f>113+89</f>
        <v>202</v>
      </c>
      <c r="R188" s="309">
        <f>+(7606308+5544484)/(113+89)</f>
        <v>65102.930693069306</v>
      </c>
      <c r="S188" s="310">
        <f t="shared" si="52"/>
        <v>13150792</v>
      </c>
      <c r="T188" s="311">
        <f>118+89</f>
        <v>207</v>
      </c>
      <c r="U188" s="312">
        <f>+(8328670+5671212)/(118+89)</f>
        <v>67632.280193236715</v>
      </c>
      <c r="V188" s="313">
        <f t="shared" si="53"/>
        <v>13999882</v>
      </c>
      <c r="W188" s="308">
        <v>3</v>
      </c>
      <c r="X188" s="309">
        <f>+(45000+62400)/3</f>
        <v>35800</v>
      </c>
      <c r="Y188" s="310">
        <f t="shared" si="54"/>
        <v>107400</v>
      </c>
      <c r="Z188" s="311">
        <v>4</v>
      </c>
      <c r="AA188" s="312">
        <f>+(43750+177780)/4</f>
        <v>55382.5</v>
      </c>
      <c r="AB188" s="313">
        <f t="shared" si="55"/>
        <v>221530</v>
      </c>
      <c r="AC188" s="308">
        <f>34+54</f>
        <v>88</v>
      </c>
      <c r="AD188" s="309">
        <f>+(1538935+2398451)/(34+54)</f>
        <v>44743.022727272728</v>
      </c>
      <c r="AE188" s="310">
        <f t="shared" si="56"/>
        <v>3937386</v>
      </c>
      <c r="AF188" s="311">
        <f>42+54</f>
        <v>96</v>
      </c>
      <c r="AG188" s="312">
        <f>+(1878038+2416011)/(42+54)</f>
        <v>44729.677083333336</v>
      </c>
      <c r="AH188" s="313">
        <f t="shared" si="57"/>
        <v>4294049</v>
      </c>
      <c r="AI188" s="308"/>
      <c r="AJ188" s="309"/>
      <c r="AK188" s="310">
        <f t="shared" si="58"/>
        <v>0</v>
      </c>
      <c r="AL188" s="380"/>
      <c r="AM188" s="312"/>
      <c r="AN188" s="313">
        <f t="shared" si="59"/>
        <v>0</v>
      </c>
      <c r="AO188" s="308">
        <f>113+19</f>
        <v>132</v>
      </c>
      <c r="AP188" s="309">
        <f>+(13939241+2267411)/(113+19)</f>
        <v>122777.66666666667</v>
      </c>
      <c r="AQ188" s="310">
        <f t="shared" si="60"/>
        <v>13260282.6664</v>
      </c>
      <c r="AR188" s="311">
        <f>113+22</f>
        <v>135</v>
      </c>
      <c r="AS188" s="312">
        <f>+(14224510+2650460)/(113+22)</f>
        <v>124999.77777777778</v>
      </c>
      <c r="AT188" s="313">
        <f t="shared" si="61"/>
        <v>13807100.454</v>
      </c>
      <c r="AU188" s="308">
        <f>84+47</f>
        <v>131</v>
      </c>
      <c r="AV188" s="309">
        <f>+(7765442+4438435)/(84+47)</f>
        <v>93159.366412213742</v>
      </c>
      <c r="AW188" s="310">
        <f t="shared" si="62"/>
        <v>9985212.1613999996</v>
      </c>
      <c r="AX188" s="311">
        <f>78+47</f>
        <v>125</v>
      </c>
      <c r="AY188" s="312">
        <f>+(7363736+4509265)/(78+47)</f>
        <v>94984.008000000002</v>
      </c>
      <c r="AZ188" s="313">
        <f t="shared" si="63"/>
        <v>9714489.4182000011</v>
      </c>
      <c r="BA188" s="308">
        <f>45+32</f>
        <v>77</v>
      </c>
      <c r="BB188" s="309">
        <f>+(3634721+2597072)/(45+32)</f>
        <v>80932.376623376622</v>
      </c>
      <c r="BC188" s="310">
        <f t="shared" si="64"/>
        <v>5098853.0326000005</v>
      </c>
      <c r="BD188" s="311">
        <f>49+37</f>
        <v>86</v>
      </c>
      <c r="BE188" s="312">
        <f>+(4007793+3015277)/(49+37)</f>
        <v>81663.604651162794</v>
      </c>
      <c r="BF188" s="313">
        <f t="shared" si="65"/>
        <v>5746275.8739999998</v>
      </c>
      <c r="BG188" s="308">
        <v>2</v>
      </c>
      <c r="BH188" s="309">
        <f>+(34320+31200)/2</f>
        <v>32760</v>
      </c>
      <c r="BI188" s="310">
        <f t="shared" si="66"/>
        <v>53608.464</v>
      </c>
      <c r="BJ188" s="311"/>
      <c r="BK188" s="312"/>
      <c r="BL188" s="313">
        <f t="shared" si="67"/>
        <v>0</v>
      </c>
      <c r="BM188" s="308">
        <v>14</v>
      </c>
      <c r="BN188" s="309">
        <f>+(581795+263445)/14</f>
        <v>60374.285714285717</v>
      </c>
      <c r="BO188" s="310">
        <f t="shared" si="68"/>
        <v>691575.36800000002</v>
      </c>
      <c r="BP188" s="311">
        <v>8</v>
      </c>
      <c r="BQ188" s="312">
        <f>+(240390+327541)/8</f>
        <v>70991.375</v>
      </c>
      <c r="BR188" s="313">
        <f t="shared" si="69"/>
        <v>464681.14420000004</v>
      </c>
      <c r="BS188" s="308"/>
      <c r="BT188" s="309"/>
      <c r="BU188" s="310">
        <f t="shared" si="70"/>
        <v>0</v>
      </c>
      <c r="BV188" s="311"/>
      <c r="BW188" s="312"/>
      <c r="BX188" s="313">
        <f t="shared" si="71"/>
        <v>0</v>
      </c>
      <c r="BY188" s="74"/>
      <c r="BZ188" s="74"/>
      <c r="CA188" s="74"/>
      <c r="CB188" s="74"/>
    </row>
    <row r="189" spans="1:80">
      <c r="A189" s="314" t="s">
        <v>451</v>
      </c>
      <c r="B189" s="412" t="s">
        <v>900</v>
      </c>
      <c r="C189" s="413">
        <v>157289</v>
      </c>
      <c r="D189" s="399">
        <v>1</v>
      </c>
      <c r="E189" s="308">
        <f>131+41</f>
        <v>172</v>
      </c>
      <c r="F189" s="309">
        <f>+(13505272+4098082)/(131+41)</f>
        <v>102345.08139534884</v>
      </c>
      <c r="G189" s="310">
        <f t="shared" si="48"/>
        <v>17603354</v>
      </c>
      <c r="H189" s="311">
        <f>130+44</f>
        <v>174</v>
      </c>
      <c r="I189" s="312">
        <f>+(13197703+4299690)/(130+44)</f>
        <v>100559.72988505747</v>
      </c>
      <c r="J189" s="313">
        <f t="shared" si="49"/>
        <v>17497393</v>
      </c>
      <c r="K189" s="308">
        <f>95+72</f>
        <v>167</v>
      </c>
      <c r="L189" s="309">
        <f>+(7382296+5213239)/(95+72)</f>
        <v>75422.365269461079</v>
      </c>
      <c r="M189" s="310">
        <f t="shared" si="50"/>
        <v>12595535</v>
      </c>
      <c r="N189" s="311">
        <f>95+67</f>
        <v>162</v>
      </c>
      <c r="O189" s="312">
        <f>+(7399125+4731334)/(95+67)</f>
        <v>74879.376543209873</v>
      </c>
      <c r="P189" s="313">
        <f t="shared" si="51"/>
        <v>12130459</v>
      </c>
      <c r="Q189" s="308">
        <f>82+78</f>
        <v>160</v>
      </c>
      <c r="R189" s="309">
        <f>+(4686409+4365823)/(82+78)</f>
        <v>56576.45</v>
      </c>
      <c r="S189" s="310">
        <f t="shared" si="52"/>
        <v>9052232</v>
      </c>
      <c r="T189" s="311">
        <f>80+77</f>
        <v>157</v>
      </c>
      <c r="U189" s="312">
        <f>+(4723364+4441973)/(80+77)</f>
        <v>58377.942675159233</v>
      </c>
      <c r="V189" s="313">
        <f t="shared" si="53"/>
        <v>9165337</v>
      </c>
      <c r="W189" s="308">
        <f>18+52</f>
        <v>70</v>
      </c>
      <c r="X189" s="309">
        <f>+(851479+2465287)/(18+52)</f>
        <v>47382.37142857143</v>
      </c>
      <c r="Y189" s="310">
        <f t="shared" si="54"/>
        <v>3316766</v>
      </c>
      <c r="Z189" s="311">
        <f>16+39</f>
        <v>55</v>
      </c>
      <c r="AA189" s="312">
        <f>+(948891+1713751)/(16+39)</f>
        <v>48411.672727272729</v>
      </c>
      <c r="AB189" s="313">
        <f t="shared" si="55"/>
        <v>2662642</v>
      </c>
      <c r="AC189" s="308">
        <v>1</v>
      </c>
      <c r="AD189" s="309">
        <v>146760</v>
      </c>
      <c r="AE189" s="310">
        <f t="shared" si="56"/>
        <v>146760</v>
      </c>
      <c r="AF189" s="311">
        <v>3</v>
      </c>
      <c r="AG189" s="312">
        <f>+(100000+146760+49000)/3</f>
        <v>98586.666666666672</v>
      </c>
      <c r="AH189" s="313">
        <f t="shared" si="57"/>
        <v>295760</v>
      </c>
      <c r="AI189" s="308"/>
      <c r="AJ189" s="309"/>
      <c r="AK189" s="310">
        <f t="shared" si="58"/>
        <v>0</v>
      </c>
      <c r="AL189" s="380"/>
      <c r="AM189" s="312"/>
      <c r="AN189" s="313">
        <f t="shared" si="59"/>
        <v>0</v>
      </c>
      <c r="AO189" s="308">
        <f>101+29</f>
        <v>130</v>
      </c>
      <c r="AP189" s="309">
        <f>+(13052790+3385003)/(101+29)</f>
        <v>126444.56153846154</v>
      </c>
      <c r="AQ189" s="310">
        <f t="shared" si="60"/>
        <v>13449402.2326</v>
      </c>
      <c r="AR189" s="311">
        <f>102+27</f>
        <v>129</v>
      </c>
      <c r="AS189" s="312">
        <f>+(12985440+3143402)/(102+27)</f>
        <v>125029.78294573643</v>
      </c>
      <c r="AT189" s="313">
        <f t="shared" si="61"/>
        <v>13196618.524400001</v>
      </c>
      <c r="AU189" s="308">
        <f>37+20</f>
        <v>57</v>
      </c>
      <c r="AV189" s="309">
        <f>+(3885825+1905531)/(37+20)</f>
        <v>101602.73684210527</v>
      </c>
      <c r="AW189" s="310">
        <f t="shared" si="62"/>
        <v>4738487.4791999999</v>
      </c>
      <c r="AX189" s="311">
        <f>40+25</f>
        <v>65</v>
      </c>
      <c r="AY189" s="312">
        <f>+(4121322+2409016)/(40+25)</f>
        <v>100466.73846153847</v>
      </c>
      <c r="AZ189" s="313">
        <f t="shared" si="63"/>
        <v>5343122.5515999999</v>
      </c>
      <c r="BA189" s="308">
        <f>42+33</f>
        <v>75</v>
      </c>
      <c r="BB189" s="309">
        <f>+(3197244+2241402)/(42+33)</f>
        <v>72515.28</v>
      </c>
      <c r="BC189" s="310">
        <f t="shared" si="64"/>
        <v>4449900.1572000002</v>
      </c>
      <c r="BD189" s="311">
        <f>45+38</f>
        <v>83</v>
      </c>
      <c r="BE189" s="312">
        <f>+(3423970+2632228)/(45+38)</f>
        <v>72966.240963855424</v>
      </c>
      <c r="BF189" s="313">
        <f t="shared" si="65"/>
        <v>4955181.2036000006</v>
      </c>
      <c r="BG189" s="308">
        <v>28</v>
      </c>
      <c r="BH189" s="309">
        <f>+(504602+1033611)/28</f>
        <v>54936.178571428572</v>
      </c>
      <c r="BI189" s="310">
        <f t="shared" si="66"/>
        <v>1258565.8766000001</v>
      </c>
      <c r="BJ189" s="311">
        <f>11+23</f>
        <v>34</v>
      </c>
      <c r="BK189" s="312">
        <f>+(549098+1361305)/(11+23)</f>
        <v>56188.323529411762</v>
      </c>
      <c r="BL189" s="313">
        <f t="shared" si="67"/>
        <v>1563091.7346000001</v>
      </c>
      <c r="BM189" s="308">
        <v>1</v>
      </c>
      <c r="BN189" s="309">
        <v>90177</v>
      </c>
      <c r="BO189" s="310">
        <f t="shared" si="68"/>
        <v>73782.821400000001</v>
      </c>
      <c r="BP189" s="311"/>
      <c r="BQ189" s="312"/>
      <c r="BR189" s="313">
        <f t="shared" si="69"/>
        <v>0</v>
      </c>
      <c r="BS189" s="308"/>
      <c r="BT189" s="309"/>
      <c r="BU189" s="310">
        <f t="shared" si="70"/>
        <v>0</v>
      </c>
      <c r="BV189" s="311"/>
      <c r="BW189" s="312"/>
      <c r="BX189" s="313">
        <f t="shared" si="71"/>
        <v>0</v>
      </c>
    </row>
    <row r="190" spans="1:80">
      <c r="A190" s="314" t="s">
        <v>451</v>
      </c>
      <c r="B190" s="315" t="s">
        <v>901</v>
      </c>
      <c r="C190" s="314">
        <v>156620</v>
      </c>
      <c r="D190" s="314">
        <v>3</v>
      </c>
      <c r="E190" s="308">
        <f>75+41</f>
        <v>116</v>
      </c>
      <c r="F190" s="309">
        <f>+(6371404+3144490)/(75+41)</f>
        <v>82033.568965517246</v>
      </c>
      <c r="G190" s="310">
        <f t="shared" si="48"/>
        <v>9515894</v>
      </c>
      <c r="H190" s="311">
        <f>64+37</f>
        <v>101</v>
      </c>
      <c r="I190" s="312">
        <f>+(5525316+2905981)/(64+37)</f>
        <v>83478.188118811886</v>
      </c>
      <c r="J190" s="313">
        <f t="shared" si="49"/>
        <v>8431297</v>
      </c>
      <c r="K190" s="308">
        <f>63+76</f>
        <v>139</v>
      </c>
      <c r="L190" s="309">
        <f>+(4175231+4689109)/(63+76)</f>
        <v>63772.230215827338</v>
      </c>
      <c r="M190" s="310">
        <f t="shared" si="50"/>
        <v>8864340</v>
      </c>
      <c r="N190" s="311">
        <f>57+71</f>
        <v>128</v>
      </c>
      <c r="O190" s="312">
        <f>+(3945167+4493268)/(57+71)</f>
        <v>65925.2734375</v>
      </c>
      <c r="P190" s="313">
        <f t="shared" si="51"/>
        <v>8438435</v>
      </c>
      <c r="Q190" s="308">
        <f>82+101</f>
        <v>183</v>
      </c>
      <c r="R190" s="309">
        <f>+(4508900+5344146)/(82+101)</f>
        <v>53841.78142076503</v>
      </c>
      <c r="S190" s="310">
        <f t="shared" si="52"/>
        <v>9853046</v>
      </c>
      <c r="T190" s="311">
        <f>72+90</f>
        <v>162</v>
      </c>
      <c r="U190" s="312">
        <f>+(4115153+4968679)/(72+90)</f>
        <v>56073.037037037036</v>
      </c>
      <c r="V190" s="313">
        <f t="shared" si="53"/>
        <v>9083832</v>
      </c>
      <c r="W190" s="308">
        <f>18+36</f>
        <v>54</v>
      </c>
      <c r="X190" s="309">
        <f>+(906748+1790893)/(18+36)</f>
        <v>49956.314814814818</v>
      </c>
      <c r="Y190" s="310">
        <f t="shared" si="54"/>
        <v>2697641</v>
      </c>
      <c r="Z190" s="311">
        <f>18+38</f>
        <v>56</v>
      </c>
      <c r="AA190" s="312">
        <f>+(941341+1901208)/(18+38)</f>
        <v>50759.803571428572</v>
      </c>
      <c r="AB190" s="313">
        <f t="shared" si="55"/>
        <v>2842549</v>
      </c>
      <c r="AC190" s="308">
        <f>11+49+5+52</f>
        <v>117</v>
      </c>
      <c r="AD190" s="309">
        <f>+(507520+2353246+197668+2473539)/(11+49+5+52)</f>
        <v>47281.820512820515</v>
      </c>
      <c r="AE190" s="310">
        <f t="shared" si="56"/>
        <v>5531973</v>
      </c>
      <c r="AF190" s="311">
        <f>10+62+5+76</f>
        <v>153</v>
      </c>
      <c r="AG190" s="312">
        <f>+(461313+3168107+203135+3745051)/(10+62+5+76)</f>
        <v>49526.836601307186</v>
      </c>
      <c r="AH190" s="313">
        <f t="shared" si="57"/>
        <v>7577605.9999999991</v>
      </c>
      <c r="AI190" s="308"/>
      <c r="AJ190" s="309"/>
      <c r="AK190" s="310">
        <f t="shared" si="58"/>
        <v>0</v>
      </c>
      <c r="AL190" s="380"/>
      <c r="AM190" s="312"/>
      <c r="AN190" s="313">
        <f t="shared" si="59"/>
        <v>0</v>
      </c>
      <c r="AO190" s="308">
        <v>12</v>
      </c>
      <c r="AP190" s="309">
        <f>+(784771+391528)/12</f>
        <v>98024.916666666672</v>
      </c>
      <c r="AQ190" s="310">
        <f t="shared" si="60"/>
        <v>962447.84180000005</v>
      </c>
      <c r="AR190" s="311">
        <v>15</v>
      </c>
      <c r="AS190" s="312">
        <f>+(1021172+482244)/15</f>
        <v>100227.73333333334</v>
      </c>
      <c r="AT190" s="313">
        <f t="shared" si="61"/>
        <v>1230094.9712</v>
      </c>
      <c r="AU190" s="308">
        <v>14</v>
      </c>
      <c r="AV190" s="309">
        <f>+(794546+296558)/14</f>
        <v>77936</v>
      </c>
      <c r="AW190" s="310">
        <f t="shared" si="62"/>
        <v>892741.29280000005</v>
      </c>
      <c r="AX190" s="311">
        <v>13</v>
      </c>
      <c r="AY190" s="312">
        <f>+(807435+242487)/13</f>
        <v>80763.230769230766</v>
      </c>
      <c r="AZ190" s="313">
        <f t="shared" si="63"/>
        <v>859046.18040000007</v>
      </c>
      <c r="BA190" s="308">
        <v>3</v>
      </c>
      <c r="BB190" s="309">
        <f>+(129311+49380)/3</f>
        <v>59563.666666666664</v>
      </c>
      <c r="BC190" s="310">
        <f t="shared" si="64"/>
        <v>146204.9762</v>
      </c>
      <c r="BD190" s="311">
        <v>4</v>
      </c>
      <c r="BE190" s="312">
        <f>+(204592+50621)/4</f>
        <v>63803.25</v>
      </c>
      <c r="BF190" s="313">
        <f t="shared" si="65"/>
        <v>208815.27660000001</v>
      </c>
      <c r="BG190" s="308"/>
      <c r="BH190" s="309"/>
      <c r="BI190" s="310">
        <f t="shared" si="66"/>
        <v>0</v>
      </c>
      <c r="BJ190" s="311"/>
      <c r="BK190" s="312"/>
      <c r="BL190" s="313">
        <f t="shared" si="67"/>
        <v>0</v>
      </c>
      <c r="BM190" s="308">
        <v>3</v>
      </c>
      <c r="BN190" s="309">
        <f>+(182747+44505)/3</f>
        <v>75750.666666666672</v>
      </c>
      <c r="BO190" s="310">
        <f t="shared" si="68"/>
        <v>185937.5864</v>
      </c>
      <c r="BP190" s="311">
        <v>3</v>
      </c>
      <c r="BQ190" s="312">
        <f>298971/3</f>
        <v>99657</v>
      </c>
      <c r="BR190" s="313">
        <f t="shared" si="69"/>
        <v>244618.07220000002</v>
      </c>
      <c r="BS190" s="308"/>
      <c r="BT190" s="309"/>
      <c r="BU190" s="310">
        <f t="shared" si="70"/>
        <v>0</v>
      </c>
      <c r="BV190" s="311"/>
      <c r="BW190" s="312"/>
      <c r="BX190" s="313">
        <f t="shared" si="71"/>
        <v>0</v>
      </c>
    </row>
    <row r="191" spans="1:80">
      <c r="A191" s="314" t="s">
        <v>451</v>
      </c>
      <c r="B191" s="315" t="s">
        <v>902</v>
      </c>
      <c r="C191" s="314">
        <v>157401</v>
      </c>
      <c r="D191" s="364">
        <v>3</v>
      </c>
      <c r="E191" s="308">
        <f>58+17</f>
        <v>75</v>
      </c>
      <c r="F191" s="309">
        <f>+(4776781+1254804)/(58+17)</f>
        <v>80421.133333333331</v>
      </c>
      <c r="G191" s="310">
        <f t="shared" si="48"/>
        <v>6031585</v>
      </c>
      <c r="H191" s="311">
        <f>58+21</f>
        <v>79</v>
      </c>
      <c r="I191" s="312">
        <f>+(4786492+1548991)/(58+21)</f>
        <v>80195.987341772154</v>
      </c>
      <c r="J191" s="313">
        <f t="shared" si="49"/>
        <v>6335483</v>
      </c>
      <c r="K191" s="308">
        <f>56+37</f>
        <v>93</v>
      </c>
      <c r="L191" s="309">
        <f>+(3620955+2332043)/(56+37)</f>
        <v>64010.731182795702</v>
      </c>
      <c r="M191" s="310">
        <f t="shared" si="50"/>
        <v>5952998</v>
      </c>
      <c r="N191" s="311">
        <f>51+30</f>
        <v>81</v>
      </c>
      <c r="O191" s="312">
        <f>+(3314798+1776673)/(51+30)</f>
        <v>62857.666666666664</v>
      </c>
      <c r="P191" s="313">
        <f t="shared" si="51"/>
        <v>5091471</v>
      </c>
      <c r="Q191" s="308">
        <f>60+38</f>
        <v>98</v>
      </c>
      <c r="R191" s="309">
        <f>+(3341800+1992506)/(60+38)</f>
        <v>54431.693877551021</v>
      </c>
      <c r="S191" s="310">
        <f t="shared" si="52"/>
        <v>5334306</v>
      </c>
      <c r="T191" s="311">
        <f>67+46</f>
        <v>113</v>
      </c>
      <c r="U191" s="312">
        <f>+(3557942+2401706)/(67+46)</f>
        <v>52740.24778761062</v>
      </c>
      <c r="V191" s="313">
        <f t="shared" si="53"/>
        <v>5959648</v>
      </c>
      <c r="W191" s="308">
        <v>1</v>
      </c>
      <c r="X191" s="309">
        <v>38415</v>
      </c>
      <c r="Y191" s="310">
        <f t="shared" si="54"/>
        <v>38415</v>
      </c>
      <c r="Z191" s="311">
        <v>1</v>
      </c>
      <c r="AA191" s="312">
        <v>39415</v>
      </c>
      <c r="AB191" s="313">
        <f t="shared" si="55"/>
        <v>39415</v>
      </c>
      <c r="AC191" s="308">
        <f>30+41</f>
        <v>71</v>
      </c>
      <c r="AD191" s="309">
        <f>+(1365453+1717246)/(30+41)</f>
        <v>43418.295774647886</v>
      </c>
      <c r="AE191" s="310">
        <f t="shared" si="56"/>
        <v>3082699</v>
      </c>
      <c r="AF191" s="311">
        <f>31+40</f>
        <v>71</v>
      </c>
      <c r="AG191" s="312">
        <f>+(1407579+1764004)/(31+40)</f>
        <v>44670.183098591551</v>
      </c>
      <c r="AH191" s="313">
        <f t="shared" si="57"/>
        <v>3171583</v>
      </c>
      <c r="AI191" s="308"/>
      <c r="AJ191" s="309"/>
      <c r="AK191" s="310">
        <f t="shared" si="58"/>
        <v>0</v>
      </c>
      <c r="AL191" s="380"/>
      <c r="AM191" s="312"/>
      <c r="AN191" s="313">
        <f t="shared" si="59"/>
        <v>0</v>
      </c>
      <c r="AO191" s="308">
        <f>20+3</f>
        <v>23</v>
      </c>
      <c r="AP191" s="309">
        <f>+(1939149+264366)/(20+3)</f>
        <v>95805</v>
      </c>
      <c r="AQ191" s="310">
        <f t="shared" si="60"/>
        <v>1802915.973</v>
      </c>
      <c r="AR191" s="311">
        <f>18+4</f>
        <v>22</v>
      </c>
      <c r="AS191" s="312">
        <f>+(1740711+362846)/(18+4)</f>
        <v>95616.227272727279</v>
      </c>
      <c r="AT191" s="313">
        <f t="shared" si="61"/>
        <v>1721130.3374000001</v>
      </c>
      <c r="AU191" s="308">
        <v>15</v>
      </c>
      <c r="AV191" s="309">
        <f>+(818375+452820)/15</f>
        <v>84746.333333333328</v>
      </c>
      <c r="AW191" s="310">
        <f t="shared" si="62"/>
        <v>1040091.7490000001</v>
      </c>
      <c r="AX191" s="311">
        <v>14</v>
      </c>
      <c r="AY191" s="312">
        <f>+(931820+299743)/14</f>
        <v>87968.78571428571</v>
      </c>
      <c r="AZ191" s="313">
        <f t="shared" si="63"/>
        <v>1007664.8466</v>
      </c>
      <c r="BA191" s="308">
        <v>1</v>
      </c>
      <c r="BB191" s="309">
        <v>94117</v>
      </c>
      <c r="BC191" s="310">
        <f t="shared" si="64"/>
        <v>77006.529399999999</v>
      </c>
      <c r="BD191" s="311"/>
      <c r="BE191" s="312"/>
      <c r="BF191" s="313">
        <f t="shared" si="65"/>
        <v>0</v>
      </c>
      <c r="BG191" s="308"/>
      <c r="BH191" s="309"/>
      <c r="BI191" s="310">
        <f t="shared" si="66"/>
        <v>0</v>
      </c>
      <c r="BJ191" s="311"/>
      <c r="BK191" s="312"/>
      <c r="BL191" s="313">
        <f t="shared" si="67"/>
        <v>0</v>
      </c>
      <c r="BM191" s="308">
        <v>18</v>
      </c>
      <c r="BN191" s="309">
        <f>+(347828+602437)/18</f>
        <v>52792.5</v>
      </c>
      <c r="BO191" s="310">
        <f t="shared" si="68"/>
        <v>777506.82300000009</v>
      </c>
      <c r="BP191" s="311">
        <v>17</v>
      </c>
      <c r="BQ191" s="312">
        <f>+(353878+568704)/17</f>
        <v>54269.529411764706</v>
      </c>
      <c r="BR191" s="313">
        <f t="shared" si="69"/>
        <v>754856.59240000008</v>
      </c>
      <c r="BS191" s="308"/>
      <c r="BT191" s="309"/>
      <c r="BU191" s="310">
        <f t="shared" si="70"/>
        <v>0</v>
      </c>
      <c r="BV191" s="311"/>
      <c r="BW191" s="312"/>
      <c r="BX191" s="313">
        <f t="shared" si="71"/>
        <v>0</v>
      </c>
    </row>
    <row r="192" spans="1:80">
      <c r="A192" s="314" t="s">
        <v>451</v>
      </c>
      <c r="B192" s="315" t="s">
        <v>903</v>
      </c>
      <c r="C192" s="314">
        <v>157951</v>
      </c>
      <c r="D192" s="364">
        <v>3</v>
      </c>
      <c r="E192" s="308">
        <f>89+33</f>
        <v>122</v>
      </c>
      <c r="F192" s="309">
        <f>+(7381980+2544024)/(89+33)</f>
        <v>81360.688524590165</v>
      </c>
      <c r="G192" s="310">
        <f t="shared" si="48"/>
        <v>9926004</v>
      </c>
      <c r="H192" s="311">
        <f>92+37</f>
        <v>129</v>
      </c>
      <c r="I192" s="312">
        <f>+(7796892+2906916)/(92+37)</f>
        <v>82975.255813953481</v>
      </c>
      <c r="J192" s="313">
        <f t="shared" si="49"/>
        <v>10703808</v>
      </c>
      <c r="K192" s="308">
        <f>94+60</f>
        <v>154</v>
      </c>
      <c r="L192" s="309">
        <f>+(6261731+3636552)/(94+60)</f>
        <v>64274.564935064933</v>
      </c>
      <c r="M192" s="310">
        <f t="shared" si="50"/>
        <v>9898283</v>
      </c>
      <c r="N192" s="311">
        <v>160</v>
      </c>
      <c r="O192" s="312">
        <f>+(6561936+3647530)/160</f>
        <v>63809.162499999999</v>
      </c>
      <c r="P192" s="313">
        <f t="shared" si="51"/>
        <v>10209466</v>
      </c>
      <c r="Q192" s="308">
        <f>132+118</f>
        <v>250</v>
      </c>
      <c r="R192" s="309">
        <f>+(7239204+6104304)/(132+118)</f>
        <v>53374.031999999999</v>
      </c>
      <c r="S192" s="310">
        <f t="shared" si="52"/>
        <v>13343508</v>
      </c>
      <c r="T192" s="311">
        <f>117+113</f>
        <v>230</v>
      </c>
      <c r="U192" s="312">
        <f>+(6526584+5950728)/(117+113)</f>
        <v>54249.18260869565</v>
      </c>
      <c r="V192" s="313">
        <f t="shared" si="53"/>
        <v>12477312</v>
      </c>
      <c r="W192" s="308">
        <f>41+91</f>
        <v>132</v>
      </c>
      <c r="X192" s="309">
        <f>+(1634652+3552383)/(41+91)</f>
        <v>39295.719696969696</v>
      </c>
      <c r="Y192" s="310">
        <f t="shared" si="54"/>
        <v>5187035</v>
      </c>
      <c r="Z192" s="311">
        <v>143</v>
      </c>
      <c r="AA192" s="312">
        <f>+(1752346+3981480)/143</f>
        <v>40096.685314685317</v>
      </c>
      <c r="AB192" s="313">
        <f t="shared" si="55"/>
        <v>5733826</v>
      </c>
      <c r="AC192" s="308">
        <v>16</v>
      </c>
      <c r="AD192" s="309">
        <f>+(407592+364968)/16</f>
        <v>48285</v>
      </c>
      <c r="AE192" s="310">
        <f t="shared" si="56"/>
        <v>772560</v>
      </c>
      <c r="AF192" s="311">
        <v>13</v>
      </c>
      <c r="AG192" s="312">
        <f>+(386712+269184)/13</f>
        <v>50453.538461538461</v>
      </c>
      <c r="AH192" s="313">
        <f t="shared" si="57"/>
        <v>655896</v>
      </c>
      <c r="AI192" s="308"/>
      <c r="AJ192" s="309"/>
      <c r="AK192" s="310">
        <f t="shared" si="58"/>
        <v>0</v>
      </c>
      <c r="AL192" s="380"/>
      <c r="AM192" s="312"/>
      <c r="AN192" s="313">
        <f t="shared" si="59"/>
        <v>0</v>
      </c>
      <c r="AO192" s="308">
        <f>14+8</f>
        <v>22</v>
      </c>
      <c r="AP192" s="309">
        <f>+(1477716+803352)/(14+8)</f>
        <v>103684.90909090909</v>
      </c>
      <c r="AQ192" s="310">
        <f t="shared" si="60"/>
        <v>1866369.8376000002</v>
      </c>
      <c r="AR192" s="311">
        <v>21</v>
      </c>
      <c r="AS192" s="312">
        <f>+(1394340+828984)/21</f>
        <v>105872.57142857143</v>
      </c>
      <c r="AT192" s="313">
        <f t="shared" si="61"/>
        <v>1819123.6968</v>
      </c>
      <c r="AU192" s="308">
        <v>17</v>
      </c>
      <c r="AV192" s="309">
        <f>+(884112+673632)/17</f>
        <v>91632</v>
      </c>
      <c r="AW192" s="310">
        <f t="shared" si="62"/>
        <v>1274546.1408000002</v>
      </c>
      <c r="AX192" s="311">
        <v>16</v>
      </c>
      <c r="AY192" s="312">
        <f>+(894312+591828)/16</f>
        <v>92883.75</v>
      </c>
      <c r="AZ192" s="313">
        <f t="shared" si="63"/>
        <v>1215959.7480000001</v>
      </c>
      <c r="BA192" s="308">
        <v>1</v>
      </c>
      <c r="BB192" s="309">
        <v>75600</v>
      </c>
      <c r="BC192" s="310">
        <f t="shared" si="64"/>
        <v>61855.920000000006</v>
      </c>
      <c r="BD192" s="311">
        <v>1</v>
      </c>
      <c r="BE192" s="312">
        <v>74328</v>
      </c>
      <c r="BF192" s="313">
        <f t="shared" si="65"/>
        <v>60815.169600000001</v>
      </c>
      <c r="BG192" s="308">
        <v>5</v>
      </c>
      <c r="BH192" s="309">
        <f>+(108588+182340)/5</f>
        <v>58185.599999999999</v>
      </c>
      <c r="BI192" s="310">
        <f t="shared" si="66"/>
        <v>238037.28960000002</v>
      </c>
      <c r="BJ192" s="311">
        <v>6</v>
      </c>
      <c r="BK192" s="312">
        <f>+(174588+179856)/6</f>
        <v>59074</v>
      </c>
      <c r="BL192" s="313">
        <f t="shared" si="67"/>
        <v>290006.0808</v>
      </c>
      <c r="BM192" s="308"/>
      <c r="BN192" s="309"/>
      <c r="BO192" s="310">
        <f t="shared" si="68"/>
        <v>0</v>
      </c>
      <c r="BP192" s="311"/>
      <c r="BQ192" s="312"/>
      <c r="BR192" s="313">
        <f t="shared" si="69"/>
        <v>0</v>
      </c>
      <c r="BS192" s="308"/>
      <c r="BT192" s="309"/>
      <c r="BU192" s="310">
        <f t="shared" si="70"/>
        <v>0</v>
      </c>
      <c r="BV192" s="311"/>
      <c r="BW192" s="312"/>
      <c r="BX192" s="313">
        <f t="shared" si="71"/>
        <v>0</v>
      </c>
    </row>
    <row r="193" spans="1:80">
      <c r="A193" s="314" t="s">
        <v>451</v>
      </c>
      <c r="B193" s="336" t="s">
        <v>904</v>
      </c>
      <c r="C193" s="314">
        <v>157386</v>
      </c>
      <c r="D193" s="364">
        <v>4</v>
      </c>
      <c r="E193" s="308">
        <f>38+10</f>
        <v>48</v>
      </c>
      <c r="F193" s="309">
        <f>+(2768463+757917)/(38+10)</f>
        <v>73466.25</v>
      </c>
      <c r="G193" s="310">
        <f t="shared" si="48"/>
        <v>3526380</v>
      </c>
      <c r="H193" s="311">
        <v>49</v>
      </c>
      <c r="I193" s="312">
        <f>+(2950096+642063)/49</f>
        <v>73309.367346938772</v>
      </c>
      <c r="J193" s="313">
        <f t="shared" si="49"/>
        <v>3592159</v>
      </c>
      <c r="K193" s="308">
        <f>70+54</f>
        <v>124</v>
      </c>
      <c r="L193" s="309">
        <f>+(4249592+3147147)/(70+54)</f>
        <v>59651.120967741932</v>
      </c>
      <c r="M193" s="310">
        <f t="shared" si="50"/>
        <v>7396739</v>
      </c>
      <c r="N193" s="311">
        <f>71+53</f>
        <v>124</v>
      </c>
      <c r="O193" s="312">
        <f>+(4389835+3216675)/(71+53)</f>
        <v>61342.822580645159</v>
      </c>
      <c r="P193" s="313">
        <f t="shared" si="51"/>
        <v>7606510</v>
      </c>
      <c r="Q193" s="308">
        <f>53+65</f>
        <v>118</v>
      </c>
      <c r="R193" s="309">
        <f>+(2779964+3191757)/(53+65)</f>
        <v>50607.805084745763</v>
      </c>
      <c r="S193" s="310">
        <f t="shared" si="52"/>
        <v>5971721</v>
      </c>
      <c r="T193" s="311">
        <f>37+66</f>
        <v>103</v>
      </c>
      <c r="U193" s="312">
        <f>+(2022403+3257875)/(37+66)</f>
        <v>51264.834951456309</v>
      </c>
      <c r="V193" s="313">
        <f t="shared" si="53"/>
        <v>5280278</v>
      </c>
      <c r="W193" s="308">
        <f>30+35</f>
        <v>65</v>
      </c>
      <c r="X193" s="309">
        <f>+(1085644+1250088)/(30+35)</f>
        <v>35934.338461538464</v>
      </c>
      <c r="Y193" s="310">
        <f t="shared" si="54"/>
        <v>2335732</v>
      </c>
      <c r="Z193" s="311">
        <f>31+35</f>
        <v>66</v>
      </c>
      <c r="AA193" s="312">
        <f>+(1157057+1303704)/(31+35)</f>
        <v>37284.257575757576</v>
      </c>
      <c r="AB193" s="313">
        <f t="shared" si="55"/>
        <v>2460761</v>
      </c>
      <c r="AC193" s="308"/>
      <c r="AD193" s="309"/>
      <c r="AE193" s="310">
        <f t="shared" si="56"/>
        <v>0</v>
      </c>
      <c r="AF193" s="311"/>
      <c r="AG193" s="312"/>
      <c r="AH193" s="313">
        <f t="shared" si="57"/>
        <v>0</v>
      </c>
      <c r="AI193" s="308"/>
      <c r="AJ193" s="309"/>
      <c r="AK193" s="310">
        <f t="shared" si="58"/>
        <v>0</v>
      </c>
      <c r="AL193" s="380"/>
      <c r="AM193" s="312"/>
      <c r="AN193" s="313">
        <f t="shared" si="59"/>
        <v>0</v>
      </c>
      <c r="AO193" s="308">
        <v>13</v>
      </c>
      <c r="AP193" s="309">
        <f>+(933484+437951)/13</f>
        <v>105495</v>
      </c>
      <c r="AQ193" s="310">
        <f t="shared" si="60"/>
        <v>1122108.1170000001</v>
      </c>
      <c r="AR193" s="311">
        <v>13</v>
      </c>
      <c r="AS193" s="312">
        <f>+(1048295+338024)/13</f>
        <v>106639.92307692308</v>
      </c>
      <c r="AT193" s="313">
        <f t="shared" si="61"/>
        <v>1134286.2058000001</v>
      </c>
      <c r="AU193" s="308">
        <v>6</v>
      </c>
      <c r="AV193" s="309">
        <f>+(300543+287042)/6</f>
        <v>97930.833333333328</v>
      </c>
      <c r="AW193" s="310">
        <f t="shared" si="62"/>
        <v>480762.04700000002</v>
      </c>
      <c r="AX193" s="311">
        <v>8</v>
      </c>
      <c r="AY193" s="312">
        <f>+(438073+290042)/8</f>
        <v>91014.375</v>
      </c>
      <c r="AZ193" s="313">
        <f t="shared" si="63"/>
        <v>595743.69299999997</v>
      </c>
      <c r="BA193" s="308">
        <v>2</v>
      </c>
      <c r="BB193" s="309">
        <f>140217/2</f>
        <v>70108.5</v>
      </c>
      <c r="BC193" s="310">
        <f t="shared" si="64"/>
        <v>114725.5494</v>
      </c>
      <c r="BD193" s="311">
        <v>2</v>
      </c>
      <c r="BE193" s="312">
        <f>+(65078+76000)/2</f>
        <v>70539</v>
      </c>
      <c r="BF193" s="313">
        <f t="shared" si="65"/>
        <v>115430.0196</v>
      </c>
      <c r="BG193" s="308">
        <v>3</v>
      </c>
      <c r="BH193" s="309">
        <f>135963/3</f>
        <v>45321</v>
      </c>
      <c r="BI193" s="310">
        <f t="shared" si="66"/>
        <v>111244.92660000001</v>
      </c>
      <c r="BJ193" s="311">
        <v>4</v>
      </c>
      <c r="BK193" s="312">
        <f>216712/4</f>
        <v>54178</v>
      </c>
      <c r="BL193" s="313">
        <f t="shared" si="67"/>
        <v>177313.75840000002</v>
      </c>
      <c r="BM193" s="308"/>
      <c r="BN193" s="309"/>
      <c r="BO193" s="310">
        <f t="shared" si="68"/>
        <v>0</v>
      </c>
      <c r="BP193" s="311"/>
      <c r="BQ193" s="312"/>
      <c r="BR193" s="313">
        <f t="shared" si="69"/>
        <v>0</v>
      </c>
      <c r="BS193" s="308"/>
      <c r="BT193" s="309"/>
      <c r="BU193" s="310">
        <f t="shared" si="70"/>
        <v>0</v>
      </c>
      <c r="BV193" s="311"/>
      <c r="BW193" s="312"/>
      <c r="BX193" s="313">
        <f t="shared" si="71"/>
        <v>0</v>
      </c>
    </row>
    <row r="194" spans="1:80">
      <c r="A194" s="314" t="s">
        <v>451</v>
      </c>
      <c r="B194" s="315" t="s">
        <v>905</v>
      </c>
      <c r="C194" s="314">
        <v>157447</v>
      </c>
      <c r="D194" s="364">
        <v>4</v>
      </c>
      <c r="E194" s="378">
        <f>61+29</f>
        <v>90</v>
      </c>
      <c r="F194" s="365">
        <f>+(5597766+2362914)/(61+29)</f>
        <v>88452</v>
      </c>
      <c r="G194" s="310">
        <f t="shared" si="48"/>
        <v>7960680</v>
      </c>
      <c r="H194" s="344">
        <f>54+28</f>
        <v>82</v>
      </c>
      <c r="I194" s="345">
        <f>+(5044905+2382668)/(54+28)</f>
        <v>90580.158536585368</v>
      </c>
      <c r="J194" s="313">
        <f t="shared" si="49"/>
        <v>7427573</v>
      </c>
      <c r="K194" s="378">
        <f>69+46</f>
        <v>115</v>
      </c>
      <c r="L194" s="365">
        <f>+(4814811+3018846)/(69+46)</f>
        <v>68118.756521739124</v>
      </c>
      <c r="M194" s="310">
        <f t="shared" si="50"/>
        <v>7833656.9999999991</v>
      </c>
      <c r="N194" s="344">
        <f>68+49</f>
        <v>117</v>
      </c>
      <c r="O194" s="345">
        <f>+(4890017+3354328)/(68+49)</f>
        <v>70464.487179487172</v>
      </c>
      <c r="P194" s="313">
        <f t="shared" si="51"/>
        <v>8244344.9999999991</v>
      </c>
      <c r="Q194" s="378">
        <f>65+71</f>
        <v>136</v>
      </c>
      <c r="R194" s="365">
        <f>+(3837307+4200716)/(65+71)</f>
        <v>59103.11029411765</v>
      </c>
      <c r="S194" s="310">
        <f t="shared" si="52"/>
        <v>8038023</v>
      </c>
      <c r="T194" s="344">
        <f>69+75</f>
        <v>144</v>
      </c>
      <c r="U194" s="345">
        <f>+(4341284+4568519)/(69+75)</f>
        <v>61873.631944444445</v>
      </c>
      <c r="V194" s="313">
        <f t="shared" si="53"/>
        <v>8909803</v>
      </c>
      <c r="W194" s="378">
        <v>1</v>
      </c>
      <c r="X194" s="365">
        <v>49034</v>
      </c>
      <c r="Y194" s="310">
        <f t="shared" si="54"/>
        <v>49034</v>
      </c>
      <c r="Z194" s="344">
        <v>1</v>
      </c>
      <c r="AA194" s="345">
        <v>50351</v>
      </c>
      <c r="AB194" s="313">
        <f t="shared" si="55"/>
        <v>50351</v>
      </c>
      <c r="AC194" s="378">
        <f>62+76</f>
        <v>138</v>
      </c>
      <c r="AD194" s="365">
        <f>+(2669730+3071611)/(62+76)</f>
        <v>41603.920289855072</v>
      </c>
      <c r="AE194" s="310">
        <f t="shared" si="56"/>
        <v>5741341</v>
      </c>
      <c r="AF194" s="344">
        <f>61+89+2</f>
        <v>152</v>
      </c>
      <c r="AG194" s="345">
        <f>+(2657633+3766630+113900)/(61+89+2)</f>
        <v>43014.230263157893</v>
      </c>
      <c r="AH194" s="313">
        <f t="shared" si="57"/>
        <v>6538163</v>
      </c>
      <c r="AI194" s="308"/>
      <c r="AJ194" s="309"/>
      <c r="AK194" s="310">
        <f t="shared" si="58"/>
        <v>0</v>
      </c>
      <c r="AL194" s="380"/>
      <c r="AM194" s="312"/>
      <c r="AN194" s="313">
        <f t="shared" si="59"/>
        <v>0</v>
      </c>
      <c r="AO194" s="378">
        <v>4</v>
      </c>
      <c r="AP194" s="365">
        <f>+(308444+56864)/4</f>
        <v>91327</v>
      </c>
      <c r="AQ194" s="310">
        <f t="shared" si="60"/>
        <v>298895.00560000003</v>
      </c>
      <c r="AR194" s="344">
        <v>9</v>
      </c>
      <c r="AS194" s="345">
        <f>+(582537+414745)/9</f>
        <v>110809.11111111111</v>
      </c>
      <c r="AT194" s="313">
        <f t="shared" si="61"/>
        <v>815976.1324</v>
      </c>
      <c r="AU194" s="378">
        <v>7</v>
      </c>
      <c r="AV194" s="365">
        <f>+(135915+392715)/7</f>
        <v>75518.571428571435</v>
      </c>
      <c r="AW194" s="310">
        <f t="shared" si="62"/>
        <v>432525.06599999999</v>
      </c>
      <c r="AX194" s="344">
        <v>7</v>
      </c>
      <c r="AY194" s="345">
        <f>+(217279+404815)/7</f>
        <v>88870.571428571435</v>
      </c>
      <c r="AZ194" s="313">
        <f t="shared" si="63"/>
        <v>508997.31080000004</v>
      </c>
      <c r="BA194" s="378">
        <v>3</v>
      </c>
      <c r="BB194" s="365">
        <f>207531/3</f>
        <v>69177</v>
      </c>
      <c r="BC194" s="310">
        <f t="shared" si="64"/>
        <v>169801.86420000001</v>
      </c>
      <c r="BD194" s="344">
        <v>1</v>
      </c>
      <c r="BE194" s="345">
        <v>75867</v>
      </c>
      <c r="BF194" s="313">
        <f t="shared" si="65"/>
        <v>62074.379400000005</v>
      </c>
      <c r="BG194" s="378">
        <v>1</v>
      </c>
      <c r="BH194" s="365">
        <v>81309</v>
      </c>
      <c r="BI194" s="310">
        <f t="shared" si="66"/>
        <v>66527.02380000001</v>
      </c>
      <c r="BJ194" s="344">
        <v>1</v>
      </c>
      <c r="BK194" s="345">
        <v>84396</v>
      </c>
      <c r="BL194" s="313">
        <f t="shared" si="67"/>
        <v>69052.80720000001</v>
      </c>
      <c r="BM194" s="378">
        <v>17</v>
      </c>
      <c r="BN194" s="365">
        <f>+(485974+390779)/17</f>
        <v>51573.705882352944</v>
      </c>
      <c r="BO194" s="310">
        <f t="shared" si="68"/>
        <v>717359.30460000003</v>
      </c>
      <c r="BP194" s="344">
        <v>21</v>
      </c>
      <c r="BQ194" s="345">
        <f>+(428161+43000+420908+159653)/(8+1+8+4)</f>
        <v>50082</v>
      </c>
      <c r="BR194" s="313">
        <f t="shared" si="69"/>
        <v>860518.94040000008</v>
      </c>
      <c r="BS194" s="308"/>
      <c r="BT194" s="309"/>
      <c r="BU194" s="310">
        <f t="shared" si="70"/>
        <v>0</v>
      </c>
      <c r="BV194" s="311"/>
      <c r="BW194" s="312"/>
      <c r="BX194" s="313">
        <f t="shared" si="71"/>
        <v>0</v>
      </c>
    </row>
    <row r="195" spans="1:80">
      <c r="A195" s="314" t="s">
        <v>451</v>
      </c>
      <c r="B195" s="336" t="s">
        <v>906</v>
      </c>
      <c r="C195" s="314">
        <v>157058</v>
      </c>
      <c r="D195" s="364">
        <v>5</v>
      </c>
      <c r="E195" s="308">
        <f>17+2</f>
        <v>19</v>
      </c>
      <c r="F195" s="309">
        <f>+(1190393+141797)/(17+2)</f>
        <v>70115.263157894733</v>
      </c>
      <c r="G195" s="310">
        <f t="shared" si="48"/>
        <v>1332190</v>
      </c>
      <c r="H195" s="311">
        <f>18+3</f>
        <v>21</v>
      </c>
      <c r="I195" s="312">
        <f>+(1324752+203847)/(18+3)</f>
        <v>72790.428571428565</v>
      </c>
      <c r="J195" s="313">
        <f t="shared" si="49"/>
        <v>1528598.9999999998</v>
      </c>
      <c r="K195" s="308">
        <f>21+13</f>
        <v>34</v>
      </c>
      <c r="L195" s="309">
        <f>+(1258916+702897)/(21+13)</f>
        <v>57700.382352941175</v>
      </c>
      <c r="M195" s="310">
        <f t="shared" si="50"/>
        <v>1961813</v>
      </c>
      <c r="N195" s="311">
        <f>18+12</f>
        <v>30</v>
      </c>
      <c r="O195" s="312">
        <f>+(1068452+683621)/(18+12)</f>
        <v>58402.433333333334</v>
      </c>
      <c r="P195" s="313">
        <f t="shared" si="51"/>
        <v>1752073</v>
      </c>
      <c r="Q195" s="308">
        <f>32+23</f>
        <v>55</v>
      </c>
      <c r="R195" s="309">
        <f>+(1599566+1038042)/(32+23)</f>
        <v>47956.509090909094</v>
      </c>
      <c r="S195" s="310">
        <f t="shared" si="52"/>
        <v>2637608</v>
      </c>
      <c r="T195" s="311">
        <f>27+24</f>
        <v>51</v>
      </c>
      <c r="U195" s="312">
        <f>+(1442852+1105133)/(27+24)</f>
        <v>49960.490196078434</v>
      </c>
      <c r="V195" s="313">
        <f t="shared" si="53"/>
        <v>2547985</v>
      </c>
      <c r="W195" s="308">
        <v>17</v>
      </c>
      <c r="X195" s="309">
        <f>+(133042+491209)/17</f>
        <v>36720.647058823532</v>
      </c>
      <c r="Y195" s="310">
        <f t="shared" si="54"/>
        <v>624251</v>
      </c>
      <c r="Z195" s="311">
        <f>3+11</f>
        <v>14</v>
      </c>
      <c r="AA195" s="312">
        <f>+(120058+430403)/(3+11)</f>
        <v>39318.642857142855</v>
      </c>
      <c r="AB195" s="313">
        <f t="shared" si="55"/>
        <v>550461</v>
      </c>
      <c r="AC195" s="308"/>
      <c r="AD195" s="309"/>
      <c r="AE195" s="310">
        <f t="shared" si="56"/>
        <v>0</v>
      </c>
      <c r="AF195" s="311"/>
      <c r="AG195" s="312"/>
      <c r="AH195" s="313">
        <f t="shared" si="57"/>
        <v>0</v>
      </c>
      <c r="AI195" s="308"/>
      <c r="AJ195" s="309"/>
      <c r="AK195" s="310">
        <f t="shared" si="58"/>
        <v>0</v>
      </c>
      <c r="AL195" s="380"/>
      <c r="AM195" s="312"/>
      <c r="AN195" s="313">
        <f t="shared" si="59"/>
        <v>0</v>
      </c>
      <c r="AO195" s="308">
        <v>4</v>
      </c>
      <c r="AP195" s="309">
        <f>339401/4</f>
        <v>84850.25</v>
      </c>
      <c r="AQ195" s="310">
        <f t="shared" si="60"/>
        <v>277697.8982</v>
      </c>
      <c r="AR195" s="311">
        <v>4</v>
      </c>
      <c r="AS195" s="312">
        <f>336007/4</f>
        <v>84001.75</v>
      </c>
      <c r="AT195" s="313">
        <f t="shared" si="61"/>
        <v>274920.92739999999</v>
      </c>
      <c r="AU195" s="308">
        <v>7</v>
      </c>
      <c r="AV195" s="309">
        <f>+(296738+216730)/7</f>
        <v>73352.571428571435</v>
      </c>
      <c r="AW195" s="310">
        <f t="shared" si="62"/>
        <v>420119.51760000008</v>
      </c>
      <c r="AX195" s="311">
        <v>8</v>
      </c>
      <c r="AY195" s="312">
        <f>+(333102+315929)/8</f>
        <v>81128.875</v>
      </c>
      <c r="AZ195" s="313">
        <f t="shared" si="63"/>
        <v>531037.1642</v>
      </c>
      <c r="BA195" s="308">
        <v>2</v>
      </c>
      <c r="BB195" s="309">
        <f>138981/2</f>
        <v>69490.5</v>
      </c>
      <c r="BC195" s="310">
        <f t="shared" si="64"/>
        <v>113714.25420000001</v>
      </c>
      <c r="BD195" s="311">
        <v>1</v>
      </c>
      <c r="BE195" s="312">
        <v>50568</v>
      </c>
      <c r="BF195" s="313">
        <f t="shared" si="65"/>
        <v>41374.7376</v>
      </c>
      <c r="BG195" s="308">
        <v>1</v>
      </c>
      <c r="BH195" s="309">
        <v>62456</v>
      </c>
      <c r="BI195" s="310">
        <f t="shared" si="66"/>
        <v>51101.499200000006</v>
      </c>
      <c r="BJ195" s="311">
        <v>2</v>
      </c>
      <c r="BK195" s="312">
        <f>123172/2</f>
        <v>61586</v>
      </c>
      <c r="BL195" s="313">
        <f t="shared" si="67"/>
        <v>100779.33040000001</v>
      </c>
      <c r="BM195" s="308"/>
      <c r="BN195" s="309"/>
      <c r="BO195" s="310">
        <f t="shared" si="68"/>
        <v>0</v>
      </c>
      <c r="BP195" s="311"/>
      <c r="BQ195" s="312"/>
      <c r="BR195" s="313">
        <f t="shared" si="69"/>
        <v>0</v>
      </c>
      <c r="BS195" s="308"/>
      <c r="BT195" s="309"/>
      <c r="BU195" s="310">
        <f t="shared" si="70"/>
        <v>0</v>
      </c>
      <c r="BV195" s="311"/>
      <c r="BW195" s="312"/>
      <c r="BX195" s="313">
        <f t="shared" si="71"/>
        <v>0</v>
      </c>
    </row>
    <row r="196" spans="1:80" s="366" customFormat="1">
      <c r="A196" s="314" t="s">
        <v>451</v>
      </c>
      <c r="B196" s="315" t="s">
        <v>907</v>
      </c>
      <c r="C196" s="314">
        <v>157173</v>
      </c>
      <c r="D196" s="314">
        <v>8</v>
      </c>
      <c r="E196" s="308">
        <f>14+31</f>
        <v>45</v>
      </c>
      <c r="F196" s="309">
        <f>+(874456+1860138)/(14+31)</f>
        <v>60768.755555555559</v>
      </c>
      <c r="G196" s="310">
        <f t="shared" si="48"/>
        <v>2734594</v>
      </c>
      <c r="H196" s="311">
        <f>15+29</f>
        <v>44</v>
      </c>
      <c r="I196" s="312">
        <f>+(896991+1675456)/(15+29)</f>
        <v>58464.704545454544</v>
      </c>
      <c r="J196" s="313">
        <f t="shared" si="49"/>
        <v>2572447</v>
      </c>
      <c r="K196" s="308">
        <f>56+50</f>
        <v>106</v>
      </c>
      <c r="L196" s="309">
        <f>+(3017792+2478952)/(56+50)</f>
        <v>51856.07547169811</v>
      </c>
      <c r="M196" s="310">
        <f t="shared" si="50"/>
        <v>5496744</v>
      </c>
      <c r="N196" s="311">
        <f>56+49</f>
        <v>105</v>
      </c>
      <c r="O196" s="312">
        <f>+(2991987+2377662)/(56+49)</f>
        <v>51139.514285714286</v>
      </c>
      <c r="P196" s="313">
        <f t="shared" si="51"/>
        <v>5369649</v>
      </c>
      <c r="Q196" s="308">
        <f>18+22</f>
        <v>40</v>
      </c>
      <c r="R196" s="309">
        <f>+(750433+920724)/(18+22)</f>
        <v>41778.925000000003</v>
      </c>
      <c r="S196" s="310">
        <f t="shared" si="52"/>
        <v>1671157</v>
      </c>
      <c r="T196" s="311">
        <f>23+22</f>
        <v>45</v>
      </c>
      <c r="U196" s="312">
        <f>+(940758+910764)/(23+22)</f>
        <v>41144.933333333334</v>
      </c>
      <c r="V196" s="313">
        <f t="shared" si="53"/>
        <v>1851522</v>
      </c>
      <c r="W196" s="308">
        <f>19+18</f>
        <v>37</v>
      </c>
      <c r="X196" s="309">
        <f>+(758718+657342)/(19+18)</f>
        <v>38271.891891891893</v>
      </c>
      <c r="Y196" s="310">
        <f t="shared" si="54"/>
        <v>1416060</v>
      </c>
      <c r="Z196" s="311">
        <f>11+13</f>
        <v>24</v>
      </c>
      <c r="AA196" s="312">
        <f>+(448627+475242)/(11+13)</f>
        <v>38494.541666666664</v>
      </c>
      <c r="AB196" s="313">
        <f t="shared" si="55"/>
        <v>923869</v>
      </c>
      <c r="AC196" s="308"/>
      <c r="AD196" s="309"/>
      <c r="AE196" s="310">
        <f t="shared" si="56"/>
        <v>0</v>
      </c>
      <c r="AF196" s="311"/>
      <c r="AG196" s="312"/>
      <c r="AH196" s="313">
        <f t="shared" si="57"/>
        <v>0</v>
      </c>
      <c r="AI196" s="308"/>
      <c r="AJ196" s="309"/>
      <c r="AK196" s="310">
        <f t="shared" si="58"/>
        <v>0</v>
      </c>
      <c r="AL196" s="380"/>
      <c r="AM196" s="312"/>
      <c r="AN196" s="313">
        <f t="shared" si="59"/>
        <v>0</v>
      </c>
      <c r="AO196" s="308">
        <v>5</v>
      </c>
      <c r="AP196" s="309">
        <f>+(193987+149562)/5</f>
        <v>68709.8</v>
      </c>
      <c r="AQ196" s="310">
        <f t="shared" si="60"/>
        <v>281091.79180000001</v>
      </c>
      <c r="AR196" s="311">
        <v>4</v>
      </c>
      <c r="AS196" s="312">
        <f>+(128566+149562)/4</f>
        <v>69532</v>
      </c>
      <c r="AT196" s="313">
        <f t="shared" si="61"/>
        <v>227564.3296</v>
      </c>
      <c r="AU196" s="308">
        <v>8</v>
      </c>
      <c r="AV196" s="309">
        <f>+(292468+189354)/8</f>
        <v>60227.75</v>
      </c>
      <c r="AW196" s="310">
        <f t="shared" si="62"/>
        <v>394226.76040000003</v>
      </c>
      <c r="AX196" s="311">
        <v>7</v>
      </c>
      <c r="AY196" s="312">
        <f>+(230199+189354)/7</f>
        <v>59936.142857142855</v>
      </c>
      <c r="AZ196" s="313">
        <f t="shared" si="63"/>
        <v>343278.26459999999</v>
      </c>
      <c r="BA196" s="308">
        <v>13</v>
      </c>
      <c r="BB196" s="309">
        <f>+(347963+288878)/13</f>
        <v>48987.769230769234</v>
      </c>
      <c r="BC196" s="310">
        <f t="shared" si="64"/>
        <v>521063.30620000005</v>
      </c>
      <c r="BD196" s="311">
        <v>11</v>
      </c>
      <c r="BE196" s="312">
        <f>+(250556+289328)/11</f>
        <v>49080.36363636364</v>
      </c>
      <c r="BF196" s="313">
        <f t="shared" si="65"/>
        <v>441733.08880000003</v>
      </c>
      <c r="BG196" s="308">
        <v>6</v>
      </c>
      <c r="BH196" s="309">
        <f>+(215319+41400)/6</f>
        <v>42786.5</v>
      </c>
      <c r="BI196" s="310">
        <f t="shared" si="66"/>
        <v>210047.48580000002</v>
      </c>
      <c r="BJ196" s="311">
        <v>6</v>
      </c>
      <c r="BK196" s="312">
        <f>+(168712+87400)/6</f>
        <v>42685.333333333336</v>
      </c>
      <c r="BL196" s="313">
        <f t="shared" si="67"/>
        <v>209550.83840000001</v>
      </c>
      <c r="BM196" s="308"/>
      <c r="BN196" s="309"/>
      <c r="BO196" s="310">
        <f t="shared" si="68"/>
        <v>0</v>
      </c>
      <c r="BP196" s="311"/>
      <c r="BQ196" s="312"/>
      <c r="BR196" s="313">
        <f t="shared" si="69"/>
        <v>0</v>
      </c>
      <c r="BS196" s="308"/>
      <c r="BT196" s="309"/>
      <c r="BU196" s="310">
        <f t="shared" si="70"/>
        <v>0</v>
      </c>
      <c r="BV196" s="311"/>
      <c r="BW196" s="312"/>
      <c r="BX196" s="313">
        <f t="shared" si="71"/>
        <v>0</v>
      </c>
      <c r="BY196" s="74"/>
      <c r="BZ196" s="74"/>
      <c r="CA196" s="74"/>
      <c r="CB196" s="74"/>
    </row>
    <row r="197" spans="1:80">
      <c r="A197" s="314" t="s">
        <v>451</v>
      </c>
      <c r="B197" s="315" t="s">
        <v>908</v>
      </c>
      <c r="C197" s="314">
        <v>156921</v>
      </c>
      <c r="D197" s="314">
        <v>8</v>
      </c>
      <c r="E197" s="308">
        <f>32+51</f>
        <v>83</v>
      </c>
      <c r="F197" s="309">
        <f>+(1850218+2976809)/(32+51)</f>
        <v>58156.951807228914</v>
      </c>
      <c r="G197" s="310">
        <f t="shared" si="48"/>
        <v>4827027</v>
      </c>
      <c r="H197" s="311">
        <f>33+48</f>
        <v>81</v>
      </c>
      <c r="I197" s="312">
        <f>+(1863616+2864972)/(33+48)</f>
        <v>58377.629629629628</v>
      </c>
      <c r="J197" s="313">
        <f t="shared" si="49"/>
        <v>4728588</v>
      </c>
      <c r="K197" s="308">
        <f>40+50</f>
        <v>90</v>
      </c>
      <c r="L197" s="309">
        <f>+(2077329+2404883)/(40+50)</f>
        <v>49802.355555555558</v>
      </c>
      <c r="M197" s="310">
        <f t="shared" si="50"/>
        <v>4482212</v>
      </c>
      <c r="N197" s="311">
        <f>38+49</f>
        <v>87</v>
      </c>
      <c r="O197" s="312">
        <f>+(1991610+2337566)/(38+49)</f>
        <v>49760.643678160923</v>
      </c>
      <c r="P197" s="313">
        <f t="shared" si="51"/>
        <v>4329176</v>
      </c>
      <c r="Q197" s="308">
        <f>17+27</f>
        <v>44</v>
      </c>
      <c r="R197" s="309">
        <f>+(763554+1203847)/(17+27)</f>
        <v>44713.659090909088</v>
      </c>
      <c r="S197" s="310">
        <f t="shared" si="52"/>
        <v>1967401</v>
      </c>
      <c r="T197" s="311">
        <f>21+19</f>
        <v>40</v>
      </c>
      <c r="U197" s="312">
        <f>+(920017+870243)/(21+19)</f>
        <v>44756.5</v>
      </c>
      <c r="V197" s="313">
        <f t="shared" si="53"/>
        <v>1790260</v>
      </c>
      <c r="W197" s="308">
        <f>23+15</f>
        <v>38</v>
      </c>
      <c r="X197" s="309">
        <f>+(955372+674513)/(23+15)</f>
        <v>42891.710526315786</v>
      </c>
      <c r="Y197" s="310">
        <f t="shared" si="54"/>
        <v>1629885</v>
      </c>
      <c r="Z197" s="311">
        <v>26</v>
      </c>
      <c r="AA197" s="312">
        <f>+(673912+436533)/(16+10)</f>
        <v>42709.423076923078</v>
      </c>
      <c r="AB197" s="313">
        <f t="shared" si="55"/>
        <v>1110445</v>
      </c>
      <c r="AC197" s="308"/>
      <c r="AD197" s="309"/>
      <c r="AE197" s="310">
        <f t="shared" si="56"/>
        <v>0</v>
      </c>
      <c r="AF197" s="311"/>
      <c r="AG197" s="312"/>
      <c r="AH197" s="313">
        <f t="shared" si="57"/>
        <v>0</v>
      </c>
      <c r="AI197" s="308"/>
      <c r="AJ197" s="309"/>
      <c r="AK197" s="310">
        <f t="shared" si="58"/>
        <v>0</v>
      </c>
      <c r="AL197" s="380"/>
      <c r="AM197" s="312"/>
      <c r="AN197" s="313">
        <f t="shared" si="59"/>
        <v>0</v>
      </c>
      <c r="AO197" s="308">
        <v>12</v>
      </c>
      <c r="AP197" s="309">
        <f>+(452545+450840)/12</f>
        <v>75282.083333333328</v>
      </c>
      <c r="AQ197" s="310">
        <f t="shared" si="60"/>
        <v>739149.60700000008</v>
      </c>
      <c r="AR197" s="311">
        <v>15</v>
      </c>
      <c r="AS197" s="312">
        <f>+(450053+668068)/15</f>
        <v>74541.399999999994</v>
      </c>
      <c r="AT197" s="313">
        <f t="shared" si="61"/>
        <v>914846.60220000008</v>
      </c>
      <c r="AU197" s="308">
        <v>11</v>
      </c>
      <c r="AV197" s="309">
        <f>+(241211+400686)/11</f>
        <v>58354.272727272728</v>
      </c>
      <c r="AW197" s="310">
        <f t="shared" si="62"/>
        <v>525200.12540000002</v>
      </c>
      <c r="AX197" s="311">
        <v>16</v>
      </c>
      <c r="AY197" s="312">
        <f>+(241211+681652)/16</f>
        <v>57678.9375</v>
      </c>
      <c r="AZ197" s="313">
        <f t="shared" si="63"/>
        <v>755086.50660000008</v>
      </c>
      <c r="BA197" s="308">
        <v>13</v>
      </c>
      <c r="BB197" s="309">
        <f>+(316129+353838)/13</f>
        <v>51535.923076923078</v>
      </c>
      <c r="BC197" s="310">
        <f t="shared" si="64"/>
        <v>548166.99939999997</v>
      </c>
      <c r="BD197" s="311">
        <v>15</v>
      </c>
      <c r="BE197" s="312">
        <f>+(412118+357361)/15</f>
        <v>51298.6</v>
      </c>
      <c r="BF197" s="313">
        <f t="shared" si="65"/>
        <v>629587.71779999998</v>
      </c>
      <c r="BG197" s="308">
        <v>3</v>
      </c>
      <c r="BH197" s="309">
        <f>133543/3</f>
        <v>44514.333333333336</v>
      </c>
      <c r="BI197" s="310">
        <f t="shared" si="66"/>
        <v>109264.88260000001</v>
      </c>
      <c r="BJ197" s="311">
        <v>9</v>
      </c>
      <c r="BK197" s="312">
        <f>+(392443+40000)/9</f>
        <v>48049.222222222219</v>
      </c>
      <c r="BL197" s="313">
        <f t="shared" si="67"/>
        <v>353824.86259999999</v>
      </c>
      <c r="BM197" s="308"/>
      <c r="BN197" s="309"/>
      <c r="BO197" s="310">
        <f t="shared" si="68"/>
        <v>0</v>
      </c>
      <c r="BP197" s="311"/>
      <c r="BQ197" s="312"/>
      <c r="BR197" s="313">
        <f t="shared" si="69"/>
        <v>0</v>
      </c>
      <c r="BS197" s="308"/>
      <c r="BT197" s="309"/>
      <c r="BU197" s="310">
        <f t="shared" si="70"/>
        <v>0</v>
      </c>
      <c r="BV197" s="311"/>
      <c r="BW197" s="312"/>
      <c r="BX197" s="313">
        <f t="shared" si="71"/>
        <v>0</v>
      </c>
    </row>
    <row r="198" spans="1:80">
      <c r="A198" s="314" t="s">
        <v>451</v>
      </c>
      <c r="B198" s="315" t="s">
        <v>909</v>
      </c>
      <c r="C198" s="314">
        <v>156231</v>
      </c>
      <c r="D198" s="314">
        <v>9</v>
      </c>
      <c r="E198" s="308">
        <v>27</v>
      </c>
      <c r="F198" s="309">
        <f>+(1032553+623119)/27</f>
        <v>61321.185185185182</v>
      </c>
      <c r="G198" s="310">
        <f t="shared" si="48"/>
        <v>1655672</v>
      </c>
      <c r="H198" s="311">
        <v>26</v>
      </c>
      <c r="I198" s="312">
        <f>+(973425+623119)/26</f>
        <v>61405.538461538461</v>
      </c>
      <c r="J198" s="313">
        <f t="shared" si="49"/>
        <v>1596544</v>
      </c>
      <c r="K198" s="308">
        <v>17</v>
      </c>
      <c r="L198" s="309">
        <f>+(479223+386444)/17</f>
        <v>50921.588235294119</v>
      </c>
      <c r="M198" s="310">
        <f t="shared" si="50"/>
        <v>865667</v>
      </c>
      <c r="N198" s="311">
        <v>23</v>
      </c>
      <c r="O198" s="312">
        <f>+(568873+561360)/23</f>
        <v>49140.565217391304</v>
      </c>
      <c r="P198" s="313">
        <f t="shared" si="51"/>
        <v>1130233</v>
      </c>
      <c r="Q198" s="308">
        <v>22</v>
      </c>
      <c r="R198" s="309">
        <f>+(289567+614609)/22</f>
        <v>41098.909090909088</v>
      </c>
      <c r="S198" s="310">
        <f t="shared" si="52"/>
        <v>904176</v>
      </c>
      <c r="T198" s="311">
        <v>15</v>
      </c>
      <c r="U198" s="312">
        <f>+(203438+414832)/15</f>
        <v>41218</v>
      </c>
      <c r="V198" s="313">
        <f t="shared" si="53"/>
        <v>618270</v>
      </c>
      <c r="W198" s="308">
        <v>16</v>
      </c>
      <c r="X198" s="309">
        <f>+(350422+264825)/16</f>
        <v>38452.9375</v>
      </c>
      <c r="Y198" s="310">
        <f t="shared" si="54"/>
        <v>615247</v>
      </c>
      <c r="Z198" s="311">
        <v>17</v>
      </c>
      <c r="AA198" s="312">
        <f>+(350422+298350)/17</f>
        <v>38163.058823529413</v>
      </c>
      <c r="AB198" s="313">
        <f t="shared" si="55"/>
        <v>648772</v>
      </c>
      <c r="AC198" s="308"/>
      <c r="AD198" s="309"/>
      <c r="AE198" s="310">
        <f t="shared" si="56"/>
        <v>0</v>
      </c>
      <c r="AF198" s="311"/>
      <c r="AG198" s="312"/>
      <c r="AH198" s="313">
        <f t="shared" si="57"/>
        <v>0</v>
      </c>
      <c r="AI198" s="308"/>
      <c r="AJ198" s="309"/>
      <c r="AK198" s="310">
        <f t="shared" si="58"/>
        <v>0</v>
      </c>
      <c r="AL198" s="380"/>
      <c r="AM198" s="312"/>
      <c r="AN198" s="313">
        <f t="shared" si="59"/>
        <v>0</v>
      </c>
      <c r="AO198" s="308">
        <v>4</v>
      </c>
      <c r="AP198" s="309">
        <f>+(234589+62804)/4</f>
        <v>74348.25</v>
      </c>
      <c r="AQ198" s="310">
        <f t="shared" si="60"/>
        <v>243326.95260000002</v>
      </c>
      <c r="AR198" s="311">
        <v>4</v>
      </c>
      <c r="AS198" s="312">
        <f>+(234589+62804)/4</f>
        <v>74348.25</v>
      </c>
      <c r="AT198" s="313">
        <f t="shared" si="61"/>
        <v>243326.95260000002</v>
      </c>
      <c r="AU198" s="308">
        <v>7</v>
      </c>
      <c r="AV198" s="309">
        <f>+(243279+174224)/7</f>
        <v>59643.285714285717</v>
      </c>
      <c r="AW198" s="310">
        <f t="shared" si="62"/>
        <v>341600.9546</v>
      </c>
      <c r="AX198" s="311">
        <v>7</v>
      </c>
      <c r="AY198" s="312">
        <f>+(243279+174224)/7</f>
        <v>59643.285714285717</v>
      </c>
      <c r="AZ198" s="313">
        <f t="shared" si="63"/>
        <v>341600.9546</v>
      </c>
      <c r="BA198" s="308">
        <v>3</v>
      </c>
      <c r="BB198" s="309">
        <f>+(100168+48022)/3</f>
        <v>49396.666666666664</v>
      </c>
      <c r="BC198" s="310">
        <f t="shared" si="64"/>
        <v>121249.058</v>
      </c>
      <c r="BD198" s="311">
        <v>2</v>
      </c>
      <c r="BE198" s="312">
        <f>100168/2</f>
        <v>50084</v>
      </c>
      <c r="BF198" s="313">
        <f t="shared" si="65"/>
        <v>81957.457600000009</v>
      </c>
      <c r="BG198" s="308"/>
      <c r="BH198" s="309"/>
      <c r="BI198" s="310">
        <f t="shared" si="66"/>
        <v>0</v>
      </c>
      <c r="BJ198" s="311">
        <v>1</v>
      </c>
      <c r="BK198" s="312">
        <v>37000</v>
      </c>
      <c r="BL198" s="313">
        <f t="shared" si="67"/>
        <v>30273.4</v>
      </c>
      <c r="BM198" s="308"/>
      <c r="BN198" s="309"/>
      <c r="BO198" s="310">
        <f t="shared" si="68"/>
        <v>0</v>
      </c>
      <c r="BP198" s="311"/>
      <c r="BQ198" s="312"/>
      <c r="BR198" s="313">
        <f t="shared" si="69"/>
        <v>0</v>
      </c>
      <c r="BS198" s="308"/>
      <c r="BT198" s="309"/>
      <c r="BU198" s="310">
        <f t="shared" si="70"/>
        <v>0</v>
      </c>
      <c r="BV198" s="311"/>
      <c r="BW198" s="312"/>
      <c r="BX198" s="313">
        <f t="shared" si="71"/>
        <v>0</v>
      </c>
    </row>
    <row r="199" spans="1:80">
      <c r="A199" s="314" t="s">
        <v>451</v>
      </c>
      <c r="B199" s="315" t="s">
        <v>910</v>
      </c>
      <c r="C199" s="314">
        <v>157553</v>
      </c>
      <c r="D199" s="314">
        <v>9</v>
      </c>
      <c r="E199" s="308">
        <f>16+15</f>
        <v>31</v>
      </c>
      <c r="F199" s="309">
        <f>+(917787+900388)/(16+15)</f>
        <v>58650.806451612902</v>
      </c>
      <c r="G199" s="310">
        <f t="shared" si="48"/>
        <v>1818175</v>
      </c>
      <c r="H199" s="311">
        <f>16+15</f>
        <v>31</v>
      </c>
      <c r="I199" s="312">
        <f>+(894380+864032)/(16+15)</f>
        <v>56722.967741935485</v>
      </c>
      <c r="J199" s="313">
        <f t="shared" si="49"/>
        <v>1758412</v>
      </c>
      <c r="K199" s="308">
        <v>26</v>
      </c>
      <c r="L199" s="309">
        <f>+(460727+761622)/26</f>
        <v>47013.423076923078</v>
      </c>
      <c r="M199" s="310">
        <f t="shared" si="50"/>
        <v>1222349</v>
      </c>
      <c r="N199" s="311">
        <v>23</v>
      </c>
      <c r="O199" s="312">
        <f>+(459474+608319)/23</f>
        <v>46425.782608695656</v>
      </c>
      <c r="P199" s="313">
        <f t="shared" si="51"/>
        <v>1067793</v>
      </c>
      <c r="Q199" s="308">
        <v>10</v>
      </c>
      <c r="R199" s="309">
        <f>+(157106+233168)/10</f>
        <v>39027.4</v>
      </c>
      <c r="S199" s="310">
        <f t="shared" si="52"/>
        <v>390274</v>
      </c>
      <c r="T199" s="311">
        <v>13</v>
      </c>
      <c r="U199" s="312">
        <f>+(117470+386682)/13</f>
        <v>38780.923076923078</v>
      </c>
      <c r="V199" s="313">
        <f t="shared" si="53"/>
        <v>504152</v>
      </c>
      <c r="W199" s="308">
        <v>22</v>
      </c>
      <c r="X199" s="309">
        <f>+(294035+486757)/22</f>
        <v>35490.545454545456</v>
      </c>
      <c r="Y199" s="310">
        <f t="shared" si="54"/>
        <v>780792</v>
      </c>
      <c r="Z199" s="311">
        <v>22</v>
      </c>
      <c r="AA199" s="312">
        <f>+(396506+378510)/22</f>
        <v>35228</v>
      </c>
      <c r="AB199" s="313">
        <f t="shared" si="55"/>
        <v>775016</v>
      </c>
      <c r="AC199" s="308"/>
      <c r="AD199" s="309"/>
      <c r="AE199" s="310">
        <f t="shared" si="56"/>
        <v>0</v>
      </c>
      <c r="AF199" s="311"/>
      <c r="AG199" s="312"/>
      <c r="AH199" s="313">
        <f t="shared" si="57"/>
        <v>0</v>
      </c>
      <c r="AI199" s="308"/>
      <c r="AJ199" s="309"/>
      <c r="AK199" s="310">
        <f t="shared" si="58"/>
        <v>0</v>
      </c>
      <c r="AL199" s="380"/>
      <c r="AM199" s="312"/>
      <c r="AN199" s="313">
        <f t="shared" si="59"/>
        <v>0</v>
      </c>
      <c r="AO199" s="308">
        <v>12</v>
      </c>
      <c r="AP199" s="309">
        <f>+(334168+474753)/12</f>
        <v>67410.083333333328</v>
      </c>
      <c r="AQ199" s="310">
        <f t="shared" si="60"/>
        <v>661859.16220000002</v>
      </c>
      <c r="AR199" s="311">
        <v>12</v>
      </c>
      <c r="AS199" s="312">
        <f>+(265304+561208)/12</f>
        <v>68876</v>
      </c>
      <c r="AT199" s="313">
        <f t="shared" si="61"/>
        <v>676252.11840000004</v>
      </c>
      <c r="AU199" s="308">
        <v>4</v>
      </c>
      <c r="AV199" s="309">
        <f>+(179000+75698)/4</f>
        <v>63674.5</v>
      </c>
      <c r="AW199" s="310">
        <f t="shared" si="62"/>
        <v>208393.90360000002</v>
      </c>
      <c r="AX199" s="311">
        <v>3</v>
      </c>
      <c r="AY199" s="312">
        <f>+(121972+75698)/3</f>
        <v>65890</v>
      </c>
      <c r="AZ199" s="313">
        <f t="shared" si="63"/>
        <v>161733.59400000001</v>
      </c>
      <c r="BA199" s="308">
        <v>5</v>
      </c>
      <c r="BB199" s="309">
        <f>+(179198+108466)/5</f>
        <v>57532.800000000003</v>
      </c>
      <c r="BC199" s="310">
        <f t="shared" si="64"/>
        <v>235366.68480000002</v>
      </c>
      <c r="BD199" s="311">
        <v>2</v>
      </c>
      <c r="BE199" s="312">
        <f>+(60255+51442)/2</f>
        <v>55848.5</v>
      </c>
      <c r="BF199" s="313">
        <f t="shared" si="65"/>
        <v>91390.485400000005</v>
      </c>
      <c r="BG199" s="308">
        <v>2</v>
      </c>
      <c r="BH199" s="309">
        <f>89059/2</f>
        <v>44529.5</v>
      </c>
      <c r="BI199" s="310">
        <f t="shared" si="66"/>
        <v>72868.073799999998</v>
      </c>
      <c r="BJ199" s="311">
        <v>2</v>
      </c>
      <c r="BK199" s="312">
        <f>89059/2</f>
        <v>44529.5</v>
      </c>
      <c r="BL199" s="313">
        <f t="shared" si="67"/>
        <v>72868.073799999998</v>
      </c>
      <c r="BM199" s="308"/>
      <c r="BN199" s="309"/>
      <c r="BO199" s="310">
        <f t="shared" si="68"/>
        <v>0</v>
      </c>
      <c r="BP199" s="311"/>
      <c r="BQ199" s="312"/>
      <c r="BR199" s="313">
        <f t="shared" si="69"/>
        <v>0</v>
      </c>
      <c r="BS199" s="308"/>
      <c r="BT199" s="309"/>
      <c r="BU199" s="310">
        <f t="shared" si="70"/>
        <v>0</v>
      </c>
      <c r="BV199" s="311"/>
      <c r="BW199" s="312"/>
      <c r="BX199" s="313">
        <f t="shared" si="71"/>
        <v>0</v>
      </c>
    </row>
    <row r="200" spans="1:80">
      <c r="A200" s="314" t="s">
        <v>451</v>
      </c>
      <c r="B200" s="315" t="s">
        <v>911</v>
      </c>
      <c r="C200" s="314">
        <v>156648</v>
      </c>
      <c r="D200" s="314">
        <v>9</v>
      </c>
      <c r="E200" s="308">
        <f>12+24</f>
        <v>36</v>
      </c>
      <c r="F200" s="309">
        <f>+(723789+1433105)/(12+24)</f>
        <v>59913.722222222219</v>
      </c>
      <c r="G200" s="310">
        <f t="shared" si="48"/>
        <v>2156894</v>
      </c>
      <c r="H200" s="311">
        <f>13+24</f>
        <v>37</v>
      </c>
      <c r="I200" s="312">
        <f>+(776629+1394396)/(13+24)</f>
        <v>58676.351351351354</v>
      </c>
      <c r="J200" s="313">
        <f t="shared" si="49"/>
        <v>2171025</v>
      </c>
      <c r="K200" s="308">
        <f>25+16</f>
        <v>41</v>
      </c>
      <c r="L200" s="309">
        <f>+(1172949+755604)/(25+16)</f>
        <v>47037.878048780491</v>
      </c>
      <c r="M200" s="310">
        <f t="shared" si="50"/>
        <v>1928553</v>
      </c>
      <c r="N200" s="311">
        <f>25+14</f>
        <v>39</v>
      </c>
      <c r="O200" s="312">
        <f>+(1199720+679498)/(25+14)</f>
        <v>48185.076923076922</v>
      </c>
      <c r="P200" s="313">
        <f t="shared" si="51"/>
        <v>1879218</v>
      </c>
      <c r="Q200" s="308">
        <f>11+9</f>
        <v>20</v>
      </c>
      <c r="R200" s="309">
        <f>+(443988+361907)/(11+9)</f>
        <v>40294.75</v>
      </c>
      <c r="S200" s="310">
        <f t="shared" si="52"/>
        <v>805895</v>
      </c>
      <c r="T200" s="311">
        <v>17</v>
      </c>
      <c r="U200" s="312">
        <f>+(403346+281103)/17</f>
        <v>40261.705882352944</v>
      </c>
      <c r="V200" s="313">
        <f t="shared" si="53"/>
        <v>684449</v>
      </c>
      <c r="W200" s="308">
        <f>8+13</f>
        <v>21</v>
      </c>
      <c r="X200" s="309">
        <f>+(281132+468215)/(8+13)</f>
        <v>35683.190476190473</v>
      </c>
      <c r="Y200" s="310">
        <f t="shared" si="54"/>
        <v>749347</v>
      </c>
      <c r="Z200" s="311">
        <v>21</v>
      </c>
      <c r="AA200" s="312">
        <f>+(350218+389350)/21</f>
        <v>35217.523809523809</v>
      </c>
      <c r="AB200" s="313">
        <f t="shared" si="55"/>
        <v>739568</v>
      </c>
      <c r="AC200" s="308"/>
      <c r="AD200" s="309"/>
      <c r="AE200" s="310">
        <f t="shared" si="56"/>
        <v>0</v>
      </c>
      <c r="AF200" s="311"/>
      <c r="AG200" s="312"/>
      <c r="AH200" s="313">
        <f t="shared" si="57"/>
        <v>0</v>
      </c>
      <c r="AI200" s="308"/>
      <c r="AJ200" s="309"/>
      <c r="AK200" s="310">
        <f t="shared" si="58"/>
        <v>0</v>
      </c>
      <c r="AL200" s="380"/>
      <c r="AM200" s="312"/>
      <c r="AN200" s="313">
        <f t="shared" si="59"/>
        <v>0</v>
      </c>
      <c r="AO200" s="308">
        <v>3</v>
      </c>
      <c r="AP200" s="309">
        <f>+(82824+134191)/3</f>
        <v>72338.333333333328</v>
      </c>
      <c r="AQ200" s="310">
        <f t="shared" si="60"/>
        <v>177561.67300000001</v>
      </c>
      <c r="AR200" s="311">
        <v>3</v>
      </c>
      <c r="AS200" s="312">
        <f>+(82824+136691)/3</f>
        <v>73171.666666666672</v>
      </c>
      <c r="AT200" s="313">
        <f t="shared" si="61"/>
        <v>179607.17300000001</v>
      </c>
      <c r="AU200" s="308">
        <v>3</v>
      </c>
      <c r="AV200" s="309">
        <f>170041/3</f>
        <v>56680.333333333336</v>
      </c>
      <c r="AW200" s="310">
        <f t="shared" si="62"/>
        <v>139127.54620000001</v>
      </c>
      <c r="AX200" s="311">
        <v>2</v>
      </c>
      <c r="AY200" s="312">
        <f>112491/2</f>
        <v>56245.5</v>
      </c>
      <c r="AZ200" s="313">
        <f t="shared" si="63"/>
        <v>92040.136200000008</v>
      </c>
      <c r="BA200" s="308"/>
      <c r="BB200" s="309"/>
      <c r="BC200" s="310">
        <f t="shared" si="64"/>
        <v>0</v>
      </c>
      <c r="BD200" s="311"/>
      <c r="BE200" s="312"/>
      <c r="BF200" s="313">
        <f t="shared" si="65"/>
        <v>0</v>
      </c>
      <c r="BG200" s="308"/>
      <c r="BH200" s="309"/>
      <c r="BI200" s="310">
        <f t="shared" si="66"/>
        <v>0</v>
      </c>
      <c r="BJ200" s="311"/>
      <c r="BK200" s="312"/>
      <c r="BL200" s="313">
        <f t="shared" si="67"/>
        <v>0</v>
      </c>
      <c r="BM200" s="308"/>
      <c r="BN200" s="309"/>
      <c r="BO200" s="310">
        <f t="shared" si="68"/>
        <v>0</v>
      </c>
      <c r="BP200" s="311"/>
      <c r="BQ200" s="312"/>
      <c r="BR200" s="313">
        <f t="shared" si="69"/>
        <v>0</v>
      </c>
      <c r="BS200" s="308"/>
      <c r="BT200" s="309"/>
      <c r="BU200" s="310">
        <f t="shared" si="70"/>
        <v>0</v>
      </c>
      <c r="BV200" s="311"/>
      <c r="BW200" s="312"/>
      <c r="BX200" s="313">
        <f t="shared" si="71"/>
        <v>0</v>
      </c>
    </row>
    <row r="201" spans="1:80">
      <c r="A201" s="314" t="s">
        <v>451</v>
      </c>
      <c r="B201" s="315" t="s">
        <v>913</v>
      </c>
      <c r="C201" s="314">
        <v>157304</v>
      </c>
      <c r="D201" s="364">
        <v>9</v>
      </c>
      <c r="E201" s="308">
        <f>12+16</f>
        <v>28</v>
      </c>
      <c r="F201" s="309">
        <f>+(723355+959902)/(12+16)</f>
        <v>60116.321428571428</v>
      </c>
      <c r="G201" s="310">
        <f t="shared" si="48"/>
        <v>1683257</v>
      </c>
      <c r="H201" s="311">
        <f>13+17</f>
        <v>30</v>
      </c>
      <c r="I201" s="312">
        <f>+(776195+1012742)/(13+17)</f>
        <v>59631.23333333333</v>
      </c>
      <c r="J201" s="313">
        <f t="shared" si="49"/>
        <v>1788937</v>
      </c>
      <c r="K201" s="308">
        <f>11+14</f>
        <v>25</v>
      </c>
      <c r="L201" s="309">
        <f>+(537499+691317)/(11+14)</f>
        <v>49152.639999999999</v>
      </c>
      <c r="M201" s="310">
        <f t="shared" si="50"/>
        <v>1228816</v>
      </c>
      <c r="N201" s="311">
        <f>9+18</f>
        <v>27</v>
      </c>
      <c r="O201" s="312">
        <f>+(445896+880127)/(9+18)</f>
        <v>49111.962962962964</v>
      </c>
      <c r="P201" s="313">
        <f t="shared" si="51"/>
        <v>1326023</v>
      </c>
      <c r="Q201" s="308">
        <v>24</v>
      </c>
      <c r="R201" s="309">
        <f>+(180207+822744)/24</f>
        <v>41789.625</v>
      </c>
      <c r="S201" s="310">
        <f t="shared" si="52"/>
        <v>1002951</v>
      </c>
      <c r="T201" s="311">
        <v>16</v>
      </c>
      <c r="U201" s="312">
        <f>+(180207+489798)/16</f>
        <v>41875.3125</v>
      </c>
      <c r="V201" s="313">
        <f t="shared" si="53"/>
        <v>670005</v>
      </c>
      <c r="W201" s="308">
        <v>17</v>
      </c>
      <c r="X201" s="309">
        <f>+(221593+396700)/17</f>
        <v>36370.176470588238</v>
      </c>
      <c r="Y201" s="310">
        <f t="shared" si="54"/>
        <v>618293</v>
      </c>
      <c r="Z201" s="311">
        <v>18</v>
      </c>
      <c r="AA201" s="312">
        <f>+(187673+460870)/18</f>
        <v>36030.166666666664</v>
      </c>
      <c r="AB201" s="313">
        <f t="shared" si="55"/>
        <v>648543</v>
      </c>
      <c r="AC201" s="308"/>
      <c r="AD201" s="309"/>
      <c r="AE201" s="310">
        <f t="shared" si="56"/>
        <v>0</v>
      </c>
      <c r="AF201" s="311"/>
      <c r="AG201" s="312"/>
      <c r="AH201" s="313">
        <f t="shared" si="57"/>
        <v>0</v>
      </c>
      <c r="AI201" s="308"/>
      <c r="AJ201" s="309"/>
      <c r="AK201" s="310">
        <f t="shared" si="58"/>
        <v>0</v>
      </c>
      <c r="AL201" s="380"/>
      <c r="AM201" s="312"/>
      <c r="AN201" s="313">
        <f t="shared" si="59"/>
        <v>0</v>
      </c>
      <c r="AO201" s="308">
        <v>5</v>
      </c>
      <c r="AP201" s="309">
        <f>+(176342+222096)/5</f>
        <v>79687.600000000006</v>
      </c>
      <c r="AQ201" s="310">
        <f t="shared" si="60"/>
        <v>326001.97159999999</v>
      </c>
      <c r="AR201" s="311">
        <v>5</v>
      </c>
      <c r="AS201" s="312">
        <f>+(176342+222096)/5</f>
        <v>79687.600000000006</v>
      </c>
      <c r="AT201" s="313">
        <f t="shared" si="61"/>
        <v>326001.97159999999</v>
      </c>
      <c r="AU201" s="308">
        <v>5</v>
      </c>
      <c r="AV201" s="309">
        <f>+(53778+219324)/5</f>
        <v>54620.4</v>
      </c>
      <c r="AW201" s="310">
        <f t="shared" si="62"/>
        <v>223452.0564</v>
      </c>
      <c r="AX201" s="311">
        <v>5</v>
      </c>
      <c r="AY201" s="312">
        <f>+(107298+164100)/5</f>
        <v>54279.6</v>
      </c>
      <c r="AZ201" s="313">
        <f t="shared" si="63"/>
        <v>222057.84360000002</v>
      </c>
      <c r="BA201" s="308">
        <v>2</v>
      </c>
      <c r="BB201" s="309">
        <f>102966/2</f>
        <v>51483</v>
      </c>
      <c r="BC201" s="310">
        <f t="shared" si="64"/>
        <v>84246.781199999998</v>
      </c>
      <c r="BD201" s="311">
        <v>1</v>
      </c>
      <c r="BE201" s="312">
        <v>56043</v>
      </c>
      <c r="BF201" s="313">
        <f t="shared" si="65"/>
        <v>45854.382600000004</v>
      </c>
      <c r="BG201" s="308">
        <v>4</v>
      </c>
      <c r="BH201" s="309">
        <f>+(143726+37500)/4</f>
        <v>45306.5</v>
      </c>
      <c r="BI201" s="310">
        <f t="shared" si="66"/>
        <v>148279.11319999999</v>
      </c>
      <c r="BJ201" s="311">
        <v>6</v>
      </c>
      <c r="BK201" s="312">
        <f>+(226876+34500)/6</f>
        <v>43562.666666666664</v>
      </c>
      <c r="BL201" s="313">
        <f t="shared" si="67"/>
        <v>213857.8432</v>
      </c>
      <c r="BM201" s="308"/>
      <c r="BN201" s="309"/>
      <c r="BO201" s="310">
        <f t="shared" si="68"/>
        <v>0</v>
      </c>
      <c r="BP201" s="311"/>
      <c r="BQ201" s="312"/>
      <c r="BR201" s="313">
        <f t="shared" si="69"/>
        <v>0</v>
      </c>
      <c r="BS201" s="308"/>
      <c r="BT201" s="309"/>
      <c r="BU201" s="310">
        <f t="shared" si="70"/>
        <v>0</v>
      </c>
      <c r="BV201" s="311"/>
      <c r="BW201" s="312"/>
      <c r="BX201" s="313">
        <f t="shared" si="71"/>
        <v>0</v>
      </c>
    </row>
    <row r="202" spans="1:80">
      <c r="A202" s="314" t="s">
        <v>451</v>
      </c>
      <c r="B202" s="414" t="s">
        <v>920</v>
      </c>
      <c r="C202" s="415">
        <v>157331</v>
      </c>
      <c r="D202" s="416">
        <v>9</v>
      </c>
      <c r="E202" s="308">
        <v>23</v>
      </c>
      <c r="F202" s="309">
        <f>+(543171+813076)/23</f>
        <v>58967.260869565216</v>
      </c>
      <c r="G202" s="310">
        <f t="shared" ref="G202:G265" si="72">E202*F202</f>
        <v>1356247</v>
      </c>
      <c r="H202" s="311">
        <f>8+15</f>
        <v>23</v>
      </c>
      <c r="I202" s="312">
        <f>+(482361+897402)/(8+15)</f>
        <v>59989.695652173912</v>
      </c>
      <c r="J202" s="313">
        <f t="shared" ref="J202:J265" si="73">H202*I202</f>
        <v>1379763</v>
      </c>
      <c r="K202" s="308">
        <v>20</v>
      </c>
      <c r="L202" s="309">
        <f>+(444619+520875)/20</f>
        <v>48274.7</v>
      </c>
      <c r="M202" s="310">
        <f t="shared" ref="M202:M265" si="74">K202*L202</f>
        <v>965494</v>
      </c>
      <c r="N202" s="311">
        <f>9+15</f>
        <v>24</v>
      </c>
      <c r="O202" s="312">
        <f>+(444619+690872)/(9+15)</f>
        <v>47312.125</v>
      </c>
      <c r="P202" s="313">
        <f t="shared" ref="P202:P265" si="75">N202*O202</f>
        <v>1135491</v>
      </c>
      <c r="Q202" s="308">
        <v>17</v>
      </c>
      <c r="R202" s="309">
        <f>+(303108+400898)/17</f>
        <v>41412.117647058825</v>
      </c>
      <c r="S202" s="310">
        <f t="shared" ref="S202:S265" si="76">Q202*R202</f>
        <v>704006</v>
      </c>
      <c r="T202" s="311">
        <f>8+11</f>
        <v>19</v>
      </c>
      <c r="U202" s="312">
        <f>+(341738+452608)/(8+11)</f>
        <v>41807.684210526313</v>
      </c>
      <c r="V202" s="313">
        <f t="shared" ref="V202:V265" si="77">T202*U202</f>
        <v>794346</v>
      </c>
      <c r="W202" s="308">
        <v>18</v>
      </c>
      <c r="X202" s="309">
        <f>+(159645+541429)/18</f>
        <v>38948.555555555555</v>
      </c>
      <c r="Y202" s="310">
        <f t="shared" ref="Y202:Y265" si="78">W202*X202</f>
        <v>701074</v>
      </c>
      <c r="Z202" s="311">
        <v>14</v>
      </c>
      <c r="AA202" s="312">
        <f>+(114625+410586)/14</f>
        <v>37515.071428571428</v>
      </c>
      <c r="AB202" s="313">
        <f t="shared" ref="AB202:AB265" si="79">Z202*AA202</f>
        <v>525211</v>
      </c>
      <c r="AC202" s="308"/>
      <c r="AD202" s="309"/>
      <c r="AE202" s="310">
        <f t="shared" ref="AE202:AE265" si="80">AC202*AD202</f>
        <v>0</v>
      </c>
      <c r="AF202" s="311"/>
      <c r="AG202" s="312"/>
      <c r="AH202" s="313">
        <f t="shared" ref="AH202:AH265" si="81">AF202*AG202</f>
        <v>0</v>
      </c>
      <c r="AI202" s="308"/>
      <c r="AJ202" s="309"/>
      <c r="AK202" s="310">
        <f t="shared" ref="AK202:AK265" si="82">AI202*AJ202</f>
        <v>0</v>
      </c>
      <c r="AL202" s="380"/>
      <c r="AM202" s="312"/>
      <c r="AN202" s="313">
        <f t="shared" ref="AN202:AN265" si="83">AL202*AM202</f>
        <v>0</v>
      </c>
      <c r="AO202" s="308">
        <v>4</v>
      </c>
      <c r="AP202" s="309">
        <f>+(131462+133026)/4</f>
        <v>66122</v>
      </c>
      <c r="AQ202" s="310">
        <f t="shared" ref="AQ202:AQ265" si="84">(AO202*AP202)*0.8182</f>
        <v>216404.0816</v>
      </c>
      <c r="AR202" s="311">
        <v>5</v>
      </c>
      <c r="AS202" s="312">
        <f>+(131462+196434)/5</f>
        <v>65579.199999999997</v>
      </c>
      <c r="AT202" s="313">
        <f t="shared" ref="AT202:AT265" si="85">(AR202*AS202)*0.8182</f>
        <v>268284.50719999999</v>
      </c>
      <c r="AU202" s="308">
        <v>6</v>
      </c>
      <c r="AV202" s="309">
        <f>+(217746+110522)/6</f>
        <v>54711.333333333336</v>
      </c>
      <c r="AW202" s="310">
        <f t="shared" ref="AW202:AW265" si="86">(AU202*AV202)*0.8182</f>
        <v>268588.87760000001</v>
      </c>
      <c r="AX202" s="311">
        <v>5</v>
      </c>
      <c r="AY202" s="312">
        <f>+(217746+54700)/5</f>
        <v>54489.2</v>
      </c>
      <c r="AZ202" s="313">
        <f t="shared" ref="AZ202:AZ265" si="87">(AX202*AY202)*0.8182</f>
        <v>222915.31720000002</v>
      </c>
      <c r="BA202" s="308">
        <v>1</v>
      </c>
      <c r="BB202" s="309">
        <v>47377</v>
      </c>
      <c r="BC202" s="310">
        <f t="shared" ref="BC202:BC265" si="88">(BA202*BB202)*0.8182</f>
        <v>38763.861400000002</v>
      </c>
      <c r="BD202" s="311"/>
      <c r="BE202" s="312"/>
      <c r="BF202" s="313">
        <f t="shared" ref="BF202:BF265" si="89">(BD202*BE202)*0.8182</f>
        <v>0</v>
      </c>
      <c r="BG202" s="308"/>
      <c r="BH202" s="309"/>
      <c r="BI202" s="310">
        <f t="shared" ref="BI202:BI265" si="90">(BG202*BH202)*0.8182</f>
        <v>0</v>
      </c>
      <c r="BJ202" s="311"/>
      <c r="BK202" s="312"/>
      <c r="BL202" s="313">
        <f t="shared" ref="BL202:BL265" si="91">(BJ202*BK202)*0.8182</f>
        <v>0</v>
      </c>
      <c r="BM202" s="308"/>
      <c r="BN202" s="309"/>
      <c r="BO202" s="310">
        <f t="shared" ref="BO202:BO265" si="92">(BM202*BN202)*0.8182</f>
        <v>0</v>
      </c>
      <c r="BP202" s="311"/>
      <c r="BQ202" s="312"/>
      <c r="BR202" s="313">
        <f t="shared" ref="BR202:BR265" si="93">(BP202*BQ202)*0.8182</f>
        <v>0</v>
      </c>
      <c r="BS202" s="308"/>
      <c r="BT202" s="309"/>
      <c r="BU202" s="310">
        <f t="shared" ref="BU202:BU265" si="94">(BS202*BT202)*0.8182</f>
        <v>0</v>
      </c>
      <c r="BV202" s="311"/>
      <c r="BW202" s="312"/>
      <c r="BX202" s="313">
        <f t="shared" ref="BX202:BX265" si="95">(BV202*BW202)*0.8182</f>
        <v>0</v>
      </c>
    </row>
    <row r="203" spans="1:80">
      <c r="A203" s="314" t="s">
        <v>451</v>
      </c>
      <c r="B203" s="315" t="s">
        <v>914</v>
      </c>
      <c r="C203" s="314">
        <v>247940</v>
      </c>
      <c r="D203" s="364">
        <v>9</v>
      </c>
      <c r="E203" s="308">
        <v>22</v>
      </c>
      <c r="F203" s="309">
        <f>+(696879+585702)/22</f>
        <v>58299.13636363636</v>
      </c>
      <c r="G203" s="310">
        <f t="shared" si="72"/>
        <v>1282581</v>
      </c>
      <c r="H203" s="311">
        <v>22</v>
      </c>
      <c r="I203" s="312">
        <f>+(696879+585702)/22</f>
        <v>58299.13636363636</v>
      </c>
      <c r="J203" s="313">
        <f t="shared" si="73"/>
        <v>1282581</v>
      </c>
      <c r="K203" s="308">
        <v>33</v>
      </c>
      <c r="L203" s="309">
        <f>+(1051823+635211)/33</f>
        <v>51122.242424242424</v>
      </c>
      <c r="M203" s="310">
        <f t="shared" si="74"/>
        <v>1687034</v>
      </c>
      <c r="N203" s="311">
        <f>18+15</f>
        <v>33</v>
      </c>
      <c r="O203" s="312">
        <f>+(936364+724411)/(18+15)</f>
        <v>50326.515151515152</v>
      </c>
      <c r="P203" s="313">
        <f t="shared" si="75"/>
        <v>1660775</v>
      </c>
      <c r="Q203" s="308">
        <v>17</v>
      </c>
      <c r="R203" s="309">
        <f>+(244801+471015)/17</f>
        <v>42106.823529411762</v>
      </c>
      <c r="S203" s="310">
        <f t="shared" si="76"/>
        <v>715816</v>
      </c>
      <c r="T203" s="311">
        <v>13</v>
      </c>
      <c r="U203" s="312">
        <f>+(240204+298403)/13</f>
        <v>41431.307692307695</v>
      </c>
      <c r="V203" s="313">
        <f t="shared" si="77"/>
        <v>538607</v>
      </c>
      <c r="W203" s="308">
        <v>18</v>
      </c>
      <c r="X203" s="309">
        <f>+(149961+522874)/18</f>
        <v>37379.722222222219</v>
      </c>
      <c r="Y203" s="310">
        <f t="shared" si="78"/>
        <v>672835</v>
      </c>
      <c r="Z203" s="311">
        <v>22</v>
      </c>
      <c r="AA203" s="312">
        <f>+(194402+633309)/22</f>
        <v>37623.227272727272</v>
      </c>
      <c r="AB203" s="313">
        <f t="shared" si="79"/>
        <v>827711</v>
      </c>
      <c r="AC203" s="308"/>
      <c r="AD203" s="309"/>
      <c r="AE203" s="310">
        <f t="shared" si="80"/>
        <v>0</v>
      </c>
      <c r="AF203" s="311"/>
      <c r="AG203" s="312"/>
      <c r="AH203" s="313">
        <f t="shared" si="81"/>
        <v>0</v>
      </c>
      <c r="AI203" s="308"/>
      <c r="AJ203" s="309"/>
      <c r="AK203" s="310">
        <f t="shared" si="82"/>
        <v>0</v>
      </c>
      <c r="AL203" s="380"/>
      <c r="AM203" s="312"/>
      <c r="AN203" s="313">
        <f t="shared" si="83"/>
        <v>0</v>
      </c>
      <c r="AO203" s="308">
        <v>1</v>
      </c>
      <c r="AP203" s="309">
        <v>65421</v>
      </c>
      <c r="AQ203" s="310">
        <f t="shared" si="84"/>
        <v>53527.462200000002</v>
      </c>
      <c r="AR203" s="311">
        <v>1</v>
      </c>
      <c r="AS203" s="312">
        <v>65421</v>
      </c>
      <c r="AT203" s="313">
        <f t="shared" si="85"/>
        <v>53527.462200000002</v>
      </c>
      <c r="AU203" s="308">
        <v>3</v>
      </c>
      <c r="AV203" s="309">
        <f>+(113055+59389)/3</f>
        <v>57481.333333333336</v>
      </c>
      <c r="AW203" s="310">
        <f t="shared" si="86"/>
        <v>141093.6808</v>
      </c>
      <c r="AX203" s="311">
        <v>3</v>
      </c>
      <c r="AY203" s="312">
        <f>+(113055+59389)/3</f>
        <v>57481.333333333336</v>
      </c>
      <c r="AZ203" s="313">
        <f t="shared" si="87"/>
        <v>141093.6808</v>
      </c>
      <c r="BA203" s="308">
        <v>2</v>
      </c>
      <c r="BB203" s="309">
        <f>107024/2</f>
        <v>53512</v>
      </c>
      <c r="BC203" s="310">
        <f t="shared" si="88"/>
        <v>87567.036800000002</v>
      </c>
      <c r="BD203" s="311">
        <v>4</v>
      </c>
      <c r="BE203" s="312">
        <f>+(153380+54586)/4</f>
        <v>51991.5</v>
      </c>
      <c r="BF203" s="313">
        <f t="shared" si="89"/>
        <v>170157.7812</v>
      </c>
      <c r="BG203" s="308">
        <v>3</v>
      </c>
      <c r="BH203" s="309">
        <f>+(91964+38500)/3</f>
        <v>43488</v>
      </c>
      <c r="BI203" s="310">
        <f t="shared" si="90"/>
        <v>106745.64480000001</v>
      </c>
      <c r="BJ203" s="311">
        <v>4</v>
      </c>
      <c r="BK203" s="312">
        <f>+(88503+75500)/4</f>
        <v>41000.75</v>
      </c>
      <c r="BL203" s="313">
        <f t="shared" si="91"/>
        <v>134187.25460000001</v>
      </c>
      <c r="BM203" s="308"/>
      <c r="BN203" s="309"/>
      <c r="BO203" s="310">
        <f t="shared" si="92"/>
        <v>0</v>
      </c>
      <c r="BP203" s="311"/>
      <c r="BQ203" s="312"/>
      <c r="BR203" s="313">
        <f t="shared" si="93"/>
        <v>0</v>
      </c>
      <c r="BS203" s="308"/>
      <c r="BT203" s="309"/>
      <c r="BU203" s="310">
        <f t="shared" si="94"/>
        <v>0</v>
      </c>
      <c r="BV203" s="311"/>
      <c r="BW203" s="312"/>
      <c r="BX203" s="313">
        <f t="shared" si="95"/>
        <v>0</v>
      </c>
    </row>
    <row r="204" spans="1:80">
      <c r="A204" s="314" t="s">
        <v>451</v>
      </c>
      <c r="B204" s="315" t="s">
        <v>915</v>
      </c>
      <c r="C204" s="314">
        <v>157711</v>
      </c>
      <c r="D204" s="364">
        <v>9</v>
      </c>
      <c r="E204" s="308">
        <f>17+31</f>
        <v>48</v>
      </c>
      <c r="F204" s="309">
        <f>+(1019390+1800823)/(17+31)</f>
        <v>58754.4375</v>
      </c>
      <c r="G204" s="310">
        <f t="shared" si="72"/>
        <v>2820213</v>
      </c>
      <c r="H204" s="311">
        <f>16+31</f>
        <v>47</v>
      </c>
      <c r="I204" s="312">
        <f>+(996323+1782449)/(16+31)</f>
        <v>59122.808510638301</v>
      </c>
      <c r="J204" s="313">
        <f t="shared" si="73"/>
        <v>2778772</v>
      </c>
      <c r="K204" s="308">
        <f>23+10</f>
        <v>33</v>
      </c>
      <c r="L204" s="309">
        <f>+(1136717+465044)/(23+10)</f>
        <v>48538.21212121212</v>
      </c>
      <c r="M204" s="310">
        <f t="shared" si="74"/>
        <v>1601761</v>
      </c>
      <c r="N204" s="311">
        <v>34</v>
      </c>
      <c r="O204" s="312">
        <f>+(1179789+463078)/34</f>
        <v>48319.617647058825</v>
      </c>
      <c r="P204" s="313">
        <f t="shared" si="75"/>
        <v>1642867</v>
      </c>
      <c r="Q204" s="308">
        <f>21+13</f>
        <v>34</v>
      </c>
      <c r="R204" s="309">
        <f>+(862542+520593)/(21+13)</f>
        <v>40680.441176470587</v>
      </c>
      <c r="S204" s="310">
        <f t="shared" si="76"/>
        <v>1383135</v>
      </c>
      <c r="T204" s="311">
        <v>28</v>
      </c>
      <c r="U204" s="312">
        <f>+(764533+348993)/28</f>
        <v>39768.785714285717</v>
      </c>
      <c r="V204" s="313">
        <f t="shared" si="77"/>
        <v>1113526</v>
      </c>
      <c r="W204" s="308">
        <v>21</v>
      </c>
      <c r="X204" s="309">
        <f>+(488062+266205)/21</f>
        <v>35917.476190476191</v>
      </c>
      <c r="Y204" s="310">
        <f t="shared" si="78"/>
        <v>754267</v>
      </c>
      <c r="Z204" s="311">
        <v>19</v>
      </c>
      <c r="AA204" s="312">
        <f>+(384681+288641)/19</f>
        <v>35438</v>
      </c>
      <c r="AB204" s="313">
        <f t="shared" si="79"/>
        <v>673322</v>
      </c>
      <c r="AC204" s="308"/>
      <c r="AD204" s="309"/>
      <c r="AE204" s="310">
        <f t="shared" si="80"/>
        <v>0</v>
      </c>
      <c r="AF204" s="311"/>
      <c r="AG204" s="312"/>
      <c r="AH204" s="313">
        <f t="shared" si="81"/>
        <v>0</v>
      </c>
      <c r="AI204" s="308"/>
      <c r="AJ204" s="309"/>
      <c r="AK204" s="310">
        <f t="shared" si="82"/>
        <v>0</v>
      </c>
      <c r="AL204" s="380"/>
      <c r="AM204" s="312"/>
      <c r="AN204" s="313">
        <f t="shared" si="83"/>
        <v>0</v>
      </c>
      <c r="AO204" s="308">
        <v>7</v>
      </c>
      <c r="AP204" s="309">
        <f>+(144311+369466)/7</f>
        <v>73396.71428571429</v>
      </c>
      <c r="AQ204" s="310">
        <f t="shared" si="84"/>
        <v>420372.34140000003</v>
      </c>
      <c r="AR204" s="311">
        <v>7</v>
      </c>
      <c r="AS204" s="312">
        <f>+(144311+369466)/7</f>
        <v>73396.71428571429</v>
      </c>
      <c r="AT204" s="313">
        <f t="shared" si="85"/>
        <v>420372.34140000003</v>
      </c>
      <c r="AU204" s="308">
        <v>1</v>
      </c>
      <c r="AV204" s="309">
        <v>66396</v>
      </c>
      <c r="AW204" s="310">
        <f t="shared" si="86"/>
        <v>54325.207200000004</v>
      </c>
      <c r="AX204" s="311"/>
      <c r="AY204" s="312"/>
      <c r="AZ204" s="313">
        <f t="shared" si="87"/>
        <v>0</v>
      </c>
      <c r="BA204" s="308">
        <v>5</v>
      </c>
      <c r="BB204" s="309">
        <f>+(281790+54346)/5</f>
        <v>67227.199999999997</v>
      </c>
      <c r="BC204" s="310">
        <f t="shared" si="88"/>
        <v>275026.47519999999</v>
      </c>
      <c r="BD204" s="311">
        <v>6</v>
      </c>
      <c r="BE204" s="312">
        <f>+(335613+54346)/6</f>
        <v>64993.166666666664</v>
      </c>
      <c r="BF204" s="313">
        <f t="shared" si="89"/>
        <v>319064.45380000002</v>
      </c>
      <c r="BG204" s="308">
        <v>1</v>
      </c>
      <c r="BH204" s="309">
        <v>43128</v>
      </c>
      <c r="BI204" s="310">
        <f t="shared" si="90"/>
        <v>35287.329600000005</v>
      </c>
      <c r="BJ204" s="311">
        <v>4</v>
      </c>
      <c r="BK204" s="312">
        <f>+(43128+123660)/4</f>
        <v>41697</v>
      </c>
      <c r="BL204" s="313">
        <f t="shared" si="91"/>
        <v>136465.94160000002</v>
      </c>
      <c r="BM204" s="308"/>
      <c r="BN204" s="309"/>
      <c r="BO204" s="310">
        <f t="shared" si="92"/>
        <v>0</v>
      </c>
      <c r="BP204" s="311"/>
      <c r="BQ204" s="312"/>
      <c r="BR204" s="313">
        <f t="shared" si="93"/>
        <v>0</v>
      </c>
      <c r="BS204" s="308"/>
      <c r="BT204" s="309"/>
      <c r="BU204" s="310">
        <f t="shared" si="94"/>
        <v>0</v>
      </c>
      <c r="BV204" s="311"/>
      <c r="BW204" s="312"/>
      <c r="BX204" s="313">
        <f t="shared" si="95"/>
        <v>0</v>
      </c>
    </row>
    <row r="205" spans="1:80">
      <c r="A205" s="314" t="s">
        <v>451</v>
      </c>
      <c r="B205" s="315" t="s">
        <v>916</v>
      </c>
      <c r="C205" s="314">
        <v>157739</v>
      </c>
      <c r="D205" s="364">
        <v>9</v>
      </c>
      <c r="E205" s="308">
        <f>25+22</f>
        <v>47</v>
      </c>
      <c r="F205" s="309">
        <f>+(1517174+1253228)/(25+22)</f>
        <v>58944.723404255317</v>
      </c>
      <c r="G205" s="310">
        <f t="shared" si="72"/>
        <v>2770402</v>
      </c>
      <c r="H205" s="311">
        <f>24+19</f>
        <v>43</v>
      </c>
      <c r="I205" s="312">
        <f>+(1462657+1092032)/(24+19)</f>
        <v>59411.372093023259</v>
      </c>
      <c r="J205" s="313">
        <f t="shared" si="73"/>
        <v>2554689</v>
      </c>
      <c r="K205" s="308">
        <v>24</v>
      </c>
      <c r="L205" s="309">
        <f>+(703930+407331)/24</f>
        <v>46302.541666666664</v>
      </c>
      <c r="M205" s="310">
        <f t="shared" si="74"/>
        <v>1111261</v>
      </c>
      <c r="N205" s="311">
        <v>23</v>
      </c>
      <c r="O205" s="312">
        <f>+(620583+463531)/23</f>
        <v>47135.391304347824</v>
      </c>
      <c r="P205" s="313">
        <f t="shared" si="75"/>
        <v>1084114</v>
      </c>
      <c r="Q205" s="308">
        <v>9</v>
      </c>
      <c r="R205" s="309">
        <f>+(204721+181780)/9</f>
        <v>42944.555555555555</v>
      </c>
      <c r="S205" s="310">
        <f t="shared" si="76"/>
        <v>386501</v>
      </c>
      <c r="T205" s="311">
        <v>5</v>
      </c>
      <c r="U205" s="312">
        <f>+(77451+146772)/5</f>
        <v>44844.6</v>
      </c>
      <c r="V205" s="313">
        <f t="shared" si="77"/>
        <v>224223</v>
      </c>
      <c r="W205" s="308">
        <v>6</v>
      </c>
      <c r="X205" s="309">
        <f>215346/6</f>
        <v>35891</v>
      </c>
      <c r="Y205" s="310">
        <f t="shared" si="78"/>
        <v>215346</v>
      </c>
      <c r="Z205" s="311">
        <v>10</v>
      </c>
      <c r="AA205" s="312">
        <f>+(118400+253100)/10</f>
        <v>37150</v>
      </c>
      <c r="AB205" s="313">
        <f t="shared" si="79"/>
        <v>371500</v>
      </c>
      <c r="AC205" s="308"/>
      <c r="AD205" s="309"/>
      <c r="AE205" s="310">
        <f t="shared" si="80"/>
        <v>0</v>
      </c>
      <c r="AF205" s="311"/>
      <c r="AG205" s="312"/>
      <c r="AH205" s="313">
        <f t="shared" si="81"/>
        <v>0</v>
      </c>
      <c r="AI205" s="308"/>
      <c r="AJ205" s="309"/>
      <c r="AK205" s="310">
        <f t="shared" si="82"/>
        <v>0</v>
      </c>
      <c r="AL205" s="380"/>
      <c r="AM205" s="312"/>
      <c r="AN205" s="313">
        <f t="shared" si="83"/>
        <v>0</v>
      </c>
      <c r="AO205" s="308">
        <v>9</v>
      </c>
      <c r="AP205" s="309">
        <f>+(71663+533662)/9</f>
        <v>67258.333333333328</v>
      </c>
      <c r="AQ205" s="310">
        <f t="shared" si="84"/>
        <v>495276.91500000004</v>
      </c>
      <c r="AR205" s="311">
        <v>9</v>
      </c>
      <c r="AS205" s="312">
        <f>+(533662+71663)/9</f>
        <v>67258.333333333328</v>
      </c>
      <c r="AT205" s="313">
        <f t="shared" si="85"/>
        <v>495276.91500000004</v>
      </c>
      <c r="AU205" s="308">
        <v>6</v>
      </c>
      <c r="AV205" s="309">
        <f>+(267177+102580)/6</f>
        <v>61626.166666666664</v>
      </c>
      <c r="AW205" s="310">
        <f t="shared" si="86"/>
        <v>302535.17739999999</v>
      </c>
      <c r="AX205" s="311">
        <v>7</v>
      </c>
      <c r="AY205" s="312">
        <f>+(242913+156100)/7</f>
        <v>57001.857142857145</v>
      </c>
      <c r="AZ205" s="313">
        <f t="shared" si="87"/>
        <v>326472.43660000002</v>
      </c>
      <c r="BA205" s="308">
        <v>3</v>
      </c>
      <c r="BB205" s="309">
        <f>+(93250+48022)/3</f>
        <v>47090.666666666664</v>
      </c>
      <c r="BC205" s="310">
        <f t="shared" si="88"/>
        <v>115588.7504</v>
      </c>
      <c r="BD205" s="311">
        <v>2</v>
      </c>
      <c r="BE205" s="312">
        <f>87721/2</f>
        <v>43860.5</v>
      </c>
      <c r="BF205" s="313">
        <f t="shared" si="89"/>
        <v>71773.32220000001</v>
      </c>
      <c r="BG205" s="308">
        <v>2</v>
      </c>
      <c r="BH205" s="309">
        <f>+(38240+42024)/2</f>
        <v>40132</v>
      </c>
      <c r="BI205" s="310">
        <f t="shared" si="90"/>
        <v>65672.00480000001</v>
      </c>
      <c r="BJ205" s="311">
        <v>1</v>
      </c>
      <c r="BK205" s="312">
        <v>42024</v>
      </c>
      <c r="BL205" s="313">
        <f t="shared" si="91"/>
        <v>34384.036800000002</v>
      </c>
      <c r="BM205" s="308"/>
      <c r="BN205" s="309"/>
      <c r="BO205" s="310">
        <f t="shared" si="92"/>
        <v>0</v>
      </c>
      <c r="BP205" s="311"/>
      <c r="BQ205" s="312"/>
      <c r="BR205" s="313">
        <f t="shared" si="93"/>
        <v>0</v>
      </c>
      <c r="BS205" s="308"/>
      <c r="BT205" s="309"/>
      <c r="BU205" s="310">
        <f t="shared" si="94"/>
        <v>0</v>
      </c>
      <c r="BV205" s="311"/>
      <c r="BW205" s="312"/>
      <c r="BX205" s="313">
        <f t="shared" si="95"/>
        <v>0</v>
      </c>
    </row>
    <row r="206" spans="1:80">
      <c r="A206" s="314" t="s">
        <v>451</v>
      </c>
      <c r="B206" s="315" t="s">
        <v>917</v>
      </c>
      <c r="C206" s="314">
        <v>157483</v>
      </c>
      <c r="D206" s="364">
        <v>9</v>
      </c>
      <c r="E206" s="308">
        <f>12+33</f>
        <v>45</v>
      </c>
      <c r="F206" s="309">
        <f>+(749588+1962489)/(12+33)</f>
        <v>60268.37777777778</v>
      </c>
      <c r="G206" s="310">
        <f t="shared" si="72"/>
        <v>2712077</v>
      </c>
      <c r="H206" s="311">
        <f>11+31</f>
        <v>42</v>
      </c>
      <c r="I206" s="312">
        <f>+(680501+1797985)/(11+31)</f>
        <v>59011.571428571428</v>
      </c>
      <c r="J206" s="313">
        <f t="shared" si="73"/>
        <v>2478486</v>
      </c>
      <c r="K206" s="308">
        <f>17+9</f>
        <v>26</v>
      </c>
      <c r="L206" s="309">
        <f>+(820109+413928)/(17+9)</f>
        <v>47462.961538461539</v>
      </c>
      <c r="M206" s="310">
        <f t="shared" si="74"/>
        <v>1234037</v>
      </c>
      <c r="N206" s="311">
        <f>16+12</f>
        <v>28</v>
      </c>
      <c r="O206" s="312">
        <f>+(762594+546728)/(16+12)</f>
        <v>46761.5</v>
      </c>
      <c r="P206" s="313">
        <f t="shared" si="75"/>
        <v>1309322</v>
      </c>
      <c r="Q206" s="308">
        <v>14</v>
      </c>
      <c r="R206" s="309">
        <f>+(166165+410286)/14</f>
        <v>41175.071428571428</v>
      </c>
      <c r="S206" s="310">
        <f t="shared" si="76"/>
        <v>576451</v>
      </c>
      <c r="T206" s="311">
        <v>17</v>
      </c>
      <c r="U206" s="312">
        <f>+(254637+450748)/17</f>
        <v>41493.23529411765</v>
      </c>
      <c r="V206" s="313">
        <f t="shared" si="77"/>
        <v>705385</v>
      </c>
      <c r="W206" s="308">
        <v>17</v>
      </c>
      <c r="X206" s="309">
        <f>+(267291+375511)/17</f>
        <v>37811.882352941175</v>
      </c>
      <c r="Y206" s="310">
        <f t="shared" si="78"/>
        <v>642802</v>
      </c>
      <c r="Z206" s="311">
        <v>18</v>
      </c>
      <c r="AA206" s="312">
        <f>+(310035+361370)/18</f>
        <v>37300.277777777781</v>
      </c>
      <c r="AB206" s="313">
        <f t="shared" si="79"/>
        <v>671405</v>
      </c>
      <c r="AC206" s="308"/>
      <c r="AD206" s="309"/>
      <c r="AE206" s="310">
        <f t="shared" si="80"/>
        <v>0</v>
      </c>
      <c r="AF206" s="311"/>
      <c r="AG206" s="312"/>
      <c r="AH206" s="313">
        <f t="shared" si="81"/>
        <v>0</v>
      </c>
      <c r="AI206" s="308"/>
      <c r="AJ206" s="309"/>
      <c r="AK206" s="310">
        <f t="shared" si="82"/>
        <v>0</v>
      </c>
      <c r="AL206" s="380"/>
      <c r="AM206" s="312"/>
      <c r="AN206" s="313">
        <f t="shared" si="83"/>
        <v>0</v>
      </c>
      <c r="AO206" s="308">
        <v>2</v>
      </c>
      <c r="AP206" s="309">
        <f>156810/2</f>
        <v>78405</v>
      </c>
      <c r="AQ206" s="310">
        <f t="shared" si="84"/>
        <v>128301.94200000001</v>
      </c>
      <c r="AR206" s="311">
        <v>6</v>
      </c>
      <c r="AS206" s="312">
        <f>+(222231+211098)/6</f>
        <v>72221.5</v>
      </c>
      <c r="AT206" s="313">
        <f t="shared" si="85"/>
        <v>354549.78779999999</v>
      </c>
      <c r="AU206" s="308">
        <v>11</v>
      </c>
      <c r="AV206" s="309">
        <f>+(392996+227724)/11</f>
        <v>56429.090909090912</v>
      </c>
      <c r="AW206" s="310">
        <f t="shared" si="86"/>
        <v>507873.10400000005</v>
      </c>
      <c r="AX206" s="311">
        <v>10</v>
      </c>
      <c r="AY206" s="312">
        <f>+(278001+271662)/10</f>
        <v>54966.3</v>
      </c>
      <c r="AZ206" s="313">
        <f t="shared" si="87"/>
        <v>449734.26660000003</v>
      </c>
      <c r="BA206" s="308">
        <v>6</v>
      </c>
      <c r="BB206" s="309">
        <f>+(159749+159259)/6</f>
        <v>53168</v>
      </c>
      <c r="BC206" s="310">
        <f t="shared" si="88"/>
        <v>261012.3456</v>
      </c>
      <c r="BD206" s="311">
        <v>5</v>
      </c>
      <c r="BE206" s="312">
        <f>+(159748+111237)/5</f>
        <v>54197</v>
      </c>
      <c r="BF206" s="313">
        <f t="shared" si="89"/>
        <v>221719.927</v>
      </c>
      <c r="BG206" s="308">
        <v>5</v>
      </c>
      <c r="BH206" s="309">
        <f>+(145315+82937)/5</f>
        <v>45650.400000000001</v>
      </c>
      <c r="BI206" s="310">
        <f t="shared" si="90"/>
        <v>186755.78640000001</v>
      </c>
      <c r="BJ206" s="311">
        <v>6</v>
      </c>
      <c r="BK206" s="312">
        <f>+(135895+122937)/6</f>
        <v>43138.666666666664</v>
      </c>
      <c r="BL206" s="313">
        <f t="shared" si="91"/>
        <v>211776.34240000002</v>
      </c>
      <c r="BM206" s="308"/>
      <c r="BN206" s="309"/>
      <c r="BO206" s="310">
        <f t="shared" si="92"/>
        <v>0</v>
      </c>
      <c r="BP206" s="311"/>
      <c r="BQ206" s="312"/>
      <c r="BR206" s="313">
        <f t="shared" si="93"/>
        <v>0</v>
      </c>
      <c r="BS206" s="308"/>
      <c r="BT206" s="309"/>
      <c r="BU206" s="310">
        <f t="shared" si="94"/>
        <v>0</v>
      </c>
      <c r="BV206" s="311"/>
      <c r="BW206" s="312"/>
      <c r="BX206" s="313">
        <f t="shared" si="95"/>
        <v>0</v>
      </c>
    </row>
    <row r="207" spans="1:80">
      <c r="A207" s="314" t="s">
        <v>451</v>
      </c>
      <c r="B207" s="414" t="s">
        <v>912</v>
      </c>
      <c r="C207" s="415">
        <v>156790</v>
      </c>
      <c r="D207" s="416">
        <v>10</v>
      </c>
      <c r="E207" s="308">
        <f>9+25</f>
        <v>34</v>
      </c>
      <c r="F207" s="309">
        <f>+(538362+1458734)/(9+25)</f>
        <v>58738.117647058825</v>
      </c>
      <c r="G207" s="310">
        <f t="shared" si="72"/>
        <v>1997096</v>
      </c>
      <c r="H207" s="311">
        <v>36</v>
      </c>
      <c r="I207" s="312">
        <f>+(562149+1521643)/36</f>
        <v>57883.111111111109</v>
      </c>
      <c r="J207" s="313">
        <f t="shared" si="73"/>
        <v>2083792</v>
      </c>
      <c r="K207" s="308">
        <f>17+15</f>
        <v>32</v>
      </c>
      <c r="L207" s="309">
        <f>+(828659+733130)/(17+15)</f>
        <v>48805.90625</v>
      </c>
      <c r="M207" s="310">
        <f t="shared" si="74"/>
        <v>1561789</v>
      </c>
      <c r="N207" s="311">
        <v>30</v>
      </c>
      <c r="O207" s="312">
        <f>+(740304+735476)/(15+15)</f>
        <v>49192.666666666664</v>
      </c>
      <c r="P207" s="313">
        <f t="shared" si="75"/>
        <v>1475780</v>
      </c>
      <c r="Q207" s="308">
        <v>15</v>
      </c>
      <c r="R207" s="309">
        <f>+(365076+265219)/15</f>
        <v>42019.666666666664</v>
      </c>
      <c r="S207" s="310">
        <f t="shared" si="76"/>
        <v>630295</v>
      </c>
      <c r="T207" s="311">
        <v>8</v>
      </c>
      <c r="U207" s="312">
        <f>+(235372+92448)/8</f>
        <v>40977.5</v>
      </c>
      <c r="V207" s="313">
        <f t="shared" si="77"/>
        <v>327820</v>
      </c>
      <c r="W207" s="308">
        <v>18</v>
      </c>
      <c r="X207" s="309">
        <f>+(262727+431730)/18</f>
        <v>38580.944444444445</v>
      </c>
      <c r="Y207" s="310">
        <f t="shared" si="78"/>
        <v>694457</v>
      </c>
      <c r="Z207" s="311">
        <v>9</v>
      </c>
      <c r="AA207" s="312">
        <f>+(110515+239145)/9</f>
        <v>38851.111111111109</v>
      </c>
      <c r="AB207" s="313">
        <f t="shared" si="79"/>
        <v>349660</v>
      </c>
      <c r="AC207" s="308"/>
      <c r="AD207" s="309"/>
      <c r="AE207" s="310">
        <f t="shared" si="80"/>
        <v>0</v>
      </c>
      <c r="AF207" s="311"/>
      <c r="AG207" s="312"/>
      <c r="AH207" s="313">
        <f t="shared" si="81"/>
        <v>0</v>
      </c>
      <c r="AI207" s="308"/>
      <c r="AJ207" s="309"/>
      <c r="AK207" s="310">
        <f t="shared" si="82"/>
        <v>0</v>
      </c>
      <c r="AL207" s="380"/>
      <c r="AM207" s="312"/>
      <c r="AN207" s="313">
        <f t="shared" si="83"/>
        <v>0</v>
      </c>
      <c r="AO207" s="308">
        <v>8</v>
      </c>
      <c r="AP207" s="309">
        <f>+(204261+373007)/8</f>
        <v>72158.5</v>
      </c>
      <c r="AQ207" s="310">
        <f t="shared" si="84"/>
        <v>472320.6776</v>
      </c>
      <c r="AR207" s="311">
        <v>9</v>
      </c>
      <c r="AS207" s="312">
        <f>+(204261+438428)/9</f>
        <v>71409.888888888891</v>
      </c>
      <c r="AT207" s="313">
        <f t="shared" si="85"/>
        <v>525848.1398</v>
      </c>
      <c r="AU207" s="308">
        <v>4</v>
      </c>
      <c r="AV207" s="309">
        <f>+(194865+67987)/4</f>
        <v>65713</v>
      </c>
      <c r="AW207" s="310">
        <f t="shared" si="86"/>
        <v>215065.50640000001</v>
      </c>
      <c r="AX207" s="311">
        <v>6</v>
      </c>
      <c r="AY207" s="312">
        <f>+(198422+178427)/6</f>
        <v>62808.166666666664</v>
      </c>
      <c r="AZ207" s="313">
        <f t="shared" si="87"/>
        <v>308337.8518</v>
      </c>
      <c r="BA207" s="308">
        <v>4</v>
      </c>
      <c r="BB207" s="309">
        <f>+(169223+47377)/4</f>
        <v>54150</v>
      </c>
      <c r="BC207" s="310">
        <f t="shared" si="88"/>
        <v>177222.12</v>
      </c>
      <c r="BD207" s="311">
        <v>3</v>
      </c>
      <c r="BE207" s="312">
        <f>169223/3</f>
        <v>56407.666666666664</v>
      </c>
      <c r="BF207" s="313">
        <f t="shared" si="89"/>
        <v>138458.2586</v>
      </c>
      <c r="BG207" s="308">
        <v>3</v>
      </c>
      <c r="BH207" s="309">
        <f>157912/3</f>
        <v>52637.333333333336</v>
      </c>
      <c r="BI207" s="310">
        <f t="shared" si="90"/>
        <v>129203.5984</v>
      </c>
      <c r="BJ207" s="311">
        <v>3</v>
      </c>
      <c r="BK207" s="312">
        <f>+(112912+45000)/3</f>
        <v>52637.333333333336</v>
      </c>
      <c r="BL207" s="313">
        <f t="shared" si="91"/>
        <v>129203.5984</v>
      </c>
      <c r="BM207" s="308"/>
      <c r="BN207" s="309"/>
      <c r="BO207" s="310">
        <f t="shared" si="92"/>
        <v>0</v>
      </c>
      <c r="BP207" s="311"/>
      <c r="BQ207" s="312"/>
      <c r="BR207" s="313">
        <f t="shared" si="93"/>
        <v>0</v>
      </c>
      <c r="BS207" s="308"/>
      <c r="BT207" s="309"/>
      <c r="BU207" s="310">
        <f t="shared" si="94"/>
        <v>0</v>
      </c>
      <c r="BV207" s="311"/>
      <c r="BW207" s="312"/>
      <c r="BX207" s="313">
        <f t="shared" si="95"/>
        <v>0</v>
      </c>
    </row>
    <row r="208" spans="1:80">
      <c r="A208" s="314" t="s">
        <v>451</v>
      </c>
      <c r="B208" s="315" t="s">
        <v>918</v>
      </c>
      <c r="C208" s="314">
        <v>156851</v>
      </c>
      <c r="D208" s="364">
        <v>10</v>
      </c>
      <c r="E208" s="308">
        <v>22</v>
      </c>
      <c r="F208" s="309">
        <f>+(417998+877326)/22</f>
        <v>58878.36363636364</v>
      </c>
      <c r="G208" s="310">
        <f t="shared" si="72"/>
        <v>1295324</v>
      </c>
      <c r="H208" s="311">
        <v>22</v>
      </c>
      <c r="I208" s="312">
        <f>+(465839+812486)/22</f>
        <v>58105.681818181816</v>
      </c>
      <c r="J208" s="313">
        <f t="shared" si="73"/>
        <v>1278325</v>
      </c>
      <c r="K208" s="308">
        <v>16</v>
      </c>
      <c r="L208" s="309">
        <f>+(200314+588968)/16</f>
        <v>49330.125</v>
      </c>
      <c r="M208" s="310">
        <f t="shared" si="74"/>
        <v>789282</v>
      </c>
      <c r="N208" s="311">
        <v>14</v>
      </c>
      <c r="O208" s="312">
        <f>+(152075+527255)/14</f>
        <v>48523.571428571428</v>
      </c>
      <c r="P208" s="313">
        <f t="shared" si="75"/>
        <v>679330</v>
      </c>
      <c r="Q208" s="308">
        <v>2</v>
      </c>
      <c r="R208" s="309">
        <f>82838/2</f>
        <v>41419</v>
      </c>
      <c r="S208" s="310">
        <f t="shared" si="76"/>
        <v>82838</v>
      </c>
      <c r="T208" s="311">
        <v>4</v>
      </c>
      <c r="U208" s="312">
        <f>165208/4</f>
        <v>41302</v>
      </c>
      <c r="V208" s="313">
        <f t="shared" si="77"/>
        <v>165208</v>
      </c>
      <c r="W208" s="308">
        <v>7</v>
      </c>
      <c r="X208" s="309">
        <f>+(37500+222153)/7</f>
        <v>37093.285714285717</v>
      </c>
      <c r="Y208" s="310">
        <f t="shared" si="78"/>
        <v>259653.00000000003</v>
      </c>
      <c r="Z208" s="311">
        <v>3</v>
      </c>
      <c r="AA208" s="312">
        <f>+(37500+75000)/3</f>
        <v>37500</v>
      </c>
      <c r="AB208" s="313">
        <f t="shared" si="79"/>
        <v>112500</v>
      </c>
      <c r="AC208" s="308"/>
      <c r="AD208" s="309"/>
      <c r="AE208" s="310">
        <f t="shared" si="80"/>
        <v>0</v>
      </c>
      <c r="AF208" s="311"/>
      <c r="AG208" s="312"/>
      <c r="AH208" s="313">
        <f t="shared" si="81"/>
        <v>0</v>
      </c>
      <c r="AI208" s="308"/>
      <c r="AJ208" s="309"/>
      <c r="AK208" s="310">
        <f t="shared" si="82"/>
        <v>0</v>
      </c>
      <c r="AL208" s="380"/>
      <c r="AM208" s="312"/>
      <c r="AN208" s="313">
        <f t="shared" si="83"/>
        <v>0</v>
      </c>
      <c r="AO208" s="308">
        <v>2</v>
      </c>
      <c r="AP208" s="309">
        <f>+(75884+79700)/2</f>
        <v>77792</v>
      </c>
      <c r="AQ208" s="310">
        <f t="shared" si="84"/>
        <v>127298.8288</v>
      </c>
      <c r="AR208" s="311">
        <v>3</v>
      </c>
      <c r="AS208" s="312">
        <f>+(75884+156137)/3</f>
        <v>77340.333333333328</v>
      </c>
      <c r="AT208" s="313">
        <f t="shared" si="85"/>
        <v>189839.5822</v>
      </c>
      <c r="AU208" s="308">
        <v>1</v>
      </c>
      <c r="AV208" s="309">
        <v>74637</v>
      </c>
      <c r="AW208" s="310">
        <f t="shared" si="86"/>
        <v>61067.993399999999</v>
      </c>
      <c r="AX208" s="311"/>
      <c r="AY208" s="312"/>
      <c r="AZ208" s="313">
        <f t="shared" si="87"/>
        <v>0</v>
      </c>
      <c r="BA208" s="308">
        <v>1</v>
      </c>
      <c r="BB208" s="309">
        <v>47506</v>
      </c>
      <c r="BC208" s="310">
        <f t="shared" si="88"/>
        <v>38869.409200000002</v>
      </c>
      <c r="BD208" s="311"/>
      <c r="BE208" s="312"/>
      <c r="BF208" s="313">
        <f t="shared" si="89"/>
        <v>0</v>
      </c>
      <c r="BG208" s="308"/>
      <c r="BH208" s="309"/>
      <c r="BI208" s="310">
        <f t="shared" si="90"/>
        <v>0</v>
      </c>
      <c r="BJ208" s="311">
        <v>1</v>
      </c>
      <c r="BK208" s="312">
        <v>45000</v>
      </c>
      <c r="BL208" s="313">
        <f t="shared" si="91"/>
        <v>36819</v>
      </c>
      <c r="BM208" s="308"/>
      <c r="BN208" s="309"/>
      <c r="BO208" s="310">
        <f t="shared" si="92"/>
        <v>0</v>
      </c>
      <c r="BP208" s="311"/>
      <c r="BQ208" s="312"/>
      <c r="BR208" s="313">
        <f t="shared" si="93"/>
        <v>0</v>
      </c>
      <c r="BS208" s="308"/>
      <c r="BT208" s="309"/>
      <c r="BU208" s="310">
        <f t="shared" si="94"/>
        <v>0</v>
      </c>
      <c r="BV208" s="311"/>
      <c r="BW208" s="312"/>
      <c r="BX208" s="313">
        <f t="shared" si="95"/>
        <v>0</v>
      </c>
    </row>
    <row r="209" spans="1:80">
      <c r="A209" s="314" t="s">
        <v>451</v>
      </c>
      <c r="B209" s="315" t="s">
        <v>919</v>
      </c>
      <c r="C209" s="314">
        <v>156860</v>
      </c>
      <c r="D209" s="364">
        <v>10</v>
      </c>
      <c r="E209" s="308">
        <v>16</v>
      </c>
      <c r="F209" s="309">
        <f>+(627371+305811)/16</f>
        <v>58323.875</v>
      </c>
      <c r="G209" s="310">
        <f t="shared" si="72"/>
        <v>933182</v>
      </c>
      <c r="H209" s="311">
        <v>14</v>
      </c>
      <c r="I209" s="312">
        <f>+(611204+223157)/14</f>
        <v>59597.214285714283</v>
      </c>
      <c r="J209" s="313">
        <f t="shared" si="73"/>
        <v>834361</v>
      </c>
      <c r="K209" s="308">
        <v>19</v>
      </c>
      <c r="L209" s="309">
        <f>+(562289+319726)/19</f>
        <v>46421.84210526316</v>
      </c>
      <c r="M209" s="310">
        <f t="shared" si="74"/>
        <v>882015</v>
      </c>
      <c r="N209" s="311">
        <v>20</v>
      </c>
      <c r="O209" s="312">
        <f>+(545308+361565)/20</f>
        <v>45343.65</v>
      </c>
      <c r="P209" s="313">
        <f t="shared" si="75"/>
        <v>906873</v>
      </c>
      <c r="Q209" s="308">
        <v>9</v>
      </c>
      <c r="R209" s="309">
        <f>+(153935+197990)/9</f>
        <v>39102.777777777781</v>
      </c>
      <c r="S209" s="310">
        <f t="shared" si="76"/>
        <v>351925</v>
      </c>
      <c r="T209" s="311">
        <v>6</v>
      </c>
      <c r="U209" s="312">
        <f>+(153935+78150)/6</f>
        <v>38680.833333333336</v>
      </c>
      <c r="V209" s="313">
        <f t="shared" si="77"/>
        <v>232085</v>
      </c>
      <c r="W209" s="308">
        <v>12</v>
      </c>
      <c r="X209" s="309">
        <f>+(111140+335627)/12</f>
        <v>37230.583333333336</v>
      </c>
      <c r="Y209" s="310">
        <f t="shared" si="78"/>
        <v>446767</v>
      </c>
      <c r="Z209" s="311">
        <v>14</v>
      </c>
      <c r="AA209" s="312">
        <f>+(147140+366476)/14</f>
        <v>36686.857142857145</v>
      </c>
      <c r="AB209" s="313">
        <f t="shared" si="79"/>
        <v>513616</v>
      </c>
      <c r="AC209" s="308"/>
      <c r="AD209" s="309"/>
      <c r="AE209" s="310">
        <f t="shared" si="80"/>
        <v>0</v>
      </c>
      <c r="AF209" s="311"/>
      <c r="AG209" s="312"/>
      <c r="AH209" s="313">
        <f t="shared" si="81"/>
        <v>0</v>
      </c>
      <c r="AI209" s="308"/>
      <c r="AJ209" s="309"/>
      <c r="AK209" s="310">
        <f t="shared" si="82"/>
        <v>0</v>
      </c>
      <c r="AL209" s="380"/>
      <c r="AM209" s="312"/>
      <c r="AN209" s="313">
        <f t="shared" si="83"/>
        <v>0</v>
      </c>
      <c r="AO209" s="308">
        <v>3</v>
      </c>
      <c r="AP209" s="309">
        <f>+(90023+121840)/3</f>
        <v>70621</v>
      </c>
      <c r="AQ209" s="310">
        <f t="shared" si="84"/>
        <v>173346.30660000001</v>
      </c>
      <c r="AR209" s="311">
        <v>3</v>
      </c>
      <c r="AS209" s="312">
        <f>+(90023+121840)/3</f>
        <v>70621</v>
      </c>
      <c r="AT209" s="313">
        <f t="shared" si="85"/>
        <v>173346.30660000001</v>
      </c>
      <c r="AU209" s="308">
        <v>6</v>
      </c>
      <c r="AV209" s="309">
        <f>+(275767+51846)/6</f>
        <v>54602.166666666664</v>
      </c>
      <c r="AW209" s="310">
        <f t="shared" si="86"/>
        <v>268052.95660000003</v>
      </c>
      <c r="AX209" s="311">
        <v>4</v>
      </c>
      <c r="AY209" s="312">
        <f>+(169633+51846)/4</f>
        <v>55369.75</v>
      </c>
      <c r="AZ209" s="313">
        <f t="shared" si="87"/>
        <v>181214.11780000001</v>
      </c>
      <c r="BA209" s="308">
        <v>1</v>
      </c>
      <c r="BB209" s="309">
        <v>42493</v>
      </c>
      <c r="BC209" s="310">
        <f t="shared" si="88"/>
        <v>34767.772600000004</v>
      </c>
      <c r="BD209" s="311">
        <v>1</v>
      </c>
      <c r="BE209" s="312">
        <v>42493</v>
      </c>
      <c r="BF209" s="313">
        <f t="shared" si="89"/>
        <v>34767.772600000004</v>
      </c>
      <c r="BG209" s="308">
        <v>3</v>
      </c>
      <c r="BH209" s="309">
        <f>+(43260+79200)/3</f>
        <v>40820</v>
      </c>
      <c r="BI209" s="310">
        <f t="shared" si="90"/>
        <v>100196.77200000001</v>
      </c>
      <c r="BJ209" s="311">
        <v>3</v>
      </c>
      <c r="BK209" s="312">
        <f>+(43260+79200)/3</f>
        <v>40820</v>
      </c>
      <c r="BL209" s="313">
        <f t="shared" si="91"/>
        <v>100196.77200000001</v>
      </c>
      <c r="BM209" s="308"/>
      <c r="BN209" s="309"/>
      <c r="BO209" s="310">
        <f t="shared" si="92"/>
        <v>0</v>
      </c>
      <c r="BP209" s="311"/>
      <c r="BQ209" s="312"/>
      <c r="BR209" s="313">
        <f t="shared" si="93"/>
        <v>0</v>
      </c>
      <c r="BS209" s="308"/>
      <c r="BT209" s="309"/>
      <c r="BU209" s="310">
        <f t="shared" si="94"/>
        <v>0</v>
      </c>
      <c r="BV209" s="311"/>
      <c r="BW209" s="312"/>
      <c r="BX209" s="313">
        <f t="shared" si="95"/>
        <v>0</v>
      </c>
    </row>
    <row r="210" spans="1:80">
      <c r="A210" s="314" t="s">
        <v>451</v>
      </c>
      <c r="B210" s="414" t="s">
        <v>922</v>
      </c>
      <c r="C210" s="415">
        <v>156338</v>
      </c>
      <c r="D210" s="416">
        <v>12</v>
      </c>
      <c r="E210" s="308">
        <v>3</v>
      </c>
      <c r="F210" s="309">
        <f>+(65792+123726)/3</f>
        <v>63172.666666666664</v>
      </c>
      <c r="G210" s="310">
        <f t="shared" si="72"/>
        <v>189518</v>
      </c>
      <c r="H210" s="311">
        <v>3</v>
      </c>
      <c r="I210" s="312">
        <f>+(65792+123726)/3</f>
        <v>63172.666666666664</v>
      </c>
      <c r="J210" s="313">
        <f t="shared" si="73"/>
        <v>189518</v>
      </c>
      <c r="K210" s="308">
        <v>9</v>
      </c>
      <c r="L210" s="309">
        <f>+(349398+95632)/9</f>
        <v>49447.777777777781</v>
      </c>
      <c r="M210" s="310">
        <f t="shared" si="74"/>
        <v>445030</v>
      </c>
      <c r="N210" s="311">
        <v>11</v>
      </c>
      <c r="O210" s="312">
        <f>+(393998+140232)/11</f>
        <v>48566.36363636364</v>
      </c>
      <c r="P210" s="313">
        <f t="shared" si="75"/>
        <v>534230</v>
      </c>
      <c r="Q210" s="308">
        <v>8</v>
      </c>
      <c r="R210" s="309">
        <f>+(278551+79223)/8</f>
        <v>44721.75</v>
      </c>
      <c r="S210" s="310">
        <f t="shared" si="76"/>
        <v>357774</v>
      </c>
      <c r="T210" s="311">
        <v>11</v>
      </c>
      <c r="U210" s="312">
        <f>+(316175+154711)/11</f>
        <v>42807.818181818184</v>
      </c>
      <c r="V210" s="313">
        <f t="shared" si="77"/>
        <v>470886</v>
      </c>
      <c r="W210" s="308">
        <v>17</v>
      </c>
      <c r="X210" s="309">
        <f>+(484523+138642)/17</f>
        <v>36656.76470588235</v>
      </c>
      <c r="Y210" s="310">
        <f t="shared" si="78"/>
        <v>623165</v>
      </c>
      <c r="Z210" s="311">
        <v>14</v>
      </c>
      <c r="AA210" s="312">
        <f>+(407973+121350)/14</f>
        <v>37808.785714285717</v>
      </c>
      <c r="AB210" s="313">
        <f t="shared" si="79"/>
        <v>529323</v>
      </c>
      <c r="AC210" s="308"/>
      <c r="AD210" s="309"/>
      <c r="AE210" s="310">
        <f t="shared" si="80"/>
        <v>0</v>
      </c>
      <c r="AF210" s="311"/>
      <c r="AG210" s="312"/>
      <c r="AH210" s="313">
        <f t="shared" si="81"/>
        <v>0</v>
      </c>
      <c r="AI210" s="308"/>
      <c r="AJ210" s="309"/>
      <c r="AK210" s="310">
        <f t="shared" si="82"/>
        <v>0</v>
      </c>
      <c r="AL210" s="380"/>
      <c r="AM210" s="312"/>
      <c r="AN210" s="313">
        <f t="shared" si="83"/>
        <v>0</v>
      </c>
      <c r="AO210" s="308">
        <v>1</v>
      </c>
      <c r="AP210" s="309">
        <v>66041</v>
      </c>
      <c r="AQ210" s="310">
        <f t="shared" si="84"/>
        <v>54034.746200000001</v>
      </c>
      <c r="AR210" s="311">
        <v>2</v>
      </c>
      <c r="AS210" s="312">
        <f>129449/2</f>
        <v>64724.5</v>
      </c>
      <c r="AT210" s="313">
        <f t="shared" si="85"/>
        <v>105915.17180000001</v>
      </c>
      <c r="AU210" s="308">
        <v>5</v>
      </c>
      <c r="AV210" s="309">
        <f>+(119660+165740)/5</f>
        <v>57080</v>
      </c>
      <c r="AW210" s="310">
        <f t="shared" si="86"/>
        <v>233514.28</v>
      </c>
      <c r="AX210" s="311">
        <v>3</v>
      </c>
      <c r="AY210" s="312">
        <f>+(55224+109658)/3</f>
        <v>54960.666666666664</v>
      </c>
      <c r="AZ210" s="313">
        <f t="shared" si="87"/>
        <v>134906.45240000001</v>
      </c>
      <c r="BA210" s="308">
        <v>6</v>
      </c>
      <c r="BB210" s="309">
        <f>+(145718+146497)/6</f>
        <v>48702.5</v>
      </c>
      <c r="BC210" s="310">
        <f t="shared" si="88"/>
        <v>239090.31300000002</v>
      </c>
      <c r="BD210" s="311">
        <v>4</v>
      </c>
      <c r="BE210" s="312">
        <f>+(92941+92712)/4</f>
        <v>46413.25</v>
      </c>
      <c r="BF210" s="313">
        <f t="shared" si="89"/>
        <v>151901.28460000001</v>
      </c>
      <c r="BG210" s="308">
        <v>13</v>
      </c>
      <c r="BH210" s="309">
        <f>+(180943+377917)/13</f>
        <v>42989.230769230766</v>
      </c>
      <c r="BI210" s="310">
        <f t="shared" si="90"/>
        <v>457259.25200000004</v>
      </c>
      <c r="BJ210" s="311">
        <v>15</v>
      </c>
      <c r="BK210" s="312">
        <f>+(258793+374998)/15</f>
        <v>42252.73333333333</v>
      </c>
      <c r="BL210" s="313">
        <f t="shared" si="91"/>
        <v>518567.79620000004</v>
      </c>
      <c r="BM210" s="308"/>
      <c r="BN210" s="309"/>
      <c r="BO210" s="310">
        <f t="shared" si="92"/>
        <v>0</v>
      </c>
      <c r="BP210" s="311"/>
      <c r="BQ210" s="312"/>
      <c r="BR210" s="313">
        <f t="shared" si="93"/>
        <v>0</v>
      </c>
      <c r="BS210" s="308"/>
      <c r="BT210" s="309"/>
      <c r="BU210" s="310">
        <f t="shared" si="94"/>
        <v>0</v>
      </c>
      <c r="BV210" s="311"/>
      <c r="BW210" s="312"/>
      <c r="BX210" s="313">
        <f t="shared" si="95"/>
        <v>0</v>
      </c>
    </row>
    <row r="211" spans="1:80">
      <c r="A211" s="314" t="s">
        <v>451</v>
      </c>
      <c r="B211" s="367" t="s">
        <v>921</v>
      </c>
      <c r="C211" s="314">
        <v>157438</v>
      </c>
      <c r="D211" s="364">
        <v>12</v>
      </c>
      <c r="E211" s="308">
        <v>4</v>
      </c>
      <c r="F211" s="309">
        <f>+(64975+194186)/4</f>
        <v>64790.25</v>
      </c>
      <c r="G211" s="310">
        <f t="shared" si="72"/>
        <v>259161</v>
      </c>
      <c r="H211" s="311">
        <v>3</v>
      </c>
      <c r="I211" s="312">
        <f>+(64975+145555)/3</f>
        <v>70176.666666666672</v>
      </c>
      <c r="J211" s="313">
        <f t="shared" si="73"/>
        <v>210530</v>
      </c>
      <c r="K211" s="308">
        <v>12</v>
      </c>
      <c r="L211" s="309">
        <f>+(316382+302953)/12</f>
        <v>51611.25</v>
      </c>
      <c r="M211" s="310">
        <f t="shared" si="74"/>
        <v>619335</v>
      </c>
      <c r="N211" s="311">
        <v>14</v>
      </c>
      <c r="O211" s="312">
        <f>+(413652+302953)/14</f>
        <v>51186.071428571428</v>
      </c>
      <c r="P211" s="313">
        <f t="shared" si="75"/>
        <v>716605</v>
      </c>
      <c r="Q211" s="308">
        <v>17</v>
      </c>
      <c r="R211" s="309">
        <f>+(511833+306848)/17</f>
        <v>48157.705882352944</v>
      </c>
      <c r="S211" s="310">
        <f t="shared" si="76"/>
        <v>818681</v>
      </c>
      <c r="T211" s="311">
        <v>17</v>
      </c>
      <c r="U211" s="312">
        <f>+(423351+400350)/17</f>
        <v>48453</v>
      </c>
      <c r="V211" s="313">
        <f t="shared" si="77"/>
        <v>823701</v>
      </c>
      <c r="W211" s="308">
        <v>13</v>
      </c>
      <c r="X211" s="309">
        <f>+(390855+177289)/13</f>
        <v>43703.384615384617</v>
      </c>
      <c r="Y211" s="310">
        <f t="shared" si="78"/>
        <v>568144</v>
      </c>
      <c r="Z211" s="311">
        <v>12</v>
      </c>
      <c r="AA211" s="312">
        <f>+(304530+212627)/12</f>
        <v>43096.416666666664</v>
      </c>
      <c r="AB211" s="313">
        <f t="shared" si="79"/>
        <v>517157</v>
      </c>
      <c r="AC211" s="308"/>
      <c r="AD211" s="309"/>
      <c r="AE211" s="310">
        <f t="shared" si="80"/>
        <v>0</v>
      </c>
      <c r="AF211" s="311"/>
      <c r="AG211" s="312"/>
      <c r="AH211" s="313">
        <f t="shared" si="81"/>
        <v>0</v>
      </c>
      <c r="AI211" s="308"/>
      <c r="AJ211" s="309"/>
      <c r="AK211" s="310">
        <f t="shared" si="82"/>
        <v>0</v>
      </c>
      <c r="AL211" s="380"/>
      <c r="AM211" s="312"/>
      <c r="AN211" s="313">
        <f t="shared" si="83"/>
        <v>0</v>
      </c>
      <c r="AO211" s="308"/>
      <c r="AP211" s="309"/>
      <c r="AQ211" s="310">
        <f t="shared" si="84"/>
        <v>0</v>
      </c>
      <c r="AR211" s="311"/>
      <c r="AS211" s="312"/>
      <c r="AT211" s="313">
        <f t="shared" si="85"/>
        <v>0</v>
      </c>
      <c r="AU211" s="308">
        <v>3</v>
      </c>
      <c r="AV211" s="309">
        <f>+(95069+120520)/3</f>
        <v>71863</v>
      </c>
      <c r="AW211" s="310">
        <f t="shared" si="86"/>
        <v>176394.9198</v>
      </c>
      <c r="AX211" s="311">
        <v>5</v>
      </c>
      <c r="AY211" s="312">
        <f>+(147069+183520)/5</f>
        <v>66117.8</v>
      </c>
      <c r="AZ211" s="313">
        <f t="shared" si="87"/>
        <v>270487.91980000003</v>
      </c>
      <c r="BA211" s="308">
        <v>6</v>
      </c>
      <c r="BB211" s="309">
        <f>+(55435+265170)/6</f>
        <v>53434.166666666664</v>
      </c>
      <c r="BC211" s="310">
        <f t="shared" si="88"/>
        <v>262319.011</v>
      </c>
      <c r="BD211" s="311">
        <v>7</v>
      </c>
      <c r="BE211" s="312">
        <f>+(55435+305825)/7</f>
        <v>51608.571428571428</v>
      </c>
      <c r="BF211" s="313">
        <f t="shared" si="89"/>
        <v>295582.93200000003</v>
      </c>
      <c r="BG211" s="308">
        <v>12</v>
      </c>
      <c r="BH211" s="309">
        <f>+(179205+356821)/12</f>
        <v>44668.833333333336</v>
      </c>
      <c r="BI211" s="310">
        <f t="shared" si="90"/>
        <v>438576.47320000001</v>
      </c>
      <c r="BJ211" s="311">
        <v>14</v>
      </c>
      <c r="BK211" s="312">
        <f>+(263543+361856)/14</f>
        <v>44671.357142857145</v>
      </c>
      <c r="BL211" s="313">
        <f t="shared" si="91"/>
        <v>511701.46180000005</v>
      </c>
      <c r="BM211" s="308"/>
      <c r="BN211" s="309"/>
      <c r="BO211" s="310">
        <f t="shared" si="92"/>
        <v>0</v>
      </c>
      <c r="BP211" s="311"/>
      <c r="BQ211" s="312"/>
      <c r="BR211" s="313">
        <f t="shared" si="93"/>
        <v>0</v>
      </c>
      <c r="BS211" s="308"/>
      <c r="BT211" s="309"/>
      <c r="BU211" s="310">
        <f t="shared" si="94"/>
        <v>0</v>
      </c>
      <c r="BV211" s="311"/>
      <c r="BW211" s="312"/>
      <c r="BX211" s="313">
        <f t="shared" si="95"/>
        <v>0</v>
      </c>
    </row>
    <row r="212" spans="1:80">
      <c r="A212" s="337" t="s">
        <v>407</v>
      </c>
      <c r="B212" s="338" t="s">
        <v>923</v>
      </c>
      <c r="C212" s="337">
        <v>159391</v>
      </c>
      <c r="D212" s="339">
        <v>1</v>
      </c>
      <c r="E212" s="308">
        <v>355</v>
      </c>
      <c r="F212" s="309">
        <v>107596</v>
      </c>
      <c r="G212" s="310">
        <f t="shared" si="72"/>
        <v>38196580</v>
      </c>
      <c r="H212" s="368">
        <v>367</v>
      </c>
      <c r="I212" s="369">
        <v>111964</v>
      </c>
      <c r="J212" s="313">
        <f t="shared" si="73"/>
        <v>41090788</v>
      </c>
      <c r="K212" s="308">
        <v>239</v>
      </c>
      <c r="L212" s="309">
        <v>76132</v>
      </c>
      <c r="M212" s="310">
        <f t="shared" si="74"/>
        <v>18195548</v>
      </c>
      <c r="N212" s="368">
        <v>257</v>
      </c>
      <c r="O212" s="369">
        <v>80228</v>
      </c>
      <c r="P212" s="313">
        <f t="shared" si="75"/>
        <v>20618596</v>
      </c>
      <c r="Q212" s="308">
        <v>273</v>
      </c>
      <c r="R212" s="309">
        <v>65661</v>
      </c>
      <c r="S212" s="310">
        <f t="shared" si="76"/>
        <v>17925453</v>
      </c>
      <c r="T212" s="368">
        <v>299</v>
      </c>
      <c r="U212" s="369">
        <v>67635</v>
      </c>
      <c r="V212" s="313">
        <f t="shared" si="77"/>
        <v>20222865</v>
      </c>
      <c r="W212" s="308">
        <v>240</v>
      </c>
      <c r="X212" s="309">
        <v>41279</v>
      </c>
      <c r="Y212" s="310">
        <f t="shared" si="78"/>
        <v>9906960</v>
      </c>
      <c r="Z212" s="368">
        <v>230</v>
      </c>
      <c r="AA212" s="369">
        <v>43184</v>
      </c>
      <c r="AB212" s="313">
        <f t="shared" si="79"/>
        <v>9932320</v>
      </c>
      <c r="AC212" s="308">
        <v>14</v>
      </c>
      <c r="AD212" s="309">
        <v>51210</v>
      </c>
      <c r="AE212" s="310">
        <f t="shared" si="80"/>
        <v>716940</v>
      </c>
      <c r="AF212" s="368">
        <v>17</v>
      </c>
      <c r="AG212" s="369">
        <v>56079</v>
      </c>
      <c r="AH212" s="313">
        <f t="shared" si="81"/>
        <v>953343</v>
      </c>
      <c r="AI212" s="308">
        <v>0</v>
      </c>
      <c r="AJ212" s="309">
        <v>0</v>
      </c>
      <c r="AK212" s="310">
        <f t="shared" si="82"/>
        <v>0</v>
      </c>
      <c r="AL212" s="369">
        <v>0</v>
      </c>
      <c r="AM212" s="369">
        <v>0</v>
      </c>
      <c r="AN212" s="313">
        <f t="shared" si="83"/>
        <v>0</v>
      </c>
      <c r="AO212" s="308">
        <v>69</v>
      </c>
      <c r="AP212" s="309">
        <v>121697</v>
      </c>
      <c r="AQ212" s="310">
        <f t="shared" si="84"/>
        <v>6870501.4926000005</v>
      </c>
      <c r="AR212" s="368">
        <v>69</v>
      </c>
      <c r="AS212" s="369">
        <v>126568</v>
      </c>
      <c r="AT212" s="313">
        <f t="shared" si="85"/>
        <v>7145497.6944000004</v>
      </c>
      <c r="AU212" s="308">
        <v>29</v>
      </c>
      <c r="AV212" s="309">
        <v>95296</v>
      </c>
      <c r="AW212" s="310">
        <f t="shared" si="86"/>
        <v>2261164.4287999999</v>
      </c>
      <c r="AX212" s="368">
        <v>31</v>
      </c>
      <c r="AY212" s="369">
        <v>95424</v>
      </c>
      <c r="AZ212" s="313">
        <f t="shared" si="87"/>
        <v>2420353.4208</v>
      </c>
      <c r="BA212" s="308">
        <v>26</v>
      </c>
      <c r="BB212" s="309">
        <v>89110</v>
      </c>
      <c r="BC212" s="310">
        <f t="shared" si="88"/>
        <v>1895654.8520000002</v>
      </c>
      <c r="BD212" s="368">
        <v>28</v>
      </c>
      <c r="BE212" s="369">
        <v>97479</v>
      </c>
      <c r="BF212" s="313">
        <f t="shared" si="89"/>
        <v>2233204.8984000003</v>
      </c>
      <c r="BG212" s="308">
        <v>17</v>
      </c>
      <c r="BH212" s="309">
        <v>56630</v>
      </c>
      <c r="BI212" s="310">
        <f t="shared" si="90"/>
        <v>787689.32200000004</v>
      </c>
      <c r="BJ212" s="368">
        <v>17</v>
      </c>
      <c r="BK212" s="369">
        <v>57127</v>
      </c>
      <c r="BL212" s="313">
        <f t="shared" si="91"/>
        <v>794602.29379999998</v>
      </c>
      <c r="BM212" s="308">
        <v>5</v>
      </c>
      <c r="BN212" s="309">
        <v>60637</v>
      </c>
      <c r="BO212" s="310">
        <f t="shared" si="92"/>
        <v>248065.967</v>
      </c>
      <c r="BP212" s="368">
        <v>4</v>
      </c>
      <c r="BQ212" s="369">
        <v>57366</v>
      </c>
      <c r="BR212" s="313">
        <f t="shared" si="93"/>
        <v>187747.4448</v>
      </c>
      <c r="BS212" s="308">
        <v>0</v>
      </c>
      <c r="BT212" s="309">
        <v>0</v>
      </c>
      <c r="BU212" s="310">
        <f t="shared" si="94"/>
        <v>0</v>
      </c>
      <c r="BV212" s="368">
        <v>0</v>
      </c>
      <c r="BW212" s="369">
        <v>0</v>
      </c>
      <c r="BX212" s="313">
        <f t="shared" si="95"/>
        <v>0</v>
      </c>
      <c r="BY212" s="383"/>
      <c r="BZ212" s="370"/>
      <c r="CA212" s="370"/>
      <c r="CB212" s="370"/>
    </row>
    <row r="213" spans="1:80">
      <c r="A213" s="337" t="s">
        <v>407</v>
      </c>
      <c r="B213" s="338" t="s">
        <v>924</v>
      </c>
      <c r="C213" s="417">
        <v>159647</v>
      </c>
      <c r="D213" s="337">
        <v>2</v>
      </c>
      <c r="E213" s="308">
        <v>53</v>
      </c>
      <c r="F213" s="309">
        <v>74638</v>
      </c>
      <c r="G213" s="310">
        <f t="shared" si="72"/>
        <v>3955814</v>
      </c>
      <c r="H213" s="368">
        <v>45</v>
      </c>
      <c r="I213" s="369">
        <v>77473</v>
      </c>
      <c r="J213" s="313">
        <f t="shared" si="73"/>
        <v>3486285</v>
      </c>
      <c r="K213" s="308">
        <v>77</v>
      </c>
      <c r="L213" s="309">
        <v>65823</v>
      </c>
      <c r="M213" s="310">
        <f t="shared" si="74"/>
        <v>5068371</v>
      </c>
      <c r="N213" s="368">
        <v>80</v>
      </c>
      <c r="O213" s="369">
        <v>67832</v>
      </c>
      <c r="P213" s="313">
        <f t="shared" si="75"/>
        <v>5426560</v>
      </c>
      <c r="Q213" s="308">
        <v>143</v>
      </c>
      <c r="R213" s="309">
        <v>57009</v>
      </c>
      <c r="S213" s="310">
        <f t="shared" si="76"/>
        <v>8152287</v>
      </c>
      <c r="T213" s="368">
        <v>143</v>
      </c>
      <c r="U213" s="369">
        <v>58133</v>
      </c>
      <c r="V213" s="313">
        <f t="shared" si="77"/>
        <v>8313019</v>
      </c>
      <c r="W213" s="308">
        <v>53</v>
      </c>
      <c r="X213" s="309">
        <v>37694</v>
      </c>
      <c r="Y213" s="310">
        <f t="shared" si="78"/>
        <v>1997782</v>
      </c>
      <c r="Z213" s="368">
        <v>48</v>
      </c>
      <c r="AA213" s="369">
        <v>39103</v>
      </c>
      <c r="AB213" s="313">
        <f t="shared" si="79"/>
        <v>1876944</v>
      </c>
      <c r="AC213" s="308">
        <f>14+15</f>
        <v>29</v>
      </c>
      <c r="AD213" s="309">
        <f>((14*61684)+(15*41031))/(14+15)</f>
        <v>51001.413793103449</v>
      </c>
      <c r="AE213" s="310">
        <f t="shared" si="80"/>
        <v>1479041</v>
      </c>
      <c r="AF213" s="368">
        <f>15+20</f>
        <v>35</v>
      </c>
      <c r="AG213" s="369">
        <f>((15*62560)+(20*43113))/(15+20)</f>
        <v>51447.428571428572</v>
      </c>
      <c r="AH213" s="313">
        <f t="shared" si="81"/>
        <v>1800660</v>
      </c>
      <c r="AI213" s="308"/>
      <c r="AJ213" s="309"/>
      <c r="AK213" s="310">
        <f t="shared" si="82"/>
        <v>0</v>
      </c>
      <c r="AL213" s="369"/>
      <c r="AM213" s="369"/>
      <c r="AN213" s="313">
        <f t="shared" si="83"/>
        <v>0</v>
      </c>
      <c r="AO213" s="308">
        <v>31</v>
      </c>
      <c r="AP213" s="309">
        <v>111791</v>
      </c>
      <c r="AQ213" s="310">
        <f t="shared" si="84"/>
        <v>2835489.2822000002</v>
      </c>
      <c r="AR213" s="368">
        <v>33</v>
      </c>
      <c r="AS213" s="369">
        <v>117125</v>
      </c>
      <c r="AT213" s="313">
        <f t="shared" si="85"/>
        <v>3162445.2750000004</v>
      </c>
      <c r="AU213" s="308">
        <v>16</v>
      </c>
      <c r="AV213" s="309">
        <v>90630</v>
      </c>
      <c r="AW213" s="310">
        <f t="shared" si="86"/>
        <v>1186455.456</v>
      </c>
      <c r="AX213" s="368">
        <v>18</v>
      </c>
      <c r="AY213" s="369">
        <v>92568</v>
      </c>
      <c r="AZ213" s="313">
        <f t="shared" si="87"/>
        <v>1363304.4768000001</v>
      </c>
      <c r="BA213" s="308">
        <v>11</v>
      </c>
      <c r="BB213" s="309">
        <v>78304</v>
      </c>
      <c r="BC213" s="310">
        <f t="shared" si="88"/>
        <v>704751.66080000007</v>
      </c>
      <c r="BD213" s="368">
        <v>9</v>
      </c>
      <c r="BE213" s="369">
        <v>80428</v>
      </c>
      <c r="BF213" s="313">
        <f t="shared" si="89"/>
        <v>592255.70640000002</v>
      </c>
      <c r="BG213" s="308">
        <v>14</v>
      </c>
      <c r="BH213" s="309">
        <v>46161</v>
      </c>
      <c r="BI213" s="310">
        <f t="shared" si="90"/>
        <v>528765.02280000004</v>
      </c>
      <c r="BJ213" s="368">
        <v>11</v>
      </c>
      <c r="BK213" s="369">
        <v>51886</v>
      </c>
      <c r="BL213" s="313">
        <f t="shared" si="91"/>
        <v>466984.37720000005</v>
      </c>
      <c r="BM213" s="308">
        <v>5</v>
      </c>
      <c r="BN213" s="309">
        <v>42901</v>
      </c>
      <c r="BO213" s="310">
        <f t="shared" si="92"/>
        <v>175507.99100000001</v>
      </c>
      <c r="BP213" s="368">
        <v>12</v>
      </c>
      <c r="BQ213" s="369">
        <v>41289</v>
      </c>
      <c r="BR213" s="313">
        <f t="shared" si="93"/>
        <v>405391.91760000004</v>
      </c>
      <c r="BS213" s="308"/>
      <c r="BT213" s="309"/>
      <c r="BU213" s="310">
        <f t="shared" si="94"/>
        <v>0</v>
      </c>
      <c r="BV213" s="368"/>
      <c r="BW213" s="369"/>
      <c r="BX213" s="313">
        <f t="shared" si="95"/>
        <v>0</v>
      </c>
      <c r="BY213" s="383"/>
      <c r="BZ213" s="370"/>
      <c r="CA213" s="370"/>
      <c r="CB213" s="370"/>
    </row>
    <row r="214" spans="1:80">
      <c r="A214" s="337" t="s">
        <v>407</v>
      </c>
      <c r="B214" s="338" t="s">
        <v>925</v>
      </c>
      <c r="C214" s="337">
        <v>160658</v>
      </c>
      <c r="D214" s="339">
        <v>2</v>
      </c>
      <c r="E214" s="308">
        <v>144</v>
      </c>
      <c r="F214" s="309">
        <v>100558</v>
      </c>
      <c r="G214" s="310">
        <f t="shared" si="72"/>
        <v>14480352</v>
      </c>
      <c r="H214" s="368">
        <v>143</v>
      </c>
      <c r="I214" s="369">
        <v>106498</v>
      </c>
      <c r="J214" s="313">
        <f t="shared" si="73"/>
        <v>15229214</v>
      </c>
      <c r="K214" s="308">
        <v>125</v>
      </c>
      <c r="L214" s="309">
        <v>73022</v>
      </c>
      <c r="M214" s="310">
        <f t="shared" si="74"/>
        <v>9127750</v>
      </c>
      <c r="N214" s="368">
        <v>125</v>
      </c>
      <c r="O214" s="369">
        <v>78540</v>
      </c>
      <c r="P214" s="313">
        <f t="shared" si="75"/>
        <v>9817500</v>
      </c>
      <c r="Q214" s="308">
        <v>153</v>
      </c>
      <c r="R214" s="309">
        <v>59247</v>
      </c>
      <c r="S214" s="310">
        <f t="shared" si="76"/>
        <v>9064791</v>
      </c>
      <c r="T214" s="368">
        <v>159</v>
      </c>
      <c r="U214" s="369">
        <v>63167</v>
      </c>
      <c r="V214" s="313">
        <f t="shared" si="77"/>
        <v>10043553</v>
      </c>
      <c r="W214" s="308">
        <v>147</v>
      </c>
      <c r="X214" s="309">
        <v>42784</v>
      </c>
      <c r="Y214" s="310">
        <f t="shared" si="78"/>
        <v>6289248</v>
      </c>
      <c r="Z214" s="368">
        <v>160</v>
      </c>
      <c r="AA214" s="369">
        <v>43986</v>
      </c>
      <c r="AB214" s="313">
        <f t="shared" si="79"/>
        <v>7037760</v>
      </c>
      <c r="AC214" s="308">
        <v>3</v>
      </c>
      <c r="AD214" s="309">
        <v>42745</v>
      </c>
      <c r="AE214" s="310">
        <f t="shared" si="80"/>
        <v>128235</v>
      </c>
      <c r="AF214" s="368">
        <v>0</v>
      </c>
      <c r="AG214" s="369"/>
      <c r="AH214" s="313">
        <f t="shared" si="81"/>
        <v>0</v>
      </c>
      <c r="AI214" s="308">
        <v>0</v>
      </c>
      <c r="AJ214" s="309">
        <v>0</v>
      </c>
      <c r="AK214" s="310">
        <f t="shared" si="82"/>
        <v>0</v>
      </c>
      <c r="AL214" s="369">
        <v>0</v>
      </c>
      <c r="AM214" s="369">
        <v>0</v>
      </c>
      <c r="AN214" s="313">
        <f t="shared" si="83"/>
        <v>0</v>
      </c>
      <c r="AO214" s="308">
        <v>0</v>
      </c>
      <c r="AP214" s="309">
        <v>0</v>
      </c>
      <c r="AQ214" s="310">
        <f t="shared" si="84"/>
        <v>0</v>
      </c>
      <c r="AR214" s="368">
        <v>0</v>
      </c>
      <c r="AS214" s="369">
        <v>0</v>
      </c>
      <c r="AT214" s="313">
        <f t="shared" si="85"/>
        <v>0</v>
      </c>
      <c r="AU214" s="308">
        <v>1</v>
      </c>
      <c r="AV214" s="309">
        <v>98721</v>
      </c>
      <c r="AW214" s="310">
        <f t="shared" si="86"/>
        <v>80773.522200000007</v>
      </c>
      <c r="AX214" s="368">
        <v>1</v>
      </c>
      <c r="AY214" s="369">
        <v>106619</v>
      </c>
      <c r="AZ214" s="313">
        <f t="shared" si="87"/>
        <v>87235.665800000002</v>
      </c>
      <c r="BA214" s="308">
        <v>1</v>
      </c>
      <c r="BB214" s="309">
        <v>53370</v>
      </c>
      <c r="BC214" s="310">
        <f t="shared" si="88"/>
        <v>43667.334000000003</v>
      </c>
      <c r="BD214" s="368">
        <v>1</v>
      </c>
      <c r="BE214" s="369">
        <v>51970</v>
      </c>
      <c r="BF214" s="313">
        <f t="shared" si="89"/>
        <v>42521.853999999999</v>
      </c>
      <c r="BG214" s="308">
        <v>2</v>
      </c>
      <c r="BH214" s="309">
        <v>55098</v>
      </c>
      <c r="BI214" s="310">
        <f t="shared" si="90"/>
        <v>90162.367200000008</v>
      </c>
      <c r="BJ214" s="368">
        <v>2</v>
      </c>
      <c r="BK214" s="369">
        <v>51369</v>
      </c>
      <c r="BL214" s="313">
        <f t="shared" si="91"/>
        <v>84060.231599999999</v>
      </c>
      <c r="BM214" s="308">
        <v>0</v>
      </c>
      <c r="BN214" s="309">
        <v>0</v>
      </c>
      <c r="BO214" s="310">
        <f t="shared" si="92"/>
        <v>0</v>
      </c>
      <c r="BP214" s="368">
        <v>0</v>
      </c>
      <c r="BQ214" s="369">
        <v>0</v>
      </c>
      <c r="BR214" s="313">
        <f t="shared" si="93"/>
        <v>0</v>
      </c>
      <c r="BS214" s="308">
        <v>0</v>
      </c>
      <c r="BT214" s="309">
        <v>0</v>
      </c>
      <c r="BU214" s="310">
        <f t="shared" si="94"/>
        <v>0</v>
      </c>
      <c r="BV214" s="368">
        <v>0</v>
      </c>
      <c r="BW214" s="369">
        <v>0</v>
      </c>
      <c r="BX214" s="313">
        <f t="shared" si="95"/>
        <v>0</v>
      </c>
      <c r="BY214" s="383"/>
      <c r="BZ214" s="370"/>
      <c r="CA214" s="370"/>
      <c r="CB214" s="370"/>
    </row>
    <row r="215" spans="1:80">
      <c r="A215" s="337" t="s">
        <v>407</v>
      </c>
      <c r="B215" s="338" t="s">
        <v>926</v>
      </c>
      <c r="C215" s="337">
        <v>159939</v>
      </c>
      <c r="D215" s="337">
        <v>2</v>
      </c>
      <c r="E215" s="308">
        <v>143</v>
      </c>
      <c r="F215" s="309">
        <v>85451</v>
      </c>
      <c r="G215" s="310">
        <f t="shared" si="72"/>
        <v>12219493</v>
      </c>
      <c r="H215" s="368">
        <v>133</v>
      </c>
      <c r="I215" s="369">
        <v>87505</v>
      </c>
      <c r="J215" s="313">
        <f t="shared" si="73"/>
        <v>11638165</v>
      </c>
      <c r="K215" s="308">
        <v>86</v>
      </c>
      <c r="L215" s="309">
        <v>67704</v>
      </c>
      <c r="M215" s="310">
        <f t="shared" si="74"/>
        <v>5822544</v>
      </c>
      <c r="N215" s="368">
        <v>84</v>
      </c>
      <c r="O215" s="369">
        <v>66274</v>
      </c>
      <c r="P215" s="313">
        <f t="shared" si="75"/>
        <v>5567016</v>
      </c>
      <c r="Q215" s="308">
        <v>75</v>
      </c>
      <c r="R215" s="309">
        <v>59509</v>
      </c>
      <c r="S215" s="310">
        <f t="shared" si="76"/>
        <v>4463175</v>
      </c>
      <c r="T215" s="368">
        <v>97</v>
      </c>
      <c r="U215" s="369">
        <v>62549</v>
      </c>
      <c r="V215" s="313">
        <f t="shared" si="77"/>
        <v>6067253</v>
      </c>
      <c r="W215" s="308">
        <v>116</v>
      </c>
      <c r="X215" s="309">
        <v>40333</v>
      </c>
      <c r="Y215" s="310">
        <f t="shared" si="78"/>
        <v>4678628</v>
      </c>
      <c r="Z215" s="368">
        <v>122</v>
      </c>
      <c r="AA215" s="369">
        <v>42165</v>
      </c>
      <c r="AB215" s="313">
        <f t="shared" si="79"/>
        <v>5144130</v>
      </c>
      <c r="AC215" s="308">
        <v>0</v>
      </c>
      <c r="AD215" s="309">
        <v>0</v>
      </c>
      <c r="AE215" s="310">
        <f t="shared" si="80"/>
        <v>0</v>
      </c>
      <c r="AF215" s="368">
        <v>0</v>
      </c>
      <c r="AG215" s="369">
        <v>0</v>
      </c>
      <c r="AH215" s="313">
        <f t="shared" si="81"/>
        <v>0</v>
      </c>
      <c r="AI215" s="308">
        <v>0</v>
      </c>
      <c r="AJ215" s="309">
        <v>0</v>
      </c>
      <c r="AK215" s="310">
        <f t="shared" si="82"/>
        <v>0</v>
      </c>
      <c r="AL215" s="369">
        <v>0</v>
      </c>
      <c r="AM215" s="369">
        <v>0</v>
      </c>
      <c r="AN215" s="313">
        <f t="shared" si="83"/>
        <v>0</v>
      </c>
      <c r="AO215" s="308">
        <v>7</v>
      </c>
      <c r="AP215" s="309">
        <v>104975</v>
      </c>
      <c r="AQ215" s="310">
        <f t="shared" si="84"/>
        <v>601233.81500000006</v>
      </c>
      <c r="AR215" s="368">
        <v>6</v>
      </c>
      <c r="AS215" s="369">
        <v>118935</v>
      </c>
      <c r="AT215" s="313">
        <f t="shared" si="85"/>
        <v>583875.70200000005</v>
      </c>
      <c r="AU215" s="308">
        <v>7</v>
      </c>
      <c r="AV215" s="309">
        <v>64847</v>
      </c>
      <c r="AW215" s="310">
        <f t="shared" si="86"/>
        <v>371404.70780000003</v>
      </c>
      <c r="AX215" s="368">
        <v>10</v>
      </c>
      <c r="AY215" s="369">
        <v>63435</v>
      </c>
      <c r="AZ215" s="313">
        <f t="shared" si="87"/>
        <v>519025.17000000004</v>
      </c>
      <c r="BA215" s="308">
        <v>10</v>
      </c>
      <c r="BB215" s="309">
        <v>62048</v>
      </c>
      <c r="BC215" s="310">
        <f t="shared" si="88"/>
        <v>507676.73600000003</v>
      </c>
      <c r="BD215" s="368">
        <v>6</v>
      </c>
      <c r="BE215" s="369">
        <v>46143</v>
      </c>
      <c r="BF215" s="313">
        <f t="shared" si="89"/>
        <v>226525.21560000003</v>
      </c>
      <c r="BG215" s="308">
        <v>1</v>
      </c>
      <c r="BH215" s="309">
        <v>62350</v>
      </c>
      <c r="BI215" s="310">
        <f t="shared" si="90"/>
        <v>51014.770000000004</v>
      </c>
      <c r="BJ215" s="368">
        <v>1</v>
      </c>
      <c r="BK215" s="369">
        <v>62350</v>
      </c>
      <c r="BL215" s="313">
        <f t="shared" si="91"/>
        <v>51014.770000000004</v>
      </c>
      <c r="BM215" s="308">
        <v>0</v>
      </c>
      <c r="BN215" s="309">
        <v>0</v>
      </c>
      <c r="BO215" s="310">
        <f t="shared" si="92"/>
        <v>0</v>
      </c>
      <c r="BP215" s="368">
        <v>0</v>
      </c>
      <c r="BQ215" s="369">
        <v>0</v>
      </c>
      <c r="BR215" s="313">
        <f t="shared" si="93"/>
        <v>0</v>
      </c>
      <c r="BS215" s="308">
        <v>0</v>
      </c>
      <c r="BT215" s="309">
        <v>0</v>
      </c>
      <c r="BU215" s="310">
        <f t="shared" si="94"/>
        <v>0</v>
      </c>
      <c r="BV215" s="368">
        <v>0</v>
      </c>
      <c r="BW215" s="369">
        <v>0</v>
      </c>
      <c r="BX215" s="313">
        <f t="shared" si="95"/>
        <v>0</v>
      </c>
      <c r="BY215" s="383"/>
      <c r="BZ215" s="370"/>
      <c r="CA215" s="370"/>
      <c r="CB215" s="370"/>
    </row>
    <row r="216" spans="1:80">
      <c r="A216" s="337" t="s">
        <v>407</v>
      </c>
      <c r="B216" s="338" t="s">
        <v>927</v>
      </c>
      <c r="C216" s="337">
        <v>160612</v>
      </c>
      <c r="D216" s="337">
        <v>3</v>
      </c>
      <c r="E216" s="308">
        <v>82</v>
      </c>
      <c r="F216" s="309">
        <v>73062</v>
      </c>
      <c r="G216" s="310">
        <f t="shared" si="72"/>
        <v>5991084</v>
      </c>
      <c r="H216" s="368">
        <v>86</v>
      </c>
      <c r="I216" s="369">
        <v>78794</v>
      </c>
      <c r="J216" s="313">
        <f t="shared" si="73"/>
        <v>6776284</v>
      </c>
      <c r="K216" s="308">
        <v>105</v>
      </c>
      <c r="L216" s="309">
        <v>63092</v>
      </c>
      <c r="M216" s="310">
        <f t="shared" si="74"/>
        <v>6624660</v>
      </c>
      <c r="N216" s="368">
        <v>106</v>
      </c>
      <c r="O216" s="369">
        <v>66982</v>
      </c>
      <c r="P216" s="313">
        <f t="shared" si="75"/>
        <v>7100092</v>
      </c>
      <c r="Q216" s="308">
        <v>118</v>
      </c>
      <c r="R216" s="309">
        <v>54569</v>
      </c>
      <c r="S216" s="310">
        <f t="shared" si="76"/>
        <v>6439142</v>
      </c>
      <c r="T216" s="368">
        <v>113</v>
      </c>
      <c r="U216" s="369">
        <v>58241</v>
      </c>
      <c r="V216" s="313">
        <f t="shared" si="77"/>
        <v>6581233</v>
      </c>
      <c r="W216" s="308">
        <v>203</v>
      </c>
      <c r="X216" s="309">
        <v>41680</v>
      </c>
      <c r="Y216" s="310">
        <f t="shared" si="78"/>
        <v>8461040</v>
      </c>
      <c r="Z216" s="368">
        <v>214</v>
      </c>
      <c r="AA216" s="369">
        <v>44317</v>
      </c>
      <c r="AB216" s="313">
        <f t="shared" si="79"/>
        <v>9483838</v>
      </c>
      <c r="AC216" s="308">
        <v>0</v>
      </c>
      <c r="AD216" s="309">
        <v>0</v>
      </c>
      <c r="AE216" s="310">
        <f t="shared" si="80"/>
        <v>0</v>
      </c>
      <c r="AF216" s="368">
        <v>0</v>
      </c>
      <c r="AG216" s="369">
        <v>0</v>
      </c>
      <c r="AH216" s="313">
        <f t="shared" si="81"/>
        <v>0</v>
      </c>
      <c r="AI216" s="308">
        <v>0</v>
      </c>
      <c r="AJ216" s="309">
        <v>0</v>
      </c>
      <c r="AK216" s="310">
        <f t="shared" si="82"/>
        <v>0</v>
      </c>
      <c r="AL216" s="369">
        <v>0</v>
      </c>
      <c r="AM216" s="369">
        <v>0</v>
      </c>
      <c r="AN216" s="313">
        <f t="shared" si="83"/>
        <v>0</v>
      </c>
      <c r="AO216" s="308">
        <v>13</v>
      </c>
      <c r="AP216" s="309">
        <v>102525</v>
      </c>
      <c r="AQ216" s="310">
        <f t="shared" si="84"/>
        <v>1090517.415</v>
      </c>
      <c r="AR216" s="368">
        <v>12</v>
      </c>
      <c r="AS216" s="369">
        <v>107955</v>
      </c>
      <c r="AT216" s="313">
        <f t="shared" si="85"/>
        <v>1059945.372</v>
      </c>
      <c r="AU216" s="308">
        <v>6</v>
      </c>
      <c r="AV216" s="309">
        <v>102824</v>
      </c>
      <c r="AW216" s="310">
        <f t="shared" si="86"/>
        <v>504783.5808</v>
      </c>
      <c r="AX216" s="368">
        <v>7</v>
      </c>
      <c r="AY216" s="369">
        <v>110994</v>
      </c>
      <c r="AZ216" s="313">
        <f t="shared" si="87"/>
        <v>635707.03560000006</v>
      </c>
      <c r="BA216" s="308">
        <v>1</v>
      </c>
      <c r="BB216" s="309">
        <v>79710</v>
      </c>
      <c r="BC216" s="310">
        <f t="shared" si="88"/>
        <v>65218.722000000002</v>
      </c>
      <c r="BD216" s="368">
        <v>1</v>
      </c>
      <c r="BE216" s="369">
        <v>84710</v>
      </c>
      <c r="BF216" s="313">
        <f t="shared" si="89"/>
        <v>69309.722000000009</v>
      </c>
      <c r="BG216" s="308">
        <v>0</v>
      </c>
      <c r="BH216" s="309">
        <v>0</v>
      </c>
      <c r="BI216" s="310">
        <f t="shared" si="90"/>
        <v>0</v>
      </c>
      <c r="BJ216" s="368">
        <v>1</v>
      </c>
      <c r="BK216" s="369">
        <v>59271</v>
      </c>
      <c r="BL216" s="313">
        <f t="shared" si="91"/>
        <v>48495.532200000001</v>
      </c>
      <c r="BM216" s="308">
        <v>0</v>
      </c>
      <c r="BN216" s="309">
        <v>0</v>
      </c>
      <c r="BO216" s="310">
        <f t="shared" si="92"/>
        <v>0</v>
      </c>
      <c r="BP216" s="368">
        <v>0</v>
      </c>
      <c r="BQ216" s="369">
        <v>0</v>
      </c>
      <c r="BR216" s="313">
        <f t="shared" si="93"/>
        <v>0</v>
      </c>
      <c r="BS216" s="308">
        <v>0</v>
      </c>
      <c r="BT216" s="309">
        <v>0</v>
      </c>
      <c r="BU216" s="310">
        <f t="shared" si="94"/>
        <v>0</v>
      </c>
      <c r="BV216" s="368">
        <v>0</v>
      </c>
      <c r="BW216" s="369">
        <v>0</v>
      </c>
      <c r="BX216" s="313">
        <f t="shared" si="95"/>
        <v>0</v>
      </c>
      <c r="BY216" s="383"/>
      <c r="BZ216" s="370"/>
      <c r="CA216" s="370"/>
      <c r="CB216" s="370"/>
    </row>
    <row r="217" spans="1:80">
      <c r="A217" s="337" t="s">
        <v>407</v>
      </c>
      <c r="B217" s="338" t="s">
        <v>928</v>
      </c>
      <c r="C217" s="337">
        <v>160621</v>
      </c>
      <c r="D217" s="337">
        <v>3</v>
      </c>
      <c r="E217" s="308">
        <v>112</v>
      </c>
      <c r="F217" s="309">
        <v>76744</v>
      </c>
      <c r="G217" s="310">
        <f t="shared" si="72"/>
        <v>8595328</v>
      </c>
      <c r="H217" s="368">
        <v>115</v>
      </c>
      <c r="I217" s="369">
        <v>77552</v>
      </c>
      <c r="J217" s="313">
        <f t="shared" si="73"/>
        <v>8918480</v>
      </c>
      <c r="K217" s="308">
        <v>84</v>
      </c>
      <c r="L217" s="309">
        <v>63389</v>
      </c>
      <c r="M217" s="310">
        <f t="shared" si="74"/>
        <v>5324676</v>
      </c>
      <c r="N217" s="368">
        <v>82</v>
      </c>
      <c r="O217" s="369">
        <v>62655</v>
      </c>
      <c r="P217" s="313">
        <f t="shared" si="75"/>
        <v>5137710</v>
      </c>
      <c r="Q217" s="308">
        <v>156</v>
      </c>
      <c r="R217" s="309">
        <v>56371</v>
      </c>
      <c r="S217" s="310">
        <f t="shared" si="76"/>
        <v>8793876</v>
      </c>
      <c r="T217" s="368">
        <v>164</v>
      </c>
      <c r="U217" s="369">
        <v>54728</v>
      </c>
      <c r="V217" s="313">
        <f t="shared" si="77"/>
        <v>8975392</v>
      </c>
      <c r="W217" s="308">
        <v>99</v>
      </c>
      <c r="X217" s="309">
        <v>39864</v>
      </c>
      <c r="Y217" s="310">
        <f t="shared" si="78"/>
        <v>3946536</v>
      </c>
      <c r="Z217" s="368">
        <v>82</v>
      </c>
      <c r="AA217" s="369">
        <v>42910</v>
      </c>
      <c r="AB217" s="313">
        <f t="shared" si="79"/>
        <v>3518620</v>
      </c>
      <c r="AC217" s="308">
        <v>0</v>
      </c>
      <c r="AD217" s="309">
        <v>0</v>
      </c>
      <c r="AE217" s="310">
        <f t="shared" si="80"/>
        <v>0</v>
      </c>
      <c r="AF217" s="368">
        <f>20+9</f>
        <v>29</v>
      </c>
      <c r="AG217" s="369">
        <f>((20*32739)+(9*20588))/(20+9)</f>
        <v>28968</v>
      </c>
      <c r="AH217" s="313">
        <f t="shared" si="81"/>
        <v>840072</v>
      </c>
      <c r="AI217" s="308"/>
      <c r="AJ217" s="309"/>
      <c r="AK217" s="310">
        <f t="shared" si="82"/>
        <v>0</v>
      </c>
      <c r="AL217" s="369"/>
      <c r="AM217" s="369"/>
      <c r="AN217" s="313">
        <f t="shared" si="83"/>
        <v>0</v>
      </c>
      <c r="AO217" s="308">
        <v>1</v>
      </c>
      <c r="AP217" s="309">
        <v>108218</v>
      </c>
      <c r="AQ217" s="310">
        <f t="shared" si="84"/>
        <v>88543.967600000004</v>
      </c>
      <c r="AR217" s="368">
        <v>12</v>
      </c>
      <c r="AS217" s="369">
        <v>95886</v>
      </c>
      <c r="AT217" s="313">
        <f t="shared" si="85"/>
        <v>941447.10240000009</v>
      </c>
      <c r="AU217" s="308">
        <v>0</v>
      </c>
      <c r="AV217" s="309">
        <v>0</v>
      </c>
      <c r="AW217" s="310">
        <f t="shared" si="86"/>
        <v>0</v>
      </c>
      <c r="AX217" s="368">
        <v>1</v>
      </c>
      <c r="AY217" s="369">
        <v>70907</v>
      </c>
      <c r="AZ217" s="313">
        <f t="shared" si="87"/>
        <v>58016.107400000001</v>
      </c>
      <c r="BA217" s="308">
        <v>0</v>
      </c>
      <c r="BB217" s="309">
        <v>0</v>
      </c>
      <c r="BC217" s="310">
        <f t="shared" si="88"/>
        <v>0</v>
      </c>
      <c r="BD217" s="368">
        <v>4</v>
      </c>
      <c r="BE217" s="369">
        <v>72659</v>
      </c>
      <c r="BF217" s="313">
        <f t="shared" si="89"/>
        <v>237798.37520000001</v>
      </c>
      <c r="BG217" s="308">
        <v>0</v>
      </c>
      <c r="BH217" s="309">
        <v>0</v>
      </c>
      <c r="BI217" s="310">
        <f t="shared" si="90"/>
        <v>0</v>
      </c>
      <c r="BJ217" s="368">
        <v>1</v>
      </c>
      <c r="BK217" s="369">
        <v>49349</v>
      </c>
      <c r="BL217" s="313">
        <f t="shared" si="91"/>
        <v>40377.351800000004</v>
      </c>
      <c r="BM217" s="308">
        <v>0</v>
      </c>
      <c r="BN217" s="309">
        <v>0</v>
      </c>
      <c r="BO217" s="310">
        <f t="shared" si="92"/>
        <v>0</v>
      </c>
      <c r="BP217" s="368">
        <v>0</v>
      </c>
      <c r="BQ217" s="369">
        <v>0</v>
      </c>
      <c r="BR217" s="313">
        <f t="shared" si="93"/>
        <v>0</v>
      </c>
      <c r="BS217" s="308">
        <v>0</v>
      </c>
      <c r="BT217" s="309">
        <v>0</v>
      </c>
      <c r="BU217" s="310">
        <f t="shared" si="94"/>
        <v>0</v>
      </c>
      <c r="BV217" s="368">
        <v>0</v>
      </c>
      <c r="BW217" s="369">
        <v>0</v>
      </c>
      <c r="BX217" s="313">
        <f t="shared" si="95"/>
        <v>0</v>
      </c>
      <c r="BY217" s="383"/>
      <c r="BZ217" s="370"/>
      <c r="CA217" s="370"/>
      <c r="CB217" s="370"/>
    </row>
    <row r="218" spans="1:80">
      <c r="A218" s="337" t="s">
        <v>407</v>
      </c>
      <c r="B218" s="338" t="s">
        <v>929</v>
      </c>
      <c r="C218" s="337">
        <v>159993</v>
      </c>
      <c r="D218" s="339">
        <v>3</v>
      </c>
      <c r="E218" s="308">
        <v>54</v>
      </c>
      <c r="F218" s="309">
        <v>69527</v>
      </c>
      <c r="G218" s="310">
        <f t="shared" si="72"/>
        <v>3754458</v>
      </c>
      <c r="H218" s="368">
        <v>49</v>
      </c>
      <c r="I218" s="369">
        <v>72389</v>
      </c>
      <c r="J218" s="313">
        <f t="shared" si="73"/>
        <v>3547061</v>
      </c>
      <c r="K218" s="308">
        <v>75</v>
      </c>
      <c r="L218" s="309">
        <v>60562</v>
      </c>
      <c r="M218" s="310">
        <f t="shared" si="74"/>
        <v>4542150</v>
      </c>
      <c r="N218" s="368">
        <v>67</v>
      </c>
      <c r="O218" s="369">
        <v>63258</v>
      </c>
      <c r="P218" s="313">
        <f t="shared" si="75"/>
        <v>4238286</v>
      </c>
      <c r="Q218" s="308">
        <v>119</v>
      </c>
      <c r="R218" s="309">
        <v>50396</v>
      </c>
      <c r="S218" s="310">
        <f t="shared" si="76"/>
        <v>5997124</v>
      </c>
      <c r="T218" s="368">
        <v>121</v>
      </c>
      <c r="U218" s="369">
        <v>51555</v>
      </c>
      <c r="V218" s="313">
        <f t="shared" si="77"/>
        <v>6238155</v>
      </c>
      <c r="W218" s="308">
        <v>63</v>
      </c>
      <c r="X218" s="309">
        <v>38498</v>
      </c>
      <c r="Y218" s="310">
        <f t="shared" si="78"/>
        <v>2425374</v>
      </c>
      <c r="Z218" s="368">
        <v>72</v>
      </c>
      <c r="AA218" s="369">
        <v>39598</v>
      </c>
      <c r="AB218" s="313">
        <f t="shared" si="79"/>
        <v>2851056</v>
      </c>
      <c r="AC218" s="308">
        <v>0</v>
      </c>
      <c r="AD218" s="309">
        <v>0</v>
      </c>
      <c r="AE218" s="310">
        <f t="shared" si="80"/>
        <v>0</v>
      </c>
      <c r="AF218" s="368">
        <v>0</v>
      </c>
      <c r="AG218" s="369"/>
      <c r="AH218" s="313">
        <f t="shared" si="81"/>
        <v>0</v>
      </c>
      <c r="AI218" s="308">
        <v>0</v>
      </c>
      <c r="AJ218" s="309">
        <v>0</v>
      </c>
      <c r="AK218" s="310">
        <f t="shared" si="82"/>
        <v>0</v>
      </c>
      <c r="AL218" s="369">
        <v>0</v>
      </c>
      <c r="AM218" s="369">
        <v>0</v>
      </c>
      <c r="AN218" s="313">
        <f t="shared" si="83"/>
        <v>0</v>
      </c>
      <c r="AO218" s="308">
        <v>5</v>
      </c>
      <c r="AP218" s="309">
        <v>107019</v>
      </c>
      <c r="AQ218" s="310">
        <f t="shared" si="84"/>
        <v>437814.72899999999</v>
      </c>
      <c r="AR218" s="368">
        <v>3</v>
      </c>
      <c r="AS218" s="369">
        <v>120751</v>
      </c>
      <c r="AT218" s="313">
        <f t="shared" si="85"/>
        <v>296395.40460000001</v>
      </c>
      <c r="AU218" s="308">
        <v>11</v>
      </c>
      <c r="AV218" s="309">
        <v>98926</v>
      </c>
      <c r="AW218" s="310">
        <f t="shared" si="86"/>
        <v>890353.78520000004</v>
      </c>
      <c r="AX218" s="368">
        <v>13</v>
      </c>
      <c r="AY218" s="369">
        <v>99584</v>
      </c>
      <c r="AZ218" s="313">
        <f t="shared" si="87"/>
        <v>1059235.1744000001</v>
      </c>
      <c r="BA218" s="308">
        <v>28</v>
      </c>
      <c r="BB218" s="309">
        <v>91530</v>
      </c>
      <c r="BC218" s="310">
        <f t="shared" si="88"/>
        <v>2096915.6880000001</v>
      </c>
      <c r="BD218" s="368">
        <v>38</v>
      </c>
      <c r="BE218" s="369">
        <v>90773</v>
      </c>
      <c r="BF218" s="313">
        <f t="shared" si="89"/>
        <v>2822277.8067999999</v>
      </c>
      <c r="BG218" s="308">
        <v>3</v>
      </c>
      <c r="BH218" s="309">
        <v>51691</v>
      </c>
      <c r="BI218" s="310">
        <f t="shared" si="90"/>
        <v>126880.7286</v>
      </c>
      <c r="BJ218" s="368">
        <v>7</v>
      </c>
      <c r="BK218" s="369">
        <v>60715</v>
      </c>
      <c r="BL218" s="313">
        <f t="shared" si="91"/>
        <v>347739.09100000001</v>
      </c>
      <c r="BM218" s="308">
        <v>0</v>
      </c>
      <c r="BN218" s="309">
        <v>0</v>
      </c>
      <c r="BO218" s="310">
        <f t="shared" si="92"/>
        <v>0</v>
      </c>
      <c r="BP218" s="368">
        <v>0</v>
      </c>
      <c r="BQ218" s="369">
        <v>0</v>
      </c>
      <c r="BR218" s="313">
        <f t="shared" si="93"/>
        <v>0</v>
      </c>
      <c r="BS218" s="308">
        <v>0</v>
      </c>
      <c r="BT218" s="309">
        <v>0</v>
      </c>
      <c r="BU218" s="310">
        <f t="shared" si="94"/>
        <v>0</v>
      </c>
      <c r="BV218" s="368">
        <v>0</v>
      </c>
      <c r="BW218" s="369">
        <v>0</v>
      </c>
      <c r="BX218" s="313">
        <f t="shared" si="95"/>
        <v>0</v>
      </c>
      <c r="BY218" s="383"/>
      <c r="BZ218" s="370"/>
      <c r="CA218" s="370"/>
      <c r="CB218" s="370"/>
    </row>
    <row r="219" spans="1:80">
      <c r="A219" s="337" t="s">
        <v>407</v>
      </c>
      <c r="B219" s="338" t="s">
        <v>930</v>
      </c>
      <c r="C219" s="337">
        <v>159009</v>
      </c>
      <c r="D219" s="339">
        <v>4</v>
      </c>
      <c r="E219" s="308">
        <v>52</v>
      </c>
      <c r="F219" s="309">
        <v>70328</v>
      </c>
      <c r="G219" s="310">
        <f t="shared" si="72"/>
        <v>3657056</v>
      </c>
      <c r="H219" s="368">
        <v>52</v>
      </c>
      <c r="I219" s="369">
        <v>70726</v>
      </c>
      <c r="J219" s="313">
        <f t="shared" si="73"/>
        <v>3677752</v>
      </c>
      <c r="K219" s="308">
        <v>44</v>
      </c>
      <c r="L219" s="309">
        <v>58965</v>
      </c>
      <c r="M219" s="310">
        <f t="shared" si="74"/>
        <v>2594460</v>
      </c>
      <c r="N219" s="368">
        <v>36</v>
      </c>
      <c r="O219" s="369">
        <v>58932</v>
      </c>
      <c r="P219" s="313">
        <f t="shared" si="75"/>
        <v>2121552</v>
      </c>
      <c r="Q219" s="308">
        <v>81</v>
      </c>
      <c r="R219" s="309">
        <v>51178</v>
      </c>
      <c r="S219" s="310">
        <f t="shared" si="76"/>
        <v>4145418</v>
      </c>
      <c r="T219" s="368">
        <v>83</v>
      </c>
      <c r="U219" s="369">
        <v>50937</v>
      </c>
      <c r="V219" s="313">
        <f t="shared" si="77"/>
        <v>4227771</v>
      </c>
      <c r="W219" s="308">
        <v>28</v>
      </c>
      <c r="X219" s="309">
        <v>40932</v>
      </c>
      <c r="Y219" s="310">
        <f t="shared" si="78"/>
        <v>1146096</v>
      </c>
      <c r="Z219" s="368">
        <v>25</v>
      </c>
      <c r="AA219" s="369">
        <v>42048</v>
      </c>
      <c r="AB219" s="313">
        <f t="shared" si="79"/>
        <v>1051200</v>
      </c>
      <c r="AC219" s="308">
        <v>0</v>
      </c>
      <c r="AD219" s="309">
        <v>0</v>
      </c>
      <c r="AE219" s="310">
        <f t="shared" si="80"/>
        <v>0</v>
      </c>
      <c r="AF219" s="368">
        <v>13</v>
      </c>
      <c r="AG219" s="369">
        <v>43561</v>
      </c>
      <c r="AH219" s="313">
        <f t="shared" si="81"/>
        <v>566293</v>
      </c>
      <c r="AI219" s="308">
        <v>0</v>
      </c>
      <c r="AJ219" s="309">
        <v>0</v>
      </c>
      <c r="AK219" s="310">
        <f t="shared" si="82"/>
        <v>0</v>
      </c>
      <c r="AL219" s="369">
        <v>0</v>
      </c>
      <c r="AM219" s="369">
        <v>0</v>
      </c>
      <c r="AN219" s="313">
        <f t="shared" si="83"/>
        <v>0</v>
      </c>
      <c r="AO219" s="308">
        <v>12</v>
      </c>
      <c r="AP219" s="309">
        <v>87528</v>
      </c>
      <c r="AQ219" s="310">
        <f t="shared" si="84"/>
        <v>859384.91520000005</v>
      </c>
      <c r="AR219" s="368">
        <v>7</v>
      </c>
      <c r="AS219" s="369">
        <v>87430</v>
      </c>
      <c r="AT219" s="313">
        <f t="shared" si="85"/>
        <v>500746.58199999999</v>
      </c>
      <c r="AU219" s="308">
        <v>12</v>
      </c>
      <c r="AV219" s="309">
        <v>72754</v>
      </c>
      <c r="AW219" s="310">
        <f t="shared" si="86"/>
        <v>714327.87360000005</v>
      </c>
      <c r="AX219" s="368">
        <v>13</v>
      </c>
      <c r="AY219" s="369">
        <v>74313</v>
      </c>
      <c r="AZ219" s="313">
        <f t="shared" si="87"/>
        <v>790437.65580000007</v>
      </c>
      <c r="BA219" s="308">
        <v>13</v>
      </c>
      <c r="BB219" s="309">
        <v>68278</v>
      </c>
      <c r="BC219" s="310">
        <f t="shared" si="88"/>
        <v>726245.77480000001</v>
      </c>
      <c r="BD219" s="368">
        <v>19</v>
      </c>
      <c r="BE219" s="369">
        <v>63085</v>
      </c>
      <c r="BF219" s="313">
        <f t="shared" si="89"/>
        <v>980706.79300000006</v>
      </c>
      <c r="BG219" s="308">
        <v>7</v>
      </c>
      <c r="BH219" s="309">
        <v>43256</v>
      </c>
      <c r="BI219" s="310">
        <f t="shared" si="90"/>
        <v>247744.41440000001</v>
      </c>
      <c r="BJ219" s="368">
        <v>9</v>
      </c>
      <c r="BK219" s="369">
        <v>44819</v>
      </c>
      <c r="BL219" s="313">
        <f t="shared" si="91"/>
        <v>330038.15220000001</v>
      </c>
      <c r="BM219" s="308">
        <v>0</v>
      </c>
      <c r="BN219" s="309">
        <v>0</v>
      </c>
      <c r="BO219" s="310">
        <f t="shared" si="92"/>
        <v>0</v>
      </c>
      <c r="BP219" s="368">
        <v>1</v>
      </c>
      <c r="BQ219" s="369">
        <v>69644</v>
      </c>
      <c r="BR219" s="313">
        <f t="shared" si="93"/>
        <v>56982.720800000003</v>
      </c>
      <c r="BS219" s="308">
        <v>0</v>
      </c>
      <c r="BT219" s="309">
        <v>0</v>
      </c>
      <c r="BU219" s="310">
        <f t="shared" si="94"/>
        <v>0</v>
      </c>
      <c r="BV219" s="368">
        <v>0</v>
      </c>
      <c r="BW219" s="369">
        <v>0</v>
      </c>
      <c r="BX219" s="313">
        <f t="shared" si="95"/>
        <v>0</v>
      </c>
      <c r="BY219" s="383"/>
      <c r="BZ219" s="370"/>
      <c r="CA219" s="370"/>
      <c r="CB219" s="370"/>
    </row>
    <row r="220" spans="1:80">
      <c r="A220" s="337" t="s">
        <v>407</v>
      </c>
      <c r="B220" s="338" t="s">
        <v>931</v>
      </c>
      <c r="C220" s="337">
        <v>159416</v>
      </c>
      <c r="D220" s="339">
        <v>4</v>
      </c>
      <c r="E220" s="308">
        <v>45</v>
      </c>
      <c r="F220" s="309">
        <v>67524</v>
      </c>
      <c r="G220" s="310">
        <f t="shared" si="72"/>
        <v>3038580</v>
      </c>
      <c r="H220" s="368">
        <v>33</v>
      </c>
      <c r="I220" s="369">
        <v>65966</v>
      </c>
      <c r="J220" s="313">
        <f t="shared" si="73"/>
        <v>2176878</v>
      </c>
      <c r="K220" s="308">
        <v>33</v>
      </c>
      <c r="L220" s="309">
        <v>57498</v>
      </c>
      <c r="M220" s="310">
        <f t="shared" si="74"/>
        <v>1897434</v>
      </c>
      <c r="N220" s="368">
        <v>31</v>
      </c>
      <c r="O220" s="369">
        <v>58495</v>
      </c>
      <c r="P220" s="313">
        <f t="shared" si="75"/>
        <v>1813345</v>
      </c>
      <c r="Q220" s="308">
        <v>33</v>
      </c>
      <c r="R220" s="309">
        <v>53901</v>
      </c>
      <c r="S220" s="310">
        <f t="shared" si="76"/>
        <v>1778733</v>
      </c>
      <c r="T220" s="368">
        <v>37</v>
      </c>
      <c r="U220" s="369">
        <v>54037</v>
      </c>
      <c r="V220" s="313">
        <f t="shared" si="77"/>
        <v>1999369</v>
      </c>
      <c r="W220" s="308">
        <v>20</v>
      </c>
      <c r="X220" s="309">
        <v>36772</v>
      </c>
      <c r="Y220" s="310">
        <f t="shared" si="78"/>
        <v>735440</v>
      </c>
      <c r="Z220" s="368">
        <v>27</v>
      </c>
      <c r="AA220" s="369">
        <v>37177</v>
      </c>
      <c r="AB220" s="313">
        <f t="shared" si="79"/>
        <v>1003779</v>
      </c>
      <c r="AC220" s="308">
        <v>0</v>
      </c>
      <c r="AD220" s="309">
        <v>0</v>
      </c>
      <c r="AE220" s="310">
        <f t="shared" si="80"/>
        <v>0</v>
      </c>
      <c r="AF220" s="368">
        <v>0</v>
      </c>
      <c r="AG220" s="369">
        <v>0</v>
      </c>
      <c r="AH220" s="313">
        <f t="shared" si="81"/>
        <v>0</v>
      </c>
      <c r="AI220" s="308">
        <v>0</v>
      </c>
      <c r="AJ220" s="309">
        <v>0</v>
      </c>
      <c r="AK220" s="310">
        <f t="shared" si="82"/>
        <v>0</v>
      </c>
      <c r="AL220" s="369">
        <v>0</v>
      </c>
      <c r="AM220" s="369">
        <v>0</v>
      </c>
      <c r="AN220" s="313">
        <f t="shared" si="83"/>
        <v>0</v>
      </c>
      <c r="AO220" s="308">
        <v>1</v>
      </c>
      <c r="AP220" s="309">
        <v>79668</v>
      </c>
      <c r="AQ220" s="310">
        <f t="shared" si="84"/>
        <v>65184.357600000003</v>
      </c>
      <c r="AR220" s="368">
        <v>1</v>
      </c>
      <c r="AS220" s="369">
        <v>55917</v>
      </c>
      <c r="AT220" s="313">
        <f t="shared" si="85"/>
        <v>45751.289400000001</v>
      </c>
      <c r="AU220" s="308">
        <v>0</v>
      </c>
      <c r="AV220" s="309">
        <v>0</v>
      </c>
      <c r="AW220" s="310">
        <f t="shared" si="86"/>
        <v>0</v>
      </c>
      <c r="AX220" s="368">
        <v>1</v>
      </c>
      <c r="AY220" s="369">
        <v>98000</v>
      </c>
      <c r="AZ220" s="313">
        <f t="shared" si="87"/>
        <v>80183.600000000006</v>
      </c>
      <c r="BA220" s="308">
        <v>1</v>
      </c>
      <c r="BB220" s="309">
        <v>39640</v>
      </c>
      <c r="BC220" s="310">
        <f t="shared" si="88"/>
        <v>32433.448</v>
      </c>
      <c r="BD220" s="368">
        <v>0</v>
      </c>
      <c r="BE220" s="369">
        <v>0</v>
      </c>
      <c r="BF220" s="313">
        <f t="shared" si="89"/>
        <v>0</v>
      </c>
      <c r="BG220" s="308">
        <v>3</v>
      </c>
      <c r="BH220" s="309">
        <v>54121</v>
      </c>
      <c r="BI220" s="310">
        <f t="shared" si="90"/>
        <v>132845.40660000002</v>
      </c>
      <c r="BJ220" s="368">
        <v>4</v>
      </c>
      <c r="BK220" s="369">
        <v>58231</v>
      </c>
      <c r="BL220" s="313">
        <f t="shared" si="91"/>
        <v>190578.41680000001</v>
      </c>
      <c r="BM220" s="308">
        <v>0</v>
      </c>
      <c r="BN220" s="309">
        <v>0</v>
      </c>
      <c r="BO220" s="310">
        <f t="shared" si="92"/>
        <v>0</v>
      </c>
      <c r="BP220" s="368">
        <v>3</v>
      </c>
      <c r="BQ220" s="369">
        <v>33333</v>
      </c>
      <c r="BR220" s="313">
        <f t="shared" si="93"/>
        <v>81819.181800000006</v>
      </c>
      <c r="BS220" s="308">
        <v>0</v>
      </c>
      <c r="BT220" s="309">
        <v>0</v>
      </c>
      <c r="BU220" s="310">
        <f t="shared" si="94"/>
        <v>0</v>
      </c>
      <c r="BV220" s="368"/>
      <c r="BW220" s="369"/>
      <c r="BX220" s="313">
        <f t="shared" si="95"/>
        <v>0</v>
      </c>
      <c r="BY220" s="383"/>
      <c r="BZ220" s="370"/>
      <c r="CA220" s="370"/>
      <c r="CB220" s="370"/>
    </row>
    <row r="221" spans="1:80">
      <c r="A221" s="337" t="s">
        <v>407</v>
      </c>
      <c r="B221" s="338" t="s">
        <v>932</v>
      </c>
      <c r="C221" s="337">
        <v>159717</v>
      </c>
      <c r="D221" s="337">
        <v>4</v>
      </c>
      <c r="E221" s="308">
        <v>63</v>
      </c>
      <c r="F221" s="309">
        <v>77994</v>
      </c>
      <c r="G221" s="310">
        <f t="shared" si="72"/>
        <v>4913622</v>
      </c>
      <c r="H221" s="368">
        <v>64</v>
      </c>
      <c r="I221" s="369">
        <v>81114</v>
      </c>
      <c r="J221" s="313">
        <f t="shared" si="73"/>
        <v>5191296</v>
      </c>
      <c r="K221" s="308">
        <v>56</v>
      </c>
      <c r="L221" s="309">
        <v>62366</v>
      </c>
      <c r="M221" s="310">
        <f t="shared" si="74"/>
        <v>3492496</v>
      </c>
      <c r="N221" s="368">
        <v>49</v>
      </c>
      <c r="O221" s="369">
        <v>65542</v>
      </c>
      <c r="P221" s="313">
        <f t="shared" si="75"/>
        <v>3211558</v>
      </c>
      <c r="Q221" s="308">
        <v>135</v>
      </c>
      <c r="R221" s="309">
        <v>53531</v>
      </c>
      <c r="S221" s="310">
        <f t="shared" si="76"/>
        <v>7226685</v>
      </c>
      <c r="T221" s="368">
        <v>143</v>
      </c>
      <c r="U221" s="369">
        <v>55584</v>
      </c>
      <c r="V221" s="313">
        <f t="shared" si="77"/>
        <v>7948512</v>
      </c>
      <c r="W221" s="308">
        <v>56</v>
      </c>
      <c r="X221" s="309">
        <v>40607</v>
      </c>
      <c r="Y221" s="310">
        <f t="shared" si="78"/>
        <v>2273992</v>
      </c>
      <c r="Z221" s="368">
        <v>61</v>
      </c>
      <c r="AA221" s="369">
        <v>42138</v>
      </c>
      <c r="AB221" s="313">
        <f t="shared" si="79"/>
        <v>2570418</v>
      </c>
      <c r="AC221" s="308">
        <v>0</v>
      </c>
      <c r="AD221" s="309">
        <v>0</v>
      </c>
      <c r="AE221" s="310">
        <f t="shared" si="80"/>
        <v>0</v>
      </c>
      <c r="AF221" s="368">
        <v>0</v>
      </c>
      <c r="AG221" s="369">
        <v>0</v>
      </c>
      <c r="AH221" s="313">
        <f t="shared" si="81"/>
        <v>0</v>
      </c>
      <c r="AI221" s="308">
        <v>0</v>
      </c>
      <c r="AJ221" s="309">
        <v>0</v>
      </c>
      <c r="AK221" s="310">
        <f t="shared" si="82"/>
        <v>0</v>
      </c>
      <c r="AL221" s="369">
        <v>0</v>
      </c>
      <c r="AM221" s="369">
        <v>0</v>
      </c>
      <c r="AN221" s="313">
        <f t="shared" si="83"/>
        <v>0</v>
      </c>
      <c r="AO221" s="308">
        <v>0</v>
      </c>
      <c r="AP221" s="309">
        <v>0</v>
      </c>
      <c r="AQ221" s="310">
        <f t="shared" si="84"/>
        <v>0</v>
      </c>
      <c r="AR221" s="368">
        <v>0</v>
      </c>
      <c r="AS221" s="369">
        <v>0</v>
      </c>
      <c r="AT221" s="313">
        <f t="shared" si="85"/>
        <v>0</v>
      </c>
      <c r="AU221" s="308">
        <v>0</v>
      </c>
      <c r="AV221" s="309">
        <v>0</v>
      </c>
      <c r="AW221" s="310">
        <f t="shared" si="86"/>
        <v>0</v>
      </c>
      <c r="AX221" s="368">
        <v>0</v>
      </c>
      <c r="AY221" s="369">
        <v>0</v>
      </c>
      <c r="AZ221" s="313">
        <f t="shared" si="87"/>
        <v>0</v>
      </c>
      <c r="BA221" s="308">
        <v>5</v>
      </c>
      <c r="BB221" s="309">
        <v>56793</v>
      </c>
      <c r="BC221" s="310">
        <f t="shared" si="88"/>
        <v>232340.163</v>
      </c>
      <c r="BD221" s="368">
        <v>5</v>
      </c>
      <c r="BE221" s="369">
        <v>59557</v>
      </c>
      <c r="BF221" s="313">
        <f t="shared" si="89"/>
        <v>243647.68700000001</v>
      </c>
      <c r="BG221" s="308">
        <v>0</v>
      </c>
      <c r="BH221" s="309">
        <v>0</v>
      </c>
      <c r="BI221" s="310">
        <f t="shared" si="90"/>
        <v>0</v>
      </c>
      <c r="BJ221" s="368">
        <v>0</v>
      </c>
      <c r="BK221" s="369">
        <v>0</v>
      </c>
      <c r="BL221" s="313">
        <f t="shared" si="91"/>
        <v>0</v>
      </c>
      <c r="BM221" s="308">
        <v>0</v>
      </c>
      <c r="BN221" s="309">
        <v>0</v>
      </c>
      <c r="BO221" s="310">
        <f t="shared" si="92"/>
        <v>0</v>
      </c>
      <c r="BP221" s="368">
        <v>0</v>
      </c>
      <c r="BQ221" s="369">
        <v>0</v>
      </c>
      <c r="BR221" s="313">
        <f t="shared" si="93"/>
        <v>0</v>
      </c>
      <c r="BS221" s="308">
        <v>0</v>
      </c>
      <c r="BT221" s="309">
        <v>0</v>
      </c>
      <c r="BU221" s="310">
        <f t="shared" si="94"/>
        <v>0</v>
      </c>
      <c r="BV221" s="368">
        <v>0</v>
      </c>
      <c r="BW221" s="369">
        <v>0</v>
      </c>
      <c r="BX221" s="313">
        <f t="shared" si="95"/>
        <v>0</v>
      </c>
      <c r="BY221" s="383"/>
      <c r="BZ221" s="370"/>
      <c r="CA221" s="370"/>
      <c r="CB221" s="370"/>
    </row>
    <row r="222" spans="1:80">
      <c r="A222" s="337" t="s">
        <v>407</v>
      </c>
      <c r="B222" s="338" t="s">
        <v>933</v>
      </c>
      <c r="C222" s="337">
        <v>159966</v>
      </c>
      <c r="D222" s="337">
        <v>4</v>
      </c>
      <c r="E222" s="308">
        <v>39</v>
      </c>
      <c r="F222" s="309">
        <v>74879</v>
      </c>
      <c r="G222" s="310">
        <f t="shared" si="72"/>
        <v>2920281</v>
      </c>
      <c r="H222" s="368">
        <v>35</v>
      </c>
      <c r="I222" s="369">
        <v>73016</v>
      </c>
      <c r="J222" s="313">
        <f t="shared" si="73"/>
        <v>2555560</v>
      </c>
      <c r="K222" s="308">
        <v>60</v>
      </c>
      <c r="L222" s="309">
        <v>59604</v>
      </c>
      <c r="M222" s="310">
        <f t="shared" si="74"/>
        <v>3576240</v>
      </c>
      <c r="N222" s="368">
        <v>57</v>
      </c>
      <c r="O222" s="369">
        <v>58128</v>
      </c>
      <c r="P222" s="313">
        <f t="shared" si="75"/>
        <v>3313296</v>
      </c>
      <c r="Q222" s="308">
        <v>95</v>
      </c>
      <c r="R222" s="309">
        <v>50345</v>
      </c>
      <c r="S222" s="310">
        <f t="shared" si="76"/>
        <v>4782775</v>
      </c>
      <c r="T222" s="368">
        <v>93</v>
      </c>
      <c r="U222" s="369">
        <v>51339</v>
      </c>
      <c r="V222" s="313">
        <f t="shared" si="77"/>
        <v>4774527</v>
      </c>
      <c r="W222" s="308">
        <v>74</v>
      </c>
      <c r="X222" s="309">
        <v>38498</v>
      </c>
      <c r="Y222" s="310">
        <f t="shared" si="78"/>
        <v>2848852</v>
      </c>
      <c r="Z222" s="368">
        <v>79</v>
      </c>
      <c r="AA222" s="369">
        <v>38188</v>
      </c>
      <c r="AB222" s="313">
        <f t="shared" si="79"/>
        <v>3016852</v>
      </c>
      <c r="AC222" s="308">
        <v>4</v>
      </c>
      <c r="AD222" s="309">
        <f>((3*31016)+(1*24245))/(3+1)</f>
        <v>29323.25</v>
      </c>
      <c r="AE222" s="310">
        <f t="shared" si="80"/>
        <v>117293</v>
      </c>
      <c r="AF222" s="368">
        <f>2+1</f>
        <v>3</v>
      </c>
      <c r="AG222" s="369">
        <f>((2*26384)+24245)/(2+1)</f>
        <v>25671</v>
      </c>
      <c r="AH222" s="313">
        <f t="shared" si="81"/>
        <v>77013</v>
      </c>
      <c r="AI222" s="308"/>
      <c r="AJ222" s="309"/>
      <c r="AK222" s="310">
        <f t="shared" si="82"/>
        <v>0</v>
      </c>
      <c r="AL222" s="369"/>
      <c r="AM222" s="369"/>
      <c r="AN222" s="313">
        <f t="shared" si="83"/>
        <v>0</v>
      </c>
      <c r="AO222" s="308">
        <v>2</v>
      </c>
      <c r="AP222" s="309">
        <v>77596</v>
      </c>
      <c r="AQ222" s="310">
        <f t="shared" si="84"/>
        <v>126978.0944</v>
      </c>
      <c r="AR222" s="368">
        <v>7</v>
      </c>
      <c r="AS222" s="369">
        <v>90291</v>
      </c>
      <c r="AT222" s="313">
        <f t="shared" si="85"/>
        <v>517132.67340000003</v>
      </c>
      <c r="AU222" s="308">
        <v>2</v>
      </c>
      <c r="AV222" s="309">
        <v>66259</v>
      </c>
      <c r="AW222" s="310">
        <f t="shared" si="86"/>
        <v>108426.2276</v>
      </c>
      <c r="AX222" s="368">
        <v>7</v>
      </c>
      <c r="AY222" s="369">
        <v>66840</v>
      </c>
      <c r="AZ222" s="313">
        <f t="shared" si="87"/>
        <v>382819.41600000003</v>
      </c>
      <c r="BA222" s="308">
        <v>11</v>
      </c>
      <c r="BB222" s="309">
        <v>50989</v>
      </c>
      <c r="BC222" s="310">
        <f t="shared" si="88"/>
        <v>458911.19780000002</v>
      </c>
      <c r="BD222" s="368">
        <v>12</v>
      </c>
      <c r="BE222" s="369">
        <v>53696</v>
      </c>
      <c r="BF222" s="313">
        <f t="shared" si="89"/>
        <v>527208.8064</v>
      </c>
      <c r="BG222" s="308">
        <v>1</v>
      </c>
      <c r="BH222" s="309">
        <v>38179</v>
      </c>
      <c r="BI222" s="310">
        <f t="shared" si="90"/>
        <v>31238.057800000002</v>
      </c>
      <c r="BJ222" s="368">
        <v>3</v>
      </c>
      <c r="BK222" s="369">
        <v>55585</v>
      </c>
      <c r="BL222" s="313">
        <f t="shared" si="91"/>
        <v>136438.94100000002</v>
      </c>
      <c r="BM222" s="308">
        <v>0</v>
      </c>
      <c r="BN222" s="309">
        <v>0</v>
      </c>
      <c r="BO222" s="310">
        <f t="shared" si="92"/>
        <v>0</v>
      </c>
      <c r="BP222" s="368">
        <v>1</v>
      </c>
      <c r="BQ222" s="369">
        <v>30943</v>
      </c>
      <c r="BR222" s="313">
        <f t="shared" si="93"/>
        <v>25317.562600000001</v>
      </c>
      <c r="BS222" s="308">
        <v>0</v>
      </c>
      <c r="BT222" s="309">
        <v>0</v>
      </c>
      <c r="BU222" s="310">
        <f t="shared" si="94"/>
        <v>0</v>
      </c>
      <c r="BV222" s="368"/>
      <c r="BW222" s="369"/>
      <c r="BX222" s="313">
        <f t="shared" si="95"/>
        <v>0</v>
      </c>
      <c r="BY222" s="383"/>
      <c r="BZ222" s="370"/>
      <c r="CA222" s="370"/>
      <c r="CB222" s="370"/>
    </row>
    <row r="223" spans="1:80">
      <c r="A223" s="337" t="s">
        <v>407</v>
      </c>
      <c r="B223" s="338" t="s">
        <v>934</v>
      </c>
      <c r="C223" s="337">
        <v>160038</v>
      </c>
      <c r="D223" s="339">
        <v>4</v>
      </c>
      <c r="E223" s="308">
        <v>43</v>
      </c>
      <c r="F223" s="309">
        <v>75709</v>
      </c>
      <c r="G223" s="310">
        <f t="shared" si="72"/>
        <v>3255487</v>
      </c>
      <c r="H223" s="368">
        <v>47</v>
      </c>
      <c r="I223" s="369">
        <v>76012</v>
      </c>
      <c r="J223" s="313">
        <f t="shared" si="73"/>
        <v>3572564</v>
      </c>
      <c r="K223" s="308">
        <v>63</v>
      </c>
      <c r="L223" s="309">
        <v>62080</v>
      </c>
      <c r="M223" s="310">
        <f t="shared" si="74"/>
        <v>3911040</v>
      </c>
      <c r="N223" s="368">
        <v>60</v>
      </c>
      <c r="O223" s="369">
        <v>62937</v>
      </c>
      <c r="P223" s="313">
        <f t="shared" si="75"/>
        <v>3776220</v>
      </c>
      <c r="Q223" s="308">
        <v>121</v>
      </c>
      <c r="R223" s="309">
        <v>48913</v>
      </c>
      <c r="S223" s="310">
        <f t="shared" si="76"/>
        <v>5918473</v>
      </c>
      <c r="T223" s="368">
        <v>135</v>
      </c>
      <c r="U223" s="369">
        <v>50006</v>
      </c>
      <c r="V223" s="313">
        <f t="shared" si="77"/>
        <v>6750810</v>
      </c>
      <c r="W223" s="308">
        <v>56</v>
      </c>
      <c r="X223" s="309">
        <v>39760</v>
      </c>
      <c r="Y223" s="310">
        <f t="shared" si="78"/>
        <v>2226560</v>
      </c>
      <c r="Z223" s="368">
        <v>59</v>
      </c>
      <c r="AA223" s="369">
        <v>39772</v>
      </c>
      <c r="AB223" s="313">
        <f t="shared" si="79"/>
        <v>2346548</v>
      </c>
      <c r="AC223" s="308">
        <v>0</v>
      </c>
      <c r="AD223" s="309"/>
      <c r="AE223" s="310">
        <f t="shared" si="80"/>
        <v>0</v>
      </c>
      <c r="AF223" s="368">
        <v>0</v>
      </c>
      <c r="AG223" s="369"/>
      <c r="AH223" s="313">
        <f t="shared" si="81"/>
        <v>0</v>
      </c>
      <c r="AI223" s="308">
        <v>0</v>
      </c>
      <c r="AJ223" s="309">
        <v>0</v>
      </c>
      <c r="AK223" s="310">
        <f t="shared" si="82"/>
        <v>0</v>
      </c>
      <c r="AL223" s="369">
        <v>0</v>
      </c>
      <c r="AM223" s="369">
        <v>0</v>
      </c>
      <c r="AN223" s="313">
        <f t="shared" si="83"/>
        <v>0</v>
      </c>
      <c r="AO223" s="308">
        <v>6</v>
      </c>
      <c r="AP223" s="309">
        <v>92499</v>
      </c>
      <c r="AQ223" s="310">
        <f t="shared" si="84"/>
        <v>454096.09080000001</v>
      </c>
      <c r="AR223" s="368">
        <v>8</v>
      </c>
      <c r="AS223" s="369">
        <v>95499</v>
      </c>
      <c r="AT223" s="313">
        <f t="shared" si="85"/>
        <v>625098.25439999998</v>
      </c>
      <c r="AU223" s="308">
        <v>16</v>
      </c>
      <c r="AV223" s="309">
        <v>83853</v>
      </c>
      <c r="AW223" s="310">
        <f t="shared" si="86"/>
        <v>1097736.3936000001</v>
      </c>
      <c r="AX223" s="368">
        <v>16</v>
      </c>
      <c r="AY223" s="369">
        <v>82322</v>
      </c>
      <c r="AZ223" s="313">
        <f t="shared" si="87"/>
        <v>1077693.7664000001</v>
      </c>
      <c r="BA223" s="308">
        <v>12</v>
      </c>
      <c r="BB223" s="309">
        <v>64917</v>
      </c>
      <c r="BC223" s="310">
        <f t="shared" si="88"/>
        <v>637381.07280000008</v>
      </c>
      <c r="BD223" s="368">
        <v>12</v>
      </c>
      <c r="BE223" s="369">
        <v>67201</v>
      </c>
      <c r="BF223" s="313">
        <f t="shared" si="89"/>
        <v>659806.29840000009</v>
      </c>
      <c r="BG223" s="308">
        <v>4</v>
      </c>
      <c r="BH223" s="309">
        <v>57041</v>
      </c>
      <c r="BI223" s="310">
        <f t="shared" si="90"/>
        <v>186683.78480000002</v>
      </c>
      <c r="BJ223" s="368">
        <v>4</v>
      </c>
      <c r="BK223" s="369">
        <v>58291</v>
      </c>
      <c r="BL223" s="313">
        <f t="shared" si="91"/>
        <v>190774.78480000002</v>
      </c>
      <c r="BM223" s="308">
        <v>0</v>
      </c>
      <c r="BN223" s="309">
        <v>0</v>
      </c>
      <c r="BO223" s="310">
        <f t="shared" si="92"/>
        <v>0</v>
      </c>
      <c r="BP223" s="368">
        <v>0</v>
      </c>
      <c r="BQ223" s="369">
        <v>0</v>
      </c>
      <c r="BR223" s="313">
        <f t="shared" si="93"/>
        <v>0</v>
      </c>
      <c r="BS223" s="308">
        <v>0</v>
      </c>
      <c r="BT223" s="309">
        <v>0</v>
      </c>
      <c r="BU223" s="310">
        <f t="shared" si="94"/>
        <v>0</v>
      </c>
      <c r="BV223" s="368">
        <v>0</v>
      </c>
      <c r="BW223" s="369">
        <v>0</v>
      </c>
      <c r="BX223" s="313">
        <f t="shared" si="95"/>
        <v>0</v>
      </c>
      <c r="BY223" s="383"/>
      <c r="BZ223" s="370"/>
      <c r="CA223" s="370"/>
      <c r="CB223" s="370"/>
    </row>
    <row r="224" spans="1:80">
      <c r="A224" s="337" t="s">
        <v>407</v>
      </c>
      <c r="B224" s="340" t="s">
        <v>935</v>
      </c>
      <c r="C224" s="337">
        <v>160630</v>
      </c>
      <c r="D224" s="337">
        <v>5</v>
      </c>
      <c r="E224" s="308">
        <v>12</v>
      </c>
      <c r="F224" s="309">
        <v>59010</v>
      </c>
      <c r="G224" s="310">
        <f t="shared" si="72"/>
        <v>708120</v>
      </c>
      <c r="H224" s="368">
        <v>12</v>
      </c>
      <c r="I224" s="369">
        <v>67394</v>
      </c>
      <c r="J224" s="313">
        <f t="shared" si="73"/>
        <v>808728</v>
      </c>
      <c r="K224" s="308">
        <v>23</v>
      </c>
      <c r="L224" s="309">
        <v>55436</v>
      </c>
      <c r="M224" s="310">
        <f t="shared" si="74"/>
        <v>1275028</v>
      </c>
      <c r="N224" s="368">
        <v>24</v>
      </c>
      <c r="O224" s="369">
        <v>55734</v>
      </c>
      <c r="P224" s="313">
        <f t="shared" si="75"/>
        <v>1337616</v>
      </c>
      <c r="Q224" s="308">
        <v>40</v>
      </c>
      <c r="R224" s="309">
        <v>43603</v>
      </c>
      <c r="S224" s="310">
        <f t="shared" si="76"/>
        <v>1744120</v>
      </c>
      <c r="T224" s="368">
        <v>49</v>
      </c>
      <c r="U224" s="369">
        <v>46902</v>
      </c>
      <c r="V224" s="313">
        <f t="shared" si="77"/>
        <v>2298198</v>
      </c>
      <c r="W224" s="308">
        <v>1</v>
      </c>
      <c r="X224" s="309">
        <v>18000</v>
      </c>
      <c r="Y224" s="310">
        <f t="shared" si="78"/>
        <v>18000</v>
      </c>
      <c r="Z224" s="368">
        <v>3</v>
      </c>
      <c r="AA224" s="369">
        <v>36740</v>
      </c>
      <c r="AB224" s="313">
        <f t="shared" si="79"/>
        <v>110220</v>
      </c>
      <c r="AC224" s="308">
        <v>0</v>
      </c>
      <c r="AD224" s="309">
        <v>0</v>
      </c>
      <c r="AE224" s="310">
        <f t="shared" si="80"/>
        <v>0</v>
      </c>
      <c r="AF224" s="368">
        <v>0</v>
      </c>
      <c r="AG224" s="369">
        <v>0</v>
      </c>
      <c r="AH224" s="313">
        <f t="shared" si="81"/>
        <v>0</v>
      </c>
      <c r="AI224" s="308">
        <v>0</v>
      </c>
      <c r="AJ224" s="309">
        <v>0</v>
      </c>
      <c r="AK224" s="310">
        <f t="shared" si="82"/>
        <v>0</v>
      </c>
      <c r="AL224" s="369">
        <v>0</v>
      </c>
      <c r="AM224" s="369">
        <v>0</v>
      </c>
      <c r="AN224" s="313">
        <f t="shared" si="83"/>
        <v>0</v>
      </c>
      <c r="AO224" s="308">
        <v>2</v>
      </c>
      <c r="AP224" s="309">
        <v>37939</v>
      </c>
      <c r="AQ224" s="310">
        <f t="shared" si="84"/>
        <v>62083.3796</v>
      </c>
      <c r="AR224" s="368">
        <v>1</v>
      </c>
      <c r="AS224" s="369">
        <v>86882</v>
      </c>
      <c r="AT224" s="313">
        <f t="shared" si="85"/>
        <v>71086.852400000003</v>
      </c>
      <c r="AU224" s="308">
        <v>5</v>
      </c>
      <c r="AV224" s="309">
        <v>49438</v>
      </c>
      <c r="AW224" s="310">
        <f t="shared" si="86"/>
        <v>202250.85800000001</v>
      </c>
      <c r="AX224" s="368">
        <v>5</v>
      </c>
      <c r="AY224" s="369">
        <v>60760</v>
      </c>
      <c r="AZ224" s="313">
        <f t="shared" si="87"/>
        <v>248569.16</v>
      </c>
      <c r="BA224" s="308">
        <v>4</v>
      </c>
      <c r="BB224" s="309">
        <v>66338</v>
      </c>
      <c r="BC224" s="310">
        <f t="shared" si="88"/>
        <v>217111.00640000001</v>
      </c>
      <c r="BD224" s="368">
        <v>4</v>
      </c>
      <c r="BE224" s="369">
        <v>58559</v>
      </c>
      <c r="BF224" s="313">
        <f t="shared" si="89"/>
        <v>191651.8952</v>
      </c>
      <c r="BG224" s="308">
        <v>1</v>
      </c>
      <c r="BH224" s="309">
        <v>36500</v>
      </c>
      <c r="BI224" s="310">
        <f t="shared" si="90"/>
        <v>29864.300000000003</v>
      </c>
      <c r="BJ224" s="368">
        <v>1</v>
      </c>
      <c r="BK224" s="369">
        <v>36500</v>
      </c>
      <c r="BL224" s="313">
        <f t="shared" si="91"/>
        <v>29864.300000000003</v>
      </c>
      <c r="BM224" s="308">
        <v>0</v>
      </c>
      <c r="BN224" s="309">
        <v>0</v>
      </c>
      <c r="BO224" s="310">
        <f t="shared" si="92"/>
        <v>0</v>
      </c>
      <c r="BP224" s="368">
        <v>0</v>
      </c>
      <c r="BQ224" s="369">
        <v>0</v>
      </c>
      <c r="BR224" s="313">
        <f t="shared" si="93"/>
        <v>0</v>
      </c>
      <c r="BS224" s="308">
        <v>0</v>
      </c>
      <c r="BT224" s="309">
        <v>0</v>
      </c>
      <c r="BU224" s="310">
        <f t="shared" si="94"/>
        <v>0</v>
      </c>
      <c r="BV224" s="368">
        <v>0</v>
      </c>
      <c r="BW224" s="369">
        <v>0</v>
      </c>
      <c r="BX224" s="313">
        <f t="shared" si="95"/>
        <v>0</v>
      </c>
      <c r="BY224" s="383"/>
      <c r="BZ224" s="370"/>
      <c r="CA224" s="370"/>
      <c r="CB224" s="370"/>
    </row>
    <row r="225" spans="1:80">
      <c r="A225" s="337" t="s">
        <v>407</v>
      </c>
      <c r="B225" s="338" t="s">
        <v>936</v>
      </c>
      <c r="C225" s="337">
        <v>159382</v>
      </c>
      <c r="D225" s="337">
        <v>7</v>
      </c>
      <c r="E225" s="308">
        <v>17</v>
      </c>
      <c r="F225" s="309">
        <v>63168</v>
      </c>
      <c r="G225" s="310">
        <f t="shared" si="72"/>
        <v>1073856</v>
      </c>
      <c r="H225" s="368">
        <v>17</v>
      </c>
      <c r="I225" s="369">
        <v>61123</v>
      </c>
      <c r="J225" s="313">
        <f t="shared" si="73"/>
        <v>1039091</v>
      </c>
      <c r="K225" s="308">
        <v>17</v>
      </c>
      <c r="L225" s="309">
        <v>49791</v>
      </c>
      <c r="M225" s="310">
        <f t="shared" si="74"/>
        <v>846447</v>
      </c>
      <c r="N225" s="368">
        <v>20</v>
      </c>
      <c r="O225" s="369">
        <v>48958</v>
      </c>
      <c r="P225" s="313">
        <f t="shared" si="75"/>
        <v>979160</v>
      </c>
      <c r="Q225" s="308">
        <v>40</v>
      </c>
      <c r="R225" s="309">
        <v>44698</v>
      </c>
      <c r="S225" s="310">
        <f t="shared" si="76"/>
        <v>1787920</v>
      </c>
      <c r="T225" s="368">
        <v>42</v>
      </c>
      <c r="U225" s="369">
        <v>44826</v>
      </c>
      <c r="V225" s="313">
        <f t="shared" si="77"/>
        <v>1882692</v>
      </c>
      <c r="W225" s="308">
        <v>17</v>
      </c>
      <c r="X225" s="309">
        <v>37663</v>
      </c>
      <c r="Y225" s="310">
        <f t="shared" si="78"/>
        <v>640271</v>
      </c>
      <c r="Z225" s="368">
        <v>17</v>
      </c>
      <c r="AA225" s="369">
        <v>35273</v>
      </c>
      <c r="AB225" s="313">
        <f t="shared" si="79"/>
        <v>599641</v>
      </c>
      <c r="AC225" s="308">
        <v>0</v>
      </c>
      <c r="AD225" s="309">
        <v>0</v>
      </c>
      <c r="AE225" s="310">
        <f t="shared" si="80"/>
        <v>0</v>
      </c>
      <c r="AF225" s="368">
        <v>0</v>
      </c>
      <c r="AG225" s="369">
        <v>0</v>
      </c>
      <c r="AH225" s="313">
        <f t="shared" si="81"/>
        <v>0</v>
      </c>
      <c r="AI225" s="308">
        <v>0</v>
      </c>
      <c r="AJ225" s="309">
        <v>0</v>
      </c>
      <c r="AK225" s="310">
        <f t="shared" si="82"/>
        <v>0</v>
      </c>
      <c r="AL225" s="369">
        <v>0</v>
      </c>
      <c r="AM225" s="369">
        <v>0</v>
      </c>
      <c r="AN225" s="313">
        <f t="shared" si="83"/>
        <v>0</v>
      </c>
      <c r="AO225" s="308">
        <v>6</v>
      </c>
      <c r="AP225" s="309">
        <v>80330</v>
      </c>
      <c r="AQ225" s="310">
        <f t="shared" si="84"/>
        <v>394356.03600000002</v>
      </c>
      <c r="AR225" s="368">
        <v>6</v>
      </c>
      <c r="AS225" s="369">
        <v>78198</v>
      </c>
      <c r="AT225" s="313">
        <f t="shared" si="85"/>
        <v>383889.62160000001</v>
      </c>
      <c r="AU225" s="308">
        <v>2</v>
      </c>
      <c r="AV225" s="309">
        <v>66560</v>
      </c>
      <c r="AW225" s="310">
        <f t="shared" si="86"/>
        <v>108918.784</v>
      </c>
      <c r="AX225" s="368">
        <v>5</v>
      </c>
      <c r="AY225" s="369">
        <v>68276</v>
      </c>
      <c r="AZ225" s="313">
        <f t="shared" si="87"/>
        <v>279317.11600000004</v>
      </c>
      <c r="BA225" s="308">
        <v>4</v>
      </c>
      <c r="BB225" s="309">
        <v>52157</v>
      </c>
      <c r="BC225" s="310">
        <f t="shared" si="88"/>
        <v>170699.4296</v>
      </c>
      <c r="BD225" s="368">
        <v>4</v>
      </c>
      <c r="BE225" s="369">
        <v>44109</v>
      </c>
      <c r="BF225" s="313">
        <f t="shared" si="89"/>
        <v>144359.93520000001</v>
      </c>
      <c r="BG225" s="308">
        <v>2</v>
      </c>
      <c r="BH225" s="309">
        <v>37321</v>
      </c>
      <c r="BI225" s="310">
        <f t="shared" si="90"/>
        <v>61072.0844</v>
      </c>
      <c r="BJ225" s="368">
        <v>0</v>
      </c>
      <c r="BK225" s="369">
        <v>0</v>
      </c>
      <c r="BL225" s="313">
        <f t="shared" si="91"/>
        <v>0</v>
      </c>
      <c r="BM225" s="308">
        <v>5</v>
      </c>
      <c r="BN225" s="309">
        <v>50656</v>
      </c>
      <c r="BO225" s="310">
        <f t="shared" si="92"/>
        <v>207233.696</v>
      </c>
      <c r="BP225" s="368">
        <v>0</v>
      </c>
      <c r="BQ225" s="369">
        <v>0</v>
      </c>
      <c r="BR225" s="313">
        <f t="shared" si="93"/>
        <v>0</v>
      </c>
      <c r="BS225" s="308"/>
      <c r="BT225" s="309"/>
      <c r="BU225" s="310">
        <f t="shared" si="94"/>
        <v>0</v>
      </c>
      <c r="BV225" s="368"/>
      <c r="BW225" s="369"/>
      <c r="BX225" s="313">
        <f t="shared" si="95"/>
        <v>0</v>
      </c>
      <c r="BY225" s="383"/>
      <c r="BZ225" s="370"/>
      <c r="CA225" s="370"/>
      <c r="CB225" s="370"/>
    </row>
    <row r="226" spans="1:80">
      <c r="A226" s="337" t="s">
        <v>407</v>
      </c>
      <c r="B226" s="338" t="s">
        <v>937</v>
      </c>
      <c r="C226" s="337">
        <v>158662</v>
      </c>
      <c r="D226" s="339">
        <v>8</v>
      </c>
      <c r="E226" s="308">
        <v>56</v>
      </c>
      <c r="F226" s="309">
        <v>79990</v>
      </c>
      <c r="G226" s="310">
        <f t="shared" si="72"/>
        <v>4479440</v>
      </c>
      <c r="H226" s="368">
        <v>72</v>
      </c>
      <c r="I226" s="369">
        <v>81870</v>
      </c>
      <c r="J226" s="313">
        <f t="shared" si="73"/>
        <v>5894640</v>
      </c>
      <c r="K226" s="308">
        <v>60</v>
      </c>
      <c r="L226" s="309">
        <v>70316</v>
      </c>
      <c r="M226" s="310">
        <f t="shared" si="74"/>
        <v>4218960</v>
      </c>
      <c r="N226" s="368">
        <v>51</v>
      </c>
      <c r="O226" s="369">
        <v>75165</v>
      </c>
      <c r="P226" s="313">
        <f t="shared" si="75"/>
        <v>3833415</v>
      </c>
      <c r="Q226" s="308">
        <v>61</v>
      </c>
      <c r="R226" s="309">
        <v>64045</v>
      </c>
      <c r="S226" s="310">
        <f t="shared" si="76"/>
        <v>3906745</v>
      </c>
      <c r="T226" s="368">
        <v>80</v>
      </c>
      <c r="U226" s="369">
        <v>63780</v>
      </c>
      <c r="V226" s="313">
        <f t="shared" si="77"/>
        <v>5102400</v>
      </c>
      <c r="W226" s="308">
        <v>146</v>
      </c>
      <c r="X226" s="309">
        <v>52300</v>
      </c>
      <c r="Y226" s="310">
        <f t="shared" si="78"/>
        <v>7635800</v>
      </c>
      <c r="Z226" s="368">
        <v>134</v>
      </c>
      <c r="AA226" s="369">
        <v>55532</v>
      </c>
      <c r="AB226" s="313">
        <f t="shared" si="79"/>
        <v>7441288</v>
      </c>
      <c r="AC226" s="308">
        <v>0</v>
      </c>
      <c r="AD226" s="309">
        <v>0</v>
      </c>
      <c r="AE226" s="310">
        <f t="shared" si="80"/>
        <v>0</v>
      </c>
      <c r="AF226" s="368">
        <f>53+65</f>
        <v>118</v>
      </c>
      <c r="AG226" s="369">
        <f>((53*38388)+(65*41621))/(53+65)</f>
        <v>40168.889830508473</v>
      </c>
      <c r="AH226" s="313">
        <f t="shared" si="81"/>
        <v>4739929</v>
      </c>
      <c r="AI226" s="308"/>
      <c r="AJ226" s="309"/>
      <c r="AK226" s="310">
        <f t="shared" si="82"/>
        <v>0</v>
      </c>
      <c r="AL226" s="369"/>
      <c r="AM226" s="369"/>
      <c r="AN226" s="313">
        <f t="shared" si="83"/>
        <v>0</v>
      </c>
      <c r="AO226" s="308">
        <v>7</v>
      </c>
      <c r="AP226" s="309">
        <v>90198</v>
      </c>
      <c r="AQ226" s="310">
        <f t="shared" si="84"/>
        <v>516600.02520000003</v>
      </c>
      <c r="AR226" s="368">
        <v>5</v>
      </c>
      <c r="AS226" s="369">
        <v>98214</v>
      </c>
      <c r="AT226" s="313">
        <f t="shared" si="85"/>
        <v>401793.47400000005</v>
      </c>
      <c r="AU226" s="308">
        <v>1</v>
      </c>
      <c r="AV226" s="309">
        <v>100540</v>
      </c>
      <c r="AW226" s="310">
        <f t="shared" si="86"/>
        <v>82261.828000000009</v>
      </c>
      <c r="AX226" s="368">
        <v>2</v>
      </c>
      <c r="AY226" s="369">
        <v>94138</v>
      </c>
      <c r="AZ226" s="313">
        <f t="shared" si="87"/>
        <v>154047.42320000002</v>
      </c>
      <c r="BA226" s="308">
        <v>3</v>
      </c>
      <c r="BB226" s="309">
        <v>79371</v>
      </c>
      <c r="BC226" s="310">
        <f t="shared" si="88"/>
        <v>194824.05660000001</v>
      </c>
      <c r="BD226" s="368">
        <v>5</v>
      </c>
      <c r="BE226" s="369">
        <v>76158</v>
      </c>
      <c r="BF226" s="313">
        <f t="shared" si="89"/>
        <v>311562.37800000003</v>
      </c>
      <c r="BG226" s="308">
        <v>7</v>
      </c>
      <c r="BH226" s="309">
        <v>57176</v>
      </c>
      <c r="BI226" s="310">
        <f t="shared" si="90"/>
        <v>327469.8224</v>
      </c>
      <c r="BJ226" s="368">
        <v>5</v>
      </c>
      <c r="BK226" s="369">
        <v>55668</v>
      </c>
      <c r="BL226" s="313">
        <f t="shared" si="91"/>
        <v>227737.788</v>
      </c>
      <c r="BM226" s="308">
        <v>4</v>
      </c>
      <c r="BN226" s="309">
        <v>39691</v>
      </c>
      <c r="BO226" s="310">
        <f t="shared" si="92"/>
        <v>129900.70480000001</v>
      </c>
      <c r="BP226" s="368">
        <v>4</v>
      </c>
      <c r="BQ226" s="369">
        <v>42273</v>
      </c>
      <c r="BR226" s="313">
        <f t="shared" si="93"/>
        <v>138351.07440000001</v>
      </c>
      <c r="BS226" s="308"/>
      <c r="BT226" s="309"/>
      <c r="BU226" s="310">
        <f t="shared" si="94"/>
        <v>0</v>
      </c>
      <c r="BV226" s="368"/>
      <c r="BW226" s="369"/>
      <c r="BX226" s="313">
        <f t="shared" si="95"/>
        <v>0</v>
      </c>
      <c r="BY226" s="383"/>
      <c r="BZ226" s="370"/>
      <c r="CA226" s="370"/>
      <c r="CB226" s="370"/>
    </row>
    <row r="227" spans="1:80">
      <c r="A227" s="337" t="s">
        <v>407</v>
      </c>
      <c r="B227" s="418" t="s">
        <v>938</v>
      </c>
      <c r="C227" s="337">
        <v>437103</v>
      </c>
      <c r="D227" s="339">
        <v>9</v>
      </c>
      <c r="E227" s="308">
        <v>0</v>
      </c>
      <c r="F227" s="309">
        <v>0</v>
      </c>
      <c r="G227" s="310">
        <f t="shared" si="72"/>
        <v>0</v>
      </c>
      <c r="H227" s="368">
        <v>4</v>
      </c>
      <c r="I227" s="369">
        <v>53385</v>
      </c>
      <c r="J227" s="313">
        <f t="shared" si="73"/>
        <v>213540</v>
      </c>
      <c r="K227" s="308">
        <v>0</v>
      </c>
      <c r="L227" s="309">
        <v>0</v>
      </c>
      <c r="M227" s="310">
        <f t="shared" si="74"/>
        <v>0</v>
      </c>
      <c r="N227" s="368">
        <v>45</v>
      </c>
      <c r="O227" s="369">
        <v>47450</v>
      </c>
      <c r="P227" s="313">
        <f t="shared" si="75"/>
        <v>2135250</v>
      </c>
      <c r="Q227" s="308">
        <v>38</v>
      </c>
      <c r="R227" s="309">
        <v>49376</v>
      </c>
      <c r="S227" s="310">
        <f t="shared" si="76"/>
        <v>1876288</v>
      </c>
      <c r="T227" s="368">
        <v>32</v>
      </c>
      <c r="U227" s="369">
        <v>47614</v>
      </c>
      <c r="V227" s="313">
        <f t="shared" si="77"/>
        <v>1523648</v>
      </c>
      <c r="W227" s="308">
        <v>62</v>
      </c>
      <c r="X227" s="309">
        <v>41940</v>
      </c>
      <c r="Y227" s="310">
        <f t="shared" si="78"/>
        <v>2600280</v>
      </c>
      <c r="Z227" s="368">
        <v>49</v>
      </c>
      <c r="AA227" s="369">
        <v>39549</v>
      </c>
      <c r="AB227" s="313">
        <f t="shared" si="79"/>
        <v>1937901</v>
      </c>
      <c r="AC227" s="308">
        <v>0</v>
      </c>
      <c r="AD227" s="309">
        <v>0</v>
      </c>
      <c r="AE227" s="310">
        <f t="shared" si="80"/>
        <v>0</v>
      </c>
      <c r="AF227" s="368">
        <v>0</v>
      </c>
      <c r="AG227" s="369"/>
      <c r="AH227" s="313">
        <f t="shared" si="81"/>
        <v>0</v>
      </c>
      <c r="AI227" s="308">
        <v>0</v>
      </c>
      <c r="AJ227" s="309">
        <v>0</v>
      </c>
      <c r="AK227" s="310">
        <f t="shared" si="82"/>
        <v>0</v>
      </c>
      <c r="AL227" s="369">
        <v>0</v>
      </c>
      <c r="AM227" s="369">
        <v>0</v>
      </c>
      <c r="AN227" s="313">
        <f t="shared" si="83"/>
        <v>0</v>
      </c>
      <c r="AO227" s="308">
        <v>0</v>
      </c>
      <c r="AP227" s="309">
        <v>0</v>
      </c>
      <c r="AQ227" s="310">
        <f t="shared" si="84"/>
        <v>0</v>
      </c>
      <c r="AR227" s="368">
        <v>0</v>
      </c>
      <c r="AS227" s="369">
        <v>0</v>
      </c>
      <c r="AT227" s="313">
        <f t="shared" si="85"/>
        <v>0</v>
      </c>
      <c r="AU227" s="308">
        <v>0</v>
      </c>
      <c r="AV227" s="309">
        <v>0</v>
      </c>
      <c r="AW227" s="310">
        <f t="shared" si="86"/>
        <v>0</v>
      </c>
      <c r="AX227" s="368">
        <v>0</v>
      </c>
      <c r="AY227" s="369">
        <v>0</v>
      </c>
      <c r="AZ227" s="313">
        <f t="shared" si="87"/>
        <v>0</v>
      </c>
      <c r="BA227" s="308">
        <v>0</v>
      </c>
      <c r="BB227" s="309">
        <v>0</v>
      </c>
      <c r="BC227" s="310">
        <f t="shared" si="88"/>
        <v>0</v>
      </c>
      <c r="BD227" s="368">
        <v>0</v>
      </c>
      <c r="BE227" s="369">
        <v>0</v>
      </c>
      <c r="BF227" s="313">
        <f t="shared" si="89"/>
        <v>0</v>
      </c>
      <c r="BG227" s="308">
        <v>0</v>
      </c>
      <c r="BH227" s="309">
        <v>0</v>
      </c>
      <c r="BI227" s="310">
        <f t="shared" si="90"/>
        <v>0</v>
      </c>
      <c r="BJ227" s="368">
        <v>0</v>
      </c>
      <c r="BK227" s="369">
        <v>0</v>
      </c>
      <c r="BL227" s="313">
        <f t="shared" si="91"/>
        <v>0</v>
      </c>
      <c r="BM227" s="308">
        <v>0</v>
      </c>
      <c r="BN227" s="309">
        <v>0</v>
      </c>
      <c r="BO227" s="310">
        <f t="shared" si="92"/>
        <v>0</v>
      </c>
      <c r="BP227" s="368">
        <v>0</v>
      </c>
      <c r="BQ227" s="369">
        <v>0</v>
      </c>
      <c r="BR227" s="313">
        <f t="shared" si="93"/>
        <v>0</v>
      </c>
      <c r="BS227" s="308">
        <v>0</v>
      </c>
      <c r="BT227" s="309">
        <v>0</v>
      </c>
      <c r="BU227" s="310">
        <f t="shared" si="94"/>
        <v>0</v>
      </c>
      <c r="BV227" s="368">
        <v>0</v>
      </c>
      <c r="BW227" s="369">
        <v>0</v>
      </c>
      <c r="BX227" s="313">
        <f t="shared" si="95"/>
        <v>0</v>
      </c>
      <c r="BY227" s="383"/>
      <c r="BZ227" s="370"/>
      <c r="CA227" s="370"/>
      <c r="CB227" s="370"/>
    </row>
    <row r="228" spans="1:80">
      <c r="A228" s="337" t="s">
        <v>407</v>
      </c>
      <c r="B228" s="338" t="s">
        <v>939</v>
      </c>
      <c r="C228" s="337">
        <v>158431</v>
      </c>
      <c r="D228" s="339">
        <v>9</v>
      </c>
      <c r="E228" s="308">
        <v>5</v>
      </c>
      <c r="F228" s="309">
        <v>52592</v>
      </c>
      <c r="G228" s="310">
        <f t="shared" si="72"/>
        <v>262960</v>
      </c>
      <c r="H228" s="368">
        <v>9</v>
      </c>
      <c r="I228" s="369">
        <v>53532</v>
      </c>
      <c r="J228" s="313">
        <f t="shared" si="73"/>
        <v>481788</v>
      </c>
      <c r="K228" s="308">
        <v>32</v>
      </c>
      <c r="L228" s="309">
        <v>49550</v>
      </c>
      <c r="M228" s="310">
        <f t="shared" si="74"/>
        <v>1585600</v>
      </c>
      <c r="N228" s="368">
        <v>30</v>
      </c>
      <c r="O228" s="369">
        <v>51847</v>
      </c>
      <c r="P228" s="313">
        <f t="shared" si="75"/>
        <v>1555410</v>
      </c>
      <c r="Q228" s="308">
        <v>24</v>
      </c>
      <c r="R228" s="309">
        <v>45583</v>
      </c>
      <c r="S228" s="310">
        <f t="shared" si="76"/>
        <v>1093992</v>
      </c>
      <c r="T228" s="368">
        <v>24</v>
      </c>
      <c r="U228" s="369">
        <v>44485</v>
      </c>
      <c r="V228" s="313">
        <f t="shared" si="77"/>
        <v>1067640</v>
      </c>
      <c r="W228" s="308">
        <v>49</v>
      </c>
      <c r="X228" s="309">
        <v>37117</v>
      </c>
      <c r="Y228" s="310">
        <f t="shared" si="78"/>
        <v>1818733</v>
      </c>
      <c r="Z228" s="368">
        <v>52</v>
      </c>
      <c r="AA228" s="369">
        <v>36677</v>
      </c>
      <c r="AB228" s="313">
        <f t="shared" si="79"/>
        <v>1907204</v>
      </c>
      <c r="AC228" s="308">
        <v>0</v>
      </c>
      <c r="AD228" s="309">
        <v>0</v>
      </c>
      <c r="AE228" s="310">
        <f t="shared" si="80"/>
        <v>0</v>
      </c>
      <c r="AF228" s="368">
        <v>0</v>
      </c>
      <c r="AG228" s="369">
        <v>0</v>
      </c>
      <c r="AH228" s="313">
        <f t="shared" si="81"/>
        <v>0</v>
      </c>
      <c r="AI228" s="308">
        <v>0</v>
      </c>
      <c r="AJ228" s="309">
        <v>0</v>
      </c>
      <c r="AK228" s="310">
        <f t="shared" si="82"/>
        <v>0</v>
      </c>
      <c r="AL228" s="369">
        <v>0</v>
      </c>
      <c r="AM228" s="369">
        <v>0</v>
      </c>
      <c r="AN228" s="313">
        <f t="shared" si="83"/>
        <v>0</v>
      </c>
      <c r="AO228" s="308">
        <v>0</v>
      </c>
      <c r="AP228" s="309">
        <v>0</v>
      </c>
      <c r="AQ228" s="310">
        <f t="shared" si="84"/>
        <v>0</v>
      </c>
      <c r="AR228" s="368">
        <v>0</v>
      </c>
      <c r="AS228" s="369">
        <v>0</v>
      </c>
      <c r="AT228" s="313">
        <f t="shared" si="85"/>
        <v>0</v>
      </c>
      <c r="AU228" s="308">
        <v>0</v>
      </c>
      <c r="AV228" s="309">
        <v>0</v>
      </c>
      <c r="AW228" s="310">
        <f t="shared" si="86"/>
        <v>0</v>
      </c>
      <c r="AX228" s="368">
        <v>0</v>
      </c>
      <c r="AY228" s="369">
        <v>0</v>
      </c>
      <c r="AZ228" s="313">
        <f t="shared" si="87"/>
        <v>0</v>
      </c>
      <c r="BA228" s="308">
        <v>0</v>
      </c>
      <c r="BB228" s="309">
        <v>0</v>
      </c>
      <c r="BC228" s="310">
        <f t="shared" si="88"/>
        <v>0</v>
      </c>
      <c r="BD228" s="368">
        <v>0</v>
      </c>
      <c r="BE228" s="369">
        <v>0</v>
      </c>
      <c r="BF228" s="313">
        <f t="shared" si="89"/>
        <v>0</v>
      </c>
      <c r="BG228" s="308">
        <v>0</v>
      </c>
      <c r="BH228" s="309">
        <v>0</v>
      </c>
      <c r="BI228" s="310">
        <f t="shared" si="90"/>
        <v>0</v>
      </c>
      <c r="BJ228" s="368">
        <v>0</v>
      </c>
      <c r="BK228" s="369">
        <v>0</v>
      </c>
      <c r="BL228" s="313">
        <f t="shared" si="91"/>
        <v>0</v>
      </c>
      <c r="BM228" s="308">
        <v>0</v>
      </c>
      <c r="BN228" s="309">
        <v>0</v>
      </c>
      <c r="BO228" s="310">
        <f t="shared" si="92"/>
        <v>0</v>
      </c>
      <c r="BP228" s="368">
        <v>0</v>
      </c>
      <c r="BQ228" s="369">
        <v>0</v>
      </c>
      <c r="BR228" s="313">
        <f t="shared" si="93"/>
        <v>0</v>
      </c>
      <c r="BS228" s="308">
        <v>0</v>
      </c>
      <c r="BT228" s="309">
        <v>0</v>
      </c>
      <c r="BU228" s="310">
        <f t="shared" si="94"/>
        <v>0</v>
      </c>
      <c r="BV228" s="368">
        <v>0</v>
      </c>
      <c r="BW228" s="369">
        <v>0</v>
      </c>
      <c r="BX228" s="313">
        <f t="shared" si="95"/>
        <v>0</v>
      </c>
      <c r="BY228" s="383"/>
      <c r="BZ228" s="370"/>
      <c r="CA228" s="370"/>
      <c r="CB228" s="370"/>
    </row>
    <row r="229" spans="1:80">
      <c r="A229" s="337" t="s">
        <v>407</v>
      </c>
      <c r="B229" s="371" t="s">
        <v>940</v>
      </c>
      <c r="C229" s="337">
        <v>159407</v>
      </c>
      <c r="D229" s="339">
        <v>9</v>
      </c>
      <c r="E229" s="308">
        <v>15</v>
      </c>
      <c r="F229" s="309">
        <v>58526</v>
      </c>
      <c r="G229" s="310">
        <f t="shared" si="72"/>
        <v>877890</v>
      </c>
      <c r="H229" s="368">
        <v>16</v>
      </c>
      <c r="I229" s="369">
        <v>59576</v>
      </c>
      <c r="J229" s="313">
        <f t="shared" si="73"/>
        <v>953216</v>
      </c>
      <c r="K229" s="308">
        <v>9</v>
      </c>
      <c r="L229" s="309">
        <v>48695</v>
      </c>
      <c r="M229" s="310">
        <f t="shared" si="74"/>
        <v>438255</v>
      </c>
      <c r="N229" s="368">
        <v>8</v>
      </c>
      <c r="O229" s="369">
        <v>52367</v>
      </c>
      <c r="P229" s="313">
        <f t="shared" si="75"/>
        <v>418936</v>
      </c>
      <c r="Q229" s="308">
        <v>16</v>
      </c>
      <c r="R229" s="309">
        <v>41564</v>
      </c>
      <c r="S229" s="310">
        <f t="shared" si="76"/>
        <v>665024</v>
      </c>
      <c r="T229" s="368">
        <v>16</v>
      </c>
      <c r="U229" s="369">
        <v>43251</v>
      </c>
      <c r="V229" s="313">
        <f t="shared" si="77"/>
        <v>692016</v>
      </c>
      <c r="W229" s="308">
        <v>20</v>
      </c>
      <c r="X229" s="309">
        <v>37405</v>
      </c>
      <c r="Y229" s="310">
        <f t="shared" si="78"/>
        <v>748100</v>
      </c>
      <c r="Z229" s="368">
        <v>22</v>
      </c>
      <c r="AA229" s="369">
        <v>39298</v>
      </c>
      <c r="AB229" s="313">
        <f t="shared" si="79"/>
        <v>864556</v>
      </c>
      <c r="AC229" s="308">
        <v>0</v>
      </c>
      <c r="AD229" s="309">
        <v>0</v>
      </c>
      <c r="AE229" s="310">
        <f t="shared" si="80"/>
        <v>0</v>
      </c>
      <c r="AF229" s="368">
        <v>0</v>
      </c>
      <c r="AG229" s="369">
        <v>0</v>
      </c>
      <c r="AH229" s="313">
        <f t="shared" si="81"/>
        <v>0</v>
      </c>
      <c r="AI229" s="308">
        <v>0</v>
      </c>
      <c r="AJ229" s="309">
        <v>0</v>
      </c>
      <c r="AK229" s="310">
        <f t="shared" si="82"/>
        <v>0</v>
      </c>
      <c r="AL229" s="369">
        <v>0</v>
      </c>
      <c r="AM229" s="369">
        <v>0</v>
      </c>
      <c r="AN229" s="313">
        <f t="shared" si="83"/>
        <v>0</v>
      </c>
      <c r="AO229" s="308">
        <v>2</v>
      </c>
      <c r="AP229" s="309">
        <v>75644</v>
      </c>
      <c r="AQ229" s="310">
        <f t="shared" si="84"/>
        <v>123783.8416</v>
      </c>
      <c r="AR229" s="368">
        <v>1</v>
      </c>
      <c r="AS229" s="369">
        <v>78847</v>
      </c>
      <c r="AT229" s="313">
        <f t="shared" si="85"/>
        <v>64512.615400000002</v>
      </c>
      <c r="AU229" s="308">
        <v>3</v>
      </c>
      <c r="AV229" s="309">
        <v>71031</v>
      </c>
      <c r="AW229" s="310">
        <f t="shared" si="86"/>
        <v>174352.69260000001</v>
      </c>
      <c r="AX229" s="368">
        <v>4</v>
      </c>
      <c r="AY229" s="369">
        <v>71955</v>
      </c>
      <c r="AZ229" s="313">
        <f t="shared" si="87"/>
        <v>235494.32400000002</v>
      </c>
      <c r="BA229" s="308">
        <v>0</v>
      </c>
      <c r="BB229" s="309">
        <v>0</v>
      </c>
      <c r="BC229" s="310">
        <f t="shared" si="88"/>
        <v>0</v>
      </c>
      <c r="BD229" s="368">
        <v>1</v>
      </c>
      <c r="BE229" s="369">
        <v>54000</v>
      </c>
      <c r="BF229" s="313">
        <f t="shared" si="89"/>
        <v>44182.8</v>
      </c>
      <c r="BG229" s="308">
        <v>2</v>
      </c>
      <c r="BH229" s="309">
        <v>46911</v>
      </c>
      <c r="BI229" s="310">
        <f t="shared" si="90"/>
        <v>76765.160400000008</v>
      </c>
      <c r="BJ229" s="368">
        <v>2</v>
      </c>
      <c r="BK229" s="369">
        <v>48300</v>
      </c>
      <c r="BL229" s="313">
        <f t="shared" si="91"/>
        <v>79038.12000000001</v>
      </c>
      <c r="BM229" s="308">
        <v>0</v>
      </c>
      <c r="BN229" s="309">
        <v>0</v>
      </c>
      <c r="BO229" s="310">
        <f t="shared" si="92"/>
        <v>0</v>
      </c>
      <c r="BP229" s="368">
        <v>0</v>
      </c>
      <c r="BQ229" s="369">
        <v>0</v>
      </c>
      <c r="BR229" s="313">
        <f t="shared" si="93"/>
        <v>0</v>
      </c>
      <c r="BS229" s="308">
        <v>0</v>
      </c>
      <c r="BT229" s="309">
        <v>0</v>
      </c>
      <c r="BU229" s="310">
        <f t="shared" si="94"/>
        <v>0</v>
      </c>
      <c r="BV229" s="368">
        <v>0</v>
      </c>
      <c r="BW229" s="369">
        <v>0</v>
      </c>
      <c r="BX229" s="313">
        <f t="shared" si="95"/>
        <v>0</v>
      </c>
      <c r="BY229" s="383"/>
      <c r="BZ229" s="370"/>
      <c r="CA229" s="370"/>
      <c r="CB229" s="370"/>
    </row>
    <row r="230" spans="1:80">
      <c r="A230" s="337" t="s">
        <v>407</v>
      </c>
      <c r="B230" s="338" t="s">
        <v>941</v>
      </c>
      <c r="C230" s="337">
        <v>440624</v>
      </c>
      <c r="D230" s="339">
        <v>10</v>
      </c>
      <c r="E230" s="308">
        <v>0</v>
      </c>
      <c r="F230" s="309">
        <v>0</v>
      </c>
      <c r="G230" s="310">
        <f t="shared" si="72"/>
        <v>0</v>
      </c>
      <c r="H230" s="368">
        <v>1</v>
      </c>
      <c r="I230" s="369">
        <v>40000</v>
      </c>
      <c r="J230" s="313">
        <f t="shared" si="73"/>
        <v>40000</v>
      </c>
      <c r="K230" s="308">
        <v>3</v>
      </c>
      <c r="L230" s="309">
        <v>44211</v>
      </c>
      <c r="M230" s="310">
        <f t="shared" si="74"/>
        <v>132633</v>
      </c>
      <c r="N230" s="368">
        <v>7</v>
      </c>
      <c r="O230" s="369">
        <v>45314</v>
      </c>
      <c r="P230" s="313">
        <f t="shared" si="75"/>
        <v>317198</v>
      </c>
      <c r="Q230" s="308">
        <v>9</v>
      </c>
      <c r="R230" s="309">
        <v>39744</v>
      </c>
      <c r="S230" s="310">
        <f t="shared" si="76"/>
        <v>357696</v>
      </c>
      <c r="T230" s="368">
        <v>11</v>
      </c>
      <c r="U230" s="369">
        <v>44913</v>
      </c>
      <c r="V230" s="313">
        <f t="shared" si="77"/>
        <v>494043</v>
      </c>
      <c r="W230" s="308">
        <v>16</v>
      </c>
      <c r="X230" s="309">
        <v>34929</v>
      </c>
      <c r="Y230" s="310">
        <f t="shared" si="78"/>
        <v>558864</v>
      </c>
      <c r="Z230" s="368">
        <v>15</v>
      </c>
      <c r="AA230" s="369">
        <v>34717</v>
      </c>
      <c r="AB230" s="313">
        <f t="shared" si="79"/>
        <v>520755</v>
      </c>
      <c r="AC230" s="308">
        <v>0</v>
      </c>
      <c r="AD230" s="309">
        <v>0</v>
      </c>
      <c r="AE230" s="310">
        <f t="shared" si="80"/>
        <v>0</v>
      </c>
      <c r="AF230" s="368">
        <v>0</v>
      </c>
      <c r="AG230" s="369">
        <v>0</v>
      </c>
      <c r="AH230" s="313">
        <f t="shared" si="81"/>
        <v>0</v>
      </c>
      <c r="AI230" s="308">
        <v>0</v>
      </c>
      <c r="AJ230" s="309">
        <v>0</v>
      </c>
      <c r="AK230" s="310">
        <f t="shared" si="82"/>
        <v>0</v>
      </c>
      <c r="AL230" s="369">
        <v>0</v>
      </c>
      <c r="AM230" s="369">
        <v>0</v>
      </c>
      <c r="AN230" s="313">
        <f t="shared" si="83"/>
        <v>0</v>
      </c>
      <c r="AO230" s="308">
        <v>0</v>
      </c>
      <c r="AP230" s="309">
        <v>0</v>
      </c>
      <c r="AQ230" s="310">
        <f t="shared" si="84"/>
        <v>0</v>
      </c>
      <c r="AR230" s="368">
        <v>0</v>
      </c>
      <c r="AS230" s="369">
        <v>0</v>
      </c>
      <c r="AT230" s="313">
        <f t="shared" si="85"/>
        <v>0</v>
      </c>
      <c r="AU230" s="308">
        <v>0</v>
      </c>
      <c r="AV230" s="309">
        <v>0</v>
      </c>
      <c r="AW230" s="310">
        <f t="shared" si="86"/>
        <v>0</v>
      </c>
      <c r="AX230" s="368">
        <v>0</v>
      </c>
      <c r="AY230" s="369">
        <v>0</v>
      </c>
      <c r="AZ230" s="313">
        <f t="shared" si="87"/>
        <v>0</v>
      </c>
      <c r="BA230" s="308">
        <v>0</v>
      </c>
      <c r="BB230" s="309">
        <v>0</v>
      </c>
      <c r="BC230" s="310">
        <f t="shared" si="88"/>
        <v>0</v>
      </c>
      <c r="BD230" s="368">
        <v>0</v>
      </c>
      <c r="BE230" s="369">
        <v>0</v>
      </c>
      <c r="BF230" s="313">
        <f t="shared" si="89"/>
        <v>0</v>
      </c>
      <c r="BG230" s="308">
        <v>2</v>
      </c>
      <c r="BH230" s="309">
        <v>48500</v>
      </c>
      <c r="BI230" s="310">
        <f t="shared" si="90"/>
        <v>79365.400000000009</v>
      </c>
      <c r="BJ230" s="368">
        <v>2</v>
      </c>
      <c r="BK230" s="369">
        <v>50400</v>
      </c>
      <c r="BL230" s="313">
        <f t="shared" si="91"/>
        <v>82474.559999999998</v>
      </c>
      <c r="BM230" s="308">
        <v>0</v>
      </c>
      <c r="BN230" s="309">
        <v>0</v>
      </c>
      <c r="BO230" s="310">
        <f t="shared" si="92"/>
        <v>0</v>
      </c>
      <c r="BP230" s="368">
        <v>0</v>
      </c>
      <c r="BQ230" s="369">
        <v>0</v>
      </c>
      <c r="BR230" s="313">
        <f t="shared" si="93"/>
        <v>0</v>
      </c>
      <c r="BS230" s="308">
        <v>0</v>
      </c>
      <c r="BT230" s="309">
        <v>0</v>
      </c>
      <c r="BU230" s="310">
        <f t="shared" si="94"/>
        <v>0</v>
      </c>
      <c r="BV230" s="368">
        <v>0</v>
      </c>
      <c r="BW230" s="369">
        <v>0</v>
      </c>
      <c r="BX230" s="313">
        <f t="shared" si="95"/>
        <v>0</v>
      </c>
      <c r="BY230" s="383"/>
      <c r="BZ230" s="370"/>
      <c r="CA230" s="370"/>
      <c r="CB230" s="370"/>
    </row>
    <row r="231" spans="1:80">
      <c r="A231" s="337" t="s">
        <v>407</v>
      </c>
      <c r="B231" s="338" t="s">
        <v>942</v>
      </c>
      <c r="C231" s="337">
        <v>158884</v>
      </c>
      <c r="D231" s="339">
        <v>10</v>
      </c>
      <c r="E231" s="308">
        <v>0</v>
      </c>
      <c r="F231" s="309">
        <v>0</v>
      </c>
      <c r="G231" s="310">
        <f t="shared" si="72"/>
        <v>0</v>
      </c>
      <c r="H231" s="368">
        <v>0</v>
      </c>
      <c r="I231" s="369">
        <v>0</v>
      </c>
      <c r="J231" s="313">
        <f t="shared" si="73"/>
        <v>0</v>
      </c>
      <c r="K231" s="308">
        <v>6</v>
      </c>
      <c r="L231" s="309">
        <v>51629</v>
      </c>
      <c r="M231" s="310">
        <f t="shared" si="74"/>
        <v>309774</v>
      </c>
      <c r="N231" s="368">
        <v>6</v>
      </c>
      <c r="O231" s="369">
        <v>55083</v>
      </c>
      <c r="P231" s="313">
        <f t="shared" si="75"/>
        <v>330498</v>
      </c>
      <c r="Q231" s="308">
        <v>7</v>
      </c>
      <c r="R231" s="309">
        <v>45063</v>
      </c>
      <c r="S231" s="310">
        <f t="shared" si="76"/>
        <v>315441</v>
      </c>
      <c r="T231" s="368">
        <v>7</v>
      </c>
      <c r="U231" s="369">
        <v>48687</v>
      </c>
      <c r="V231" s="313">
        <f t="shared" si="77"/>
        <v>340809</v>
      </c>
      <c r="W231" s="308">
        <v>22</v>
      </c>
      <c r="X231" s="309">
        <v>41129</v>
      </c>
      <c r="Y231" s="310">
        <f t="shared" si="78"/>
        <v>904838</v>
      </c>
      <c r="Z231" s="368">
        <v>24</v>
      </c>
      <c r="AA231" s="369">
        <v>44022</v>
      </c>
      <c r="AB231" s="313">
        <f t="shared" si="79"/>
        <v>1056528</v>
      </c>
      <c r="AC231" s="308">
        <v>0</v>
      </c>
      <c r="AD231" s="309">
        <v>0</v>
      </c>
      <c r="AE231" s="310">
        <f t="shared" si="80"/>
        <v>0</v>
      </c>
      <c r="AF231" s="368">
        <v>0</v>
      </c>
      <c r="AG231" s="369">
        <v>0</v>
      </c>
      <c r="AH231" s="313">
        <f t="shared" si="81"/>
        <v>0</v>
      </c>
      <c r="AI231" s="308">
        <v>0</v>
      </c>
      <c r="AJ231" s="309">
        <v>0</v>
      </c>
      <c r="AK231" s="310">
        <f t="shared" si="82"/>
        <v>0</v>
      </c>
      <c r="AL231" s="369">
        <v>0</v>
      </c>
      <c r="AM231" s="369">
        <v>0</v>
      </c>
      <c r="AN231" s="313">
        <f t="shared" si="83"/>
        <v>0</v>
      </c>
      <c r="AO231" s="308">
        <v>0</v>
      </c>
      <c r="AP231" s="309">
        <v>0</v>
      </c>
      <c r="AQ231" s="310">
        <f t="shared" si="84"/>
        <v>0</v>
      </c>
      <c r="AR231" s="368">
        <v>0</v>
      </c>
      <c r="AS231" s="369">
        <v>0</v>
      </c>
      <c r="AT231" s="313">
        <f t="shared" si="85"/>
        <v>0</v>
      </c>
      <c r="AU231" s="308">
        <v>0</v>
      </c>
      <c r="AV231" s="309">
        <v>0</v>
      </c>
      <c r="AW231" s="310">
        <f t="shared" si="86"/>
        <v>0</v>
      </c>
      <c r="AX231" s="368">
        <v>0</v>
      </c>
      <c r="AY231" s="369">
        <v>0</v>
      </c>
      <c r="AZ231" s="313">
        <f t="shared" si="87"/>
        <v>0</v>
      </c>
      <c r="BA231" s="308">
        <v>1</v>
      </c>
      <c r="BB231" s="309">
        <v>54035</v>
      </c>
      <c r="BC231" s="310">
        <f t="shared" si="88"/>
        <v>44211.437000000005</v>
      </c>
      <c r="BD231" s="368">
        <v>1</v>
      </c>
      <c r="BE231" s="369">
        <v>56035</v>
      </c>
      <c r="BF231" s="313">
        <f t="shared" si="89"/>
        <v>45847.837</v>
      </c>
      <c r="BG231" s="308">
        <v>2</v>
      </c>
      <c r="BH231" s="309">
        <v>58000</v>
      </c>
      <c r="BI231" s="310">
        <f t="shared" si="90"/>
        <v>94911.200000000012</v>
      </c>
      <c r="BJ231" s="368">
        <v>1</v>
      </c>
      <c r="BK231" s="369">
        <v>65000</v>
      </c>
      <c r="BL231" s="313">
        <f t="shared" si="91"/>
        <v>53183</v>
      </c>
      <c r="BM231" s="308">
        <v>0</v>
      </c>
      <c r="BN231" s="309">
        <v>0</v>
      </c>
      <c r="BO231" s="310">
        <f t="shared" si="92"/>
        <v>0</v>
      </c>
      <c r="BP231" s="368">
        <v>0</v>
      </c>
      <c r="BQ231" s="369">
        <v>0</v>
      </c>
      <c r="BR231" s="313">
        <f t="shared" si="93"/>
        <v>0</v>
      </c>
      <c r="BS231" s="308">
        <v>0</v>
      </c>
      <c r="BT231" s="309">
        <v>0</v>
      </c>
      <c r="BU231" s="310">
        <f t="shared" si="94"/>
        <v>0</v>
      </c>
      <c r="BV231" s="368">
        <v>0</v>
      </c>
      <c r="BW231" s="369">
        <v>0</v>
      </c>
      <c r="BX231" s="313">
        <f t="shared" si="95"/>
        <v>0</v>
      </c>
      <c r="BY231" s="383"/>
      <c r="BZ231" s="370"/>
      <c r="CA231" s="370"/>
      <c r="CB231" s="370"/>
    </row>
    <row r="232" spans="1:80">
      <c r="A232" s="337" t="s">
        <v>407</v>
      </c>
      <c r="B232" s="338" t="s">
        <v>943</v>
      </c>
      <c r="C232" s="337">
        <v>436304</v>
      </c>
      <c r="D232" s="339">
        <v>10</v>
      </c>
      <c r="E232" s="308">
        <v>0</v>
      </c>
      <c r="F232" s="309">
        <v>0</v>
      </c>
      <c r="G232" s="310">
        <f t="shared" si="72"/>
        <v>0</v>
      </c>
      <c r="H232" s="368">
        <v>0</v>
      </c>
      <c r="I232" s="369">
        <v>0</v>
      </c>
      <c r="J232" s="313">
        <f t="shared" si="73"/>
        <v>0</v>
      </c>
      <c r="K232" s="308">
        <v>0</v>
      </c>
      <c r="L232" s="309">
        <v>0</v>
      </c>
      <c r="M232" s="310">
        <f t="shared" si="74"/>
        <v>0</v>
      </c>
      <c r="N232" s="368">
        <v>2</v>
      </c>
      <c r="O232" s="369">
        <v>52024</v>
      </c>
      <c r="P232" s="313">
        <f t="shared" si="75"/>
        <v>104048</v>
      </c>
      <c r="Q232" s="308">
        <v>8</v>
      </c>
      <c r="R232" s="309">
        <v>46072</v>
      </c>
      <c r="S232" s="310">
        <f t="shared" si="76"/>
        <v>368576</v>
      </c>
      <c r="T232" s="368">
        <v>8</v>
      </c>
      <c r="U232" s="369">
        <v>42593</v>
      </c>
      <c r="V232" s="313">
        <f t="shared" si="77"/>
        <v>340744</v>
      </c>
      <c r="W232" s="308">
        <v>11</v>
      </c>
      <c r="X232" s="309">
        <v>36351</v>
      </c>
      <c r="Y232" s="310">
        <f t="shared" si="78"/>
        <v>399861</v>
      </c>
      <c r="Z232" s="368">
        <v>8</v>
      </c>
      <c r="AA232" s="369">
        <v>35510</v>
      </c>
      <c r="AB232" s="313">
        <f t="shared" si="79"/>
        <v>284080</v>
      </c>
      <c r="AC232" s="308">
        <v>0</v>
      </c>
      <c r="AD232" s="309">
        <v>0</v>
      </c>
      <c r="AE232" s="310">
        <f t="shared" si="80"/>
        <v>0</v>
      </c>
      <c r="AF232" s="368">
        <v>0</v>
      </c>
      <c r="AG232" s="369">
        <v>0</v>
      </c>
      <c r="AH232" s="313">
        <f t="shared" si="81"/>
        <v>0</v>
      </c>
      <c r="AI232" s="308">
        <v>0</v>
      </c>
      <c r="AJ232" s="309">
        <v>0</v>
      </c>
      <c r="AK232" s="310">
        <f t="shared" si="82"/>
        <v>0</v>
      </c>
      <c r="AL232" s="369">
        <v>0</v>
      </c>
      <c r="AM232" s="369">
        <v>0</v>
      </c>
      <c r="AN232" s="313">
        <f t="shared" si="83"/>
        <v>0</v>
      </c>
      <c r="AO232" s="308">
        <v>0</v>
      </c>
      <c r="AP232" s="309">
        <v>0</v>
      </c>
      <c r="AQ232" s="310">
        <f t="shared" si="84"/>
        <v>0</v>
      </c>
      <c r="AR232" s="368">
        <v>0</v>
      </c>
      <c r="AS232" s="369">
        <v>0</v>
      </c>
      <c r="AT232" s="313">
        <f t="shared" si="85"/>
        <v>0</v>
      </c>
      <c r="AU232" s="308">
        <v>0</v>
      </c>
      <c r="AV232" s="309">
        <v>0</v>
      </c>
      <c r="AW232" s="310">
        <f t="shared" si="86"/>
        <v>0</v>
      </c>
      <c r="AX232" s="368">
        <v>0</v>
      </c>
      <c r="AY232" s="369">
        <v>0</v>
      </c>
      <c r="AZ232" s="313">
        <f t="shared" si="87"/>
        <v>0</v>
      </c>
      <c r="BA232" s="308">
        <v>0</v>
      </c>
      <c r="BB232" s="309">
        <v>0</v>
      </c>
      <c r="BC232" s="310">
        <f t="shared" si="88"/>
        <v>0</v>
      </c>
      <c r="BD232" s="368">
        <v>0</v>
      </c>
      <c r="BE232" s="369">
        <v>0</v>
      </c>
      <c r="BF232" s="313">
        <f t="shared" si="89"/>
        <v>0</v>
      </c>
      <c r="BG232" s="308">
        <v>0</v>
      </c>
      <c r="BH232" s="309">
        <v>0</v>
      </c>
      <c r="BI232" s="310">
        <f t="shared" si="90"/>
        <v>0</v>
      </c>
      <c r="BJ232" s="368">
        <v>1</v>
      </c>
      <c r="BK232" s="369">
        <v>55000</v>
      </c>
      <c r="BL232" s="313">
        <f t="shared" si="91"/>
        <v>45001</v>
      </c>
      <c r="BM232" s="308">
        <v>0</v>
      </c>
      <c r="BN232" s="309">
        <v>0</v>
      </c>
      <c r="BO232" s="310">
        <f t="shared" si="92"/>
        <v>0</v>
      </c>
      <c r="BP232" s="368">
        <v>3</v>
      </c>
      <c r="BQ232" s="369">
        <v>46307</v>
      </c>
      <c r="BR232" s="313">
        <f t="shared" si="93"/>
        <v>113665.16220000001</v>
      </c>
      <c r="BS232" s="308">
        <v>0</v>
      </c>
      <c r="BT232" s="309">
        <v>0</v>
      </c>
      <c r="BU232" s="310">
        <f t="shared" si="94"/>
        <v>0</v>
      </c>
      <c r="BV232" s="368"/>
      <c r="BW232" s="369"/>
      <c r="BX232" s="313">
        <f t="shared" si="95"/>
        <v>0</v>
      </c>
      <c r="BY232" s="383"/>
      <c r="BZ232" s="370"/>
      <c r="CA232" s="370"/>
      <c r="CB232" s="370"/>
    </row>
    <row r="233" spans="1:80">
      <c r="A233" s="337" t="s">
        <v>407</v>
      </c>
      <c r="B233" s="418" t="s">
        <v>944</v>
      </c>
      <c r="C233" s="337">
        <v>434061</v>
      </c>
      <c r="D233" s="339">
        <v>10</v>
      </c>
      <c r="E233" s="308">
        <v>0</v>
      </c>
      <c r="F233" s="309">
        <v>0</v>
      </c>
      <c r="G233" s="310">
        <f t="shared" si="72"/>
        <v>0</v>
      </c>
      <c r="H233" s="368">
        <v>0</v>
      </c>
      <c r="I233" s="369">
        <v>0</v>
      </c>
      <c r="J233" s="313">
        <f t="shared" si="73"/>
        <v>0</v>
      </c>
      <c r="K233" s="308">
        <v>0</v>
      </c>
      <c r="L233" s="309">
        <v>0</v>
      </c>
      <c r="M233" s="310">
        <f t="shared" si="74"/>
        <v>0</v>
      </c>
      <c r="N233" s="368">
        <v>0</v>
      </c>
      <c r="O233" s="369">
        <v>0</v>
      </c>
      <c r="P233" s="313">
        <f t="shared" si="75"/>
        <v>0</v>
      </c>
      <c r="Q233" s="308">
        <v>0</v>
      </c>
      <c r="R233" s="309">
        <v>0</v>
      </c>
      <c r="S233" s="310">
        <f t="shared" si="76"/>
        <v>0</v>
      </c>
      <c r="T233" s="368">
        <v>5</v>
      </c>
      <c r="U233" s="369">
        <v>47821</v>
      </c>
      <c r="V233" s="313">
        <f t="shared" si="77"/>
        <v>239105</v>
      </c>
      <c r="W233" s="308">
        <v>27</v>
      </c>
      <c r="X233" s="309">
        <v>38496</v>
      </c>
      <c r="Y233" s="310">
        <f t="shared" si="78"/>
        <v>1039392</v>
      </c>
      <c r="Z233" s="368">
        <v>31</v>
      </c>
      <c r="AA233" s="369">
        <v>36740</v>
      </c>
      <c r="AB233" s="313">
        <f t="shared" si="79"/>
        <v>1138940</v>
      </c>
      <c r="AC233" s="308">
        <v>0</v>
      </c>
      <c r="AD233" s="309">
        <v>0</v>
      </c>
      <c r="AE233" s="310">
        <f t="shared" si="80"/>
        <v>0</v>
      </c>
      <c r="AF233" s="368">
        <v>0</v>
      </c>
      <c r="AG233" s="369">
        <v>0</v>
      </c>
      <c r="AH233" s="313">
        <f t="shared" si="81"/>
        <v>0</v>
      </c>
      <c r="AI233" s="308">
        <v>0</v>
      </c>
      <c r="AJ233" s="309">
        <v>0</v>
      </c>
      <c r="AK233" s="310">
        <f t="shared" si="82"/>
        <v>0</v>
      </c>
      <c r="AL233" s="369">
        <v>0</v>
      </c>
      <c r="AM233" s="369">
        <v>0</v>
      </c>
      <c r="AN233" s="313">
        <f t="shared" si="83"/>
        <v>0</v>
      </c>
      <c r="AO233" s="308">
        <v>0</v>
      </c>
      <c r="AP233" s="309">
        <v>0</v>
      </c>
      <c r="AQ233" s="310">
        <f t="shared" si="84"/>
        <v>0</v>
      </c>
      <c r="AR233" s="368">
        <v>0</v>
      </c>
      <c r="AS233" s="369">
        <v>0</v>
      </c>
      <c r="AT233" s="313">
        <f t="shared" si="85"/>
        <v>0</v>
      </c>
      <c r="AU233" s="308">
        <v>0</v>
      </c>
      <c r="AV233" s="309">
        <v>0</v>
      </c>
      <c r="AW233" s="310">
        <f t="shared" si="86"/>
        <v>0</v>
      </c>
      <c r="AX233" s="368">
        <v>0</v>
      </c>
      <c r="AY233" s="369">
        <v>0</v>
      </c>
      <c r="AZ233" s="313">
        <f t="shared" si="87"/>
        <v>0</v>
      </c>
      <c r="BA233" s="308">
        <v>0</v>
      </c>
      <c r="BB233" s="309">
        <v>0</v>
      </c>
      <c r="BC233" s="310">
        <f t="shared" si="88"/>
        <v>0</v>
      </c>
      <c r="BD233" s="368">
        <v>0</v>
      </c>
      <c r="BE233" s="369">
        <v>0</v>
      </c>
      <c r="BF233" s="313">
        <f t="shared" si="89"/>
        <v>0</v>
      </c>
      <c r="BG233" s="308">
        <v>0</v>
      </c>
      <c r="BH233" s="309">
        <v>0</v>
      </c>
      <c r="BI233" s="310">
        <f t="shared" si="90"/>
        <v>0</v>
      </c>
      <c r="BJ233" s="368">
        <v>0</v>
      </c>
      <c r="BK233" s="369">
        <v>0</v>
      </c>
      <c r="BL233" s="313">
        <f t="shared" si="91"/>
        <v>0</v>
      </c>
      <c r="BM233" s="308">
        <v>0</v>
      </c>
      <c r="BN233" s="309">
        <v>0</v>
      </c>
      <c r="BO233" s="310">
        <f t="shared" si="92"/>
        <v>0</v>
      </c>
      <c r="BP233" s="368">
        <v>0</v>
      </c>
      <c r="BQ233" s="369">
        <v>0</v>
      </c>
      <c r="BR233" s="313">
        <f t="shared" si="93"/>
        <v>0</v>
      </c>
      <c r="BS233" s="308">
        <v>0</v>
      </c>
      <c r="BT233" s="309">
        <v>0</v>
      </c>
      <c r="BU233" s="310">
        <f t="shared" si="94"/>
        <v>0</v>
      </c>
      <c r="BV233" s="368">
        <v>0</v>
      </c>
      <c r="BW233" s="369">
        <v>0</v>
      </c>
      <c r="BX233" s="313">
        <f t="shared" si="95"/>
        <v>0</v>
      </c>
      <c r="BY233" s="383"/>
      <c r="BZ233" s="370"/>
      <c r="CA233" s="370"/>
      <c r="CB233" s="370"/>
    </row>
    <row r="234" spans="1:80">
      <c r="A234" s="337" t="s">
        <v>407</v>
      </c>
      <c r="B234" s="338" t="s">
        <v>945</v>
      </c>
      <c r="C234" s="337">
        <v>160649</v>
      </c>
      <c r="D234" s="339">
        <v>10</v>
      </c>
      <c r="E234" s="308">
        <v>2</v>
      </c>
      <c r="F234" s="309">
        <v>68127</v>
      </c>
      <c r="G234" s="310">
        <f t="shared" si="72"/>
        <v>136254</v>
      </c>
      <c r="H234" s="368">
        <v>2</v>
      </c>
      <c r="I234" s="369">
        <v>68127</v>
      </c>
      <c r="J234" s="313">
        <f t="shared" si="73"/>
        <v>136254</v>
      </c>
      <c r="K234" s="308">
        <v>14</v>
      </c>
      <c r="L234" s="309">
        <v>48148</v>
      </c>
      <c r="M234" s="310">
        <f t="shared" si="74"/>
        <v>674072</v>
      </c>
      <c r="N234" s="368">
        <v>14</v>
      </c>
      <c r="O234" s="369">
        <v>48148</v>
      </c>
      <c r="P234" s="313">
        <f t="shared" si="75"/>
        <v>674072</v>
      </c>
      <c r="Q234" s="308">
        <v>21</v>
      </c>
      <c r="R234" s="309">
        <v>43381</v>
      </c>
      <c r="S234" s="310">
        <f t="shared" si="76"/>
        <v>911001</v>
      </c>
      <c r="T234" s="368">
        <v>19</v>
      </c>
      <c r="U234" s="369">
        <v>45653</v>
      </c>
      <c r="V234" s="313">
        <f t="shared" si="77"/>
        <v>867407</v>
      </c>
      <c r="W234" s="308">
        <v>7</v>
      </c>
      <c r="X234" s="309">
        <v>47131</v>
      </c>
      <c r="Y234" s="310">
        <f t="shared" si="78"/>
        <v>329917</v>
      </c>
      <c r="Z234" s="368">
        <v>6</v>
      </c>
      <c r="AA234" s="369">
        <v>46652</v>
      </c>
      <c r="AB234" s="313">
        <f t="shared" si="79"/>
        <v>279912</v>
      </c>
      <c r="AC234" s="308">
        <v>0</v>
      </c>
      <c r="AD234" s="309">
        <v>0</v>
      </c>
      <c r="AE234" s="310">
        <f t="shared" si="80"/>
        <v>0</v>
      </c>
      <c r="AF234" s="368">
        <v>0</v>
      </c>
      <c r="AG234" s="369">
        <v>0</v>
      </c>
      <c r="AH234" s="313">
        <f t="shared" si="81"/>
        <v>0</v>
      </c>
      <c r="AI234" s="308">
        <v>0</v>
      </c>
      <c r="AJ234" s="309">
        <v>0</v>
      </c>
      <c r="AK234" s="310">
        <f t="shared" si="82"/>
        <v>0</v>
      </c>
      <c r="AL234" s="368">
        <v>0</v>
      </c>
      <c r="AM234" s="369">
        <v>0</v>
      </c>
      <c r="AN234" s="313">
        <f t="shared" si="83"/>
        <v>0</v>
      </c>
      <c r="AO234" s="308">
        <v>0</v>
      </c>
      <c r="AP234" s="309">
        <v>0</v>
      </c>
      <c r="AQ234" s="310">
        <f t="shared" si="84"/>
        <v>0</v>
      </c>
      <c r="AR234" s="368">
        <v>0</v>
      </c>
      <c r="AS234" s="369">
        <v>0</v>
      </c>
      <c r="AT234" s="313">
        <f t="shared" si="85"/>
        <v>0</v>
      </c>
      <c r="AU234" s="308">
        <v>1</v>
      </c>
      <c r="AV234" s="309">
        <v>52300</v>
      </c>
      <c r="AW234" s="310">
        <f t="shared" si="86"/>
        <v>42791.86</v>
      </c>
      <c r="AX234" s="368">
        <v>1</v>
      </c>
      <c r="AY234" s="369">
        <v>52300</v>
      </c>
      <c r="AZ234" s="313">
        <f t="shared" si="87"/>
        <v>42791.86</v>
      </c>
      <c r="BA234" s="308">
        <v>3</v>
      </c>
      <c r="BB234" s="309">
        <v>61809</v>
      </c>
      <c r="BC234" s="310">
        <f t="shared" si="88"/>
        <v>151716.3714</v>
      </c>
      <c r="BD234" s="368">
        <v>3</v>
      </c>
      <c r="BE234" s="369">
        <v>61809</v>
      </c>
      <c r="BF234" s="313">
        <f t="shared" si="89"/>
        <v>151716.3714</v>
      </c>
      <c r="BG234" s="308">
        <v>20</v>
      </c>
      <c r="BH234" s="309">
        <v>46769</v>
      </c>
      <c r="BI234" s="310">
        <f t="shared" si="90"/>
        <v>765327.91600000008</v>
      </c>
      <c r="BJ234" s="368">
        <v>20</v>
      </c>
      <c r="BK234" s="369">
        <v>46769</v>
      </c>
      <c r="BL234" s="313">
        <f t="shared" si="91"/>
        <v>765327.91600000008</v>
      </c>
      <c r="BM234" s="308">
        <v>0</v>
      </c>
      <c r="BN234" s="309">
        <v>0</v>
      </c>
      <c r="BO234" s="310">
        <f t="shared" si="92"/>
        <v>0</v>
      </c>
      <c r="BP234" s="368">
        <v>0</v>
      </c>
      <c r="BQ234" s="369">
        <v>0</v>
      </c>
      <c r="BR234" s="313">
        <f t="shared" si="93"/>
        <v>0</v>
      </c>
      <c r="BS234" s="308">
        <v>0</v>
      </c>
      <c r="BT234" s="309">
        <v>0</v>
      </c>
      <c r="BU234" s="310">
        <f t="shared" si="94"/>
        <v>0</v>
      </c>
      <c r="BV234" s="368">
        <v>0</v>
      </c>
      <c r="BW234" s="369">
        <v>0</v>
      </c>
      <c r="BX234" s="313">
        <f t="shared" si="95"/>
        <v>0</v>
      </c>
      <c r="BY234" s="383"/>
      <c r="BZ234" s="370"/>
      <c r="CA234" s="370"/>
      <c r="CB234" s="370"/>
    </row>
    <row r="235" spans="1:80">
      <c r="A235" s="337" t="s">
        <v>407</v>
      </c>
      <c r="B235" s="338" t="s">
        <v>946</v>
      </c>
      <c r="C235" s="337">
        <v>160579</v>
      </c>
      <c r="D235" s="339">
        <v>12</v>
      </c>
      <c r="E235" s="308">
        <v>0</v>
      </c>
      <c r="F235" s="309">
        <v>0</v>
      </c>
      <c r="G235" s="310">
        <f t="shared" si="72"/>
        <v>0</v>
      </c>
      <c r="H235" s="368">
        <v>0</v>
      </c>
      <c r="I235" s="369">
        <v>0</v>
      </c>
      <c r="J235" s="313">
        <f t="shared" si="73"/>
        <v>0</v>
      </c>
      <c r="K235" s="308">
        <v>0</v>
      </c>
      <c r="L235" s="309">
        <v>0</v>
      </c>
      <c r="M235" s="310">
        <f t="shared" si="74"/>
        <v>0</v>
      </c>
      <c r="N235" s="368">
        <v>0</v>
      </c>
      <c r="O235" s="369">
        <v>0</v>
      </c>
      <c r="P235" s="313">
        <f t="shared" si="75"/>
        <v>0</v>
      </c>
      <c r="Q235" s="308">
        <v>0</v>
      </c>
      <c r="R235" s="309">
        <v>0</v>
      </c>
      <c r="S235" s="310">
        <f t="shared" si="76"/>
        <v>0</v>
      </c>
      <c r="T235" s="368">
        <v>0</v>
      </c>
      <c r="U235" s="369">
        <v>0</v>
      </c>
      <c r="V235" s="313">
        <f t="shared" si="77"/>
        <v>0</v>
      </c>
      <c r="W235" s="308">
        <v>12</v>
      </c>
      <c r="X235" s="309">
        <v>35041</v>
      </c>
      <c r="Y235" s="310">
        <f t="shared" si="78"/>
        <v>420492</v>
      </c>
      <c r="Z235" s="368">
        <v>24</v>
      </c>
      <c r="AA235" s="369">
        <v>35636</v>
      </c>
      <c r="AB235" s="313">
        <f t="shared" si="79"/>
        <v>855264</v>
      </c>
      <c r="AC235" s="308">
        <v>0</v>
      </c>
      <c r="AD235" s="309">
        <v>0</v>
      </c>
      <c r="AE235" s="310">
        <f t="shared" si="80"/>
        <v>0</v>
      </c>
      <c r="AF235" s="368">
        <v>0</v>
      </c>
      <c r="AG235" s="369">
        <v>0</v>
      </c>
      <c r="AH235" s="313">
        <f t="shared" si="81"/>
        <v>0</v>
      </c>
      <c r="AI235" s="308">
        <v>0</v>
      </c>
      <c r="AJ235" s="309">
        <v>0</v>
      </c>
      <c r="AK235" s="310">
        <f t="shared" si="82"/>
        <v>0</v>
      </c>
      <c r="AL235" s="368">
        <v>0</v>
      </c>
      <c r="AM235" s="369">
        <v>0</v>
      </c>
      <c r="AN235" s="313">
        <f t="shared" si="83"/>
        <v>0</v>
      </c>
      <c r="AO235" s="308">
        <v>0</v>
      </c>
      <c r="AP235" s="309">
        <v>0</v>
      </c>
      <c r="AQ235" s="310">
        <f t="shared" si="84"/>
        <v>0</v>
      </c>
      <c r="AR235" s="368">
        <v>0</v>
      </c>
      <c r="AS235" s="369">
        <v>0</v>
      </c>
      <c r="AT235" s="313">
        <f t="shared" si="85"/>
        <v>0</v>
      </c>
      <c r="AU235" s="308">
        <v>0</v>
      </c>
      <c r="AV235" s="309">
        <v>0</v>
      </c>
      <c r="AW235" s="310">
        <f t="shared" si="86"/>
        <v>0</v>
      </c>
      <c r="AX235" s="368">
        <v>0</v>
      </c>
      <c r="AY235" s="369">
        <v>0</v>
      </c>
      <c r="AZ235" s="313">
        <f t="shared" si="87"/>
        <v>0</v>
      </c>
      <c r="BA235" s="308">
        <v>0</v>
      </c>
      <c r="BB235" s="309">
        <v>0</v>
      </c>
      <c r="BC235" s="310">
        <f t="shared" si="88"/>
        <v>0</v>
      </c>
      <c r="BD235" s="368">
        <v>0</v>
      </c>
      <c r="BE235" s="369">
        <v>0</v>
      </c>
      <c r="BF235" s="313">
        <f t="shared" si="89"/>
        <v>0</v>
      </c>
      <c r="BG235" s="308">
        <v>50</v>
      </c>
      <c r="BH235" s="309">
        <v>54178</v>
      </c>
      <c r="BI235" s="310">
        <f t="shared" si="90"/>
        <v>2216421.98</v>
      </c>
      <c r="BJ235" s="368">
        <v>47</v>
      </c>
      <c r="BK235" s="369">
        <v>56009</v>
      </c>
      <c r="BL235" s="313">
        <f t="shared" si="91"/>
        <v>2153848.4986</v>
      </c>
      <c r="BM235" s="308">
        <v>0</v>
      </c>
      <c r="BN235" s="309">
        <v>0</v>
      </c>
      <c r="BO235" s="310">
        <f t="shared" si="92"/>
        <v>0</v>
      </c>
      <c r="BP235" s="368">
        <v>0</v>
      </c>
      <c r="BQ235" s="369">
        <v>0</v>
      </c>
      <c r="BR235" s="313">
        <f t="shared" si="93"/>
        <v>0</v>
      </c>
      <c r="BS235" s="308">
        <v>0</v>
      </c>
      <c r="BT235" s="309">
        <v>0</v>
      </c>
      <c r="BU235" s="310">
        <f t="shared" si="94"/>
        <v>0</v>
      </c>
      <c r="BV235" s="368">
        <v>0</v>
      </c>
      <c r="BW235" s="369">
        <v>0</v>
      </c>
      <c r="BX235" s="313">
        <f t="shared" si="95"/>
        <v>0</v>
      </c>
      <c r="BY235" s="383"/>
      <c r="BZ235" s="370"/>
      <c r="CA235" s="370"/>
      <c r="CB235" s="370"/>
    </row>
    <row r="236" spans="1:80">
      <c r="A236" s="337" t="s">
        <v>407</v>
      </c>
      <c r="B236" s="338" t="s">
        <v>947</v>
      </c>
      <c r="C236" s="337">
        <v>160481</v>
      </c>
      <c r="D236" s="339">
        <v>13</v>
      </c>
      <c r="E236" s="308">
        <v>0</v>
      </c>
      <c r="F236" s="309">
        <v>0</v>
      </c>
      <c r="G236" s="310">
        <f t="shared" si="72"/>
        <v>0</v>
      </c>
      <c r="H236" s="368">
        <v>0</v>
      </c>
      <c r="I236" s="369">
        <v>0</v>
      </c>
      <c r="J236" s="313">
        <f t="shared" si="73"/>
        <v>0</v>
      </c>
      <c r="K236" s="308">
        <v>0</v>
      </c>
      <c r="L236" s="309">
        <v>0</v>
      </c>
      <c r="M236" s="310">
        <f t="shared" si="74"/>
        <v>0</v>
      </c>
      <c r="N236" s="368">
        <v>0</v>
      </c>
      <c r="O236" s="369">
        <v>0</v>
      </c>
      <c r="P236" s="313">
        <f t="shared" si="75"/>
        <v>0</v>
      </c>
      <c r="Q236" s="308">
        <v>0</v>
      </c>
      <c r="R236" s="309">
        <v>0</v>
      </c>
      <c r="S236" s="310">
        <f t="shared" si="76"/>
        <v>0</v>
      </c>
      <c r="T236" s="368">
        <v>0</v>
      </c>
      <c r="U236" s="369">
        <v>0</v>
      </c>
      <c r="V236" s="313">
        <f t="shared" si="77"/>
        <v>0</v>
      </c>
      <c r="W236" s="308">
        <v>20</v>
      </c>
      <c r="X236" s="309">
        <v>34125</v>
      </c>
      <c r="Y236" s="310">
        <f t="shared" si="78"/>
        <v>682500</v>
      </c>
      <c r="Z236" s="368">
        <v>25</v>
      </c>
      <c r="AA236" s="369">
        <v>34419</v>
      </c>
      <c r="AB236" s="313">
        <f t="shared" si="79"/>
        <v>860475</v>
      </c>
      <c r="AC236" s="308">
        <v>1</v>
      </c>
      <c r="AD236" s="309">
        <v>24947</v>
      </c>
      <c r="AE236" s="310">
        <f t="shared" si="80"/>
        <v>24947</v>
      </c>
      <c r="AF236" s="368">
        <v>1</v>
      </c>
      <c r="AG236" s="369">
        <v>25000</v>
      </c>
      <c r="AH236" s="313">
        <f t="shared" si="81"/>
        <v>25000</v>
      </c>
      <c r="AI236" s="308">
        <v>0</v>
      </c>
      <c r="AJ236" s="309">
        <v>0</v>
      </c>
      <c r="AK236" s="310">
        <f t="shared" si="82"/>
        <v>0</v>
      </c>
      <c r="AL236" s="368">
        <v>0</v>
      </c>
      <c r="AM236" s="369">
        <v>0</v>
      </c>
      <c r="AN236" s="313">
        <f t="shared" si="83"/>
        <v>0</v>
      </c>
      <c r="AO236" s="308">
        <v>0</v>
      </c>
      <c r="AP236" s="309">
        <v>0</v>
      </c>
      <c r="AQ236" s="310">
        <f t="shared" si="84"/>
        <v>0</v>
      </c>
      <c r="AR236" s="368">
        <v>0</v>
      </c>
      <c r="AS236" s="369">
        <v>0</v>
      </c>
      <c r="AT236" s="313">
        <f t="shared" si="85"/>
        <v>0</v>
      </c>
      <c r="AU236" s="308">
        <v>0</v>
      </c>
      <c r="AV236" s="309">
        <v>0</v>
      </c>
      <c r="AW236" s="310">
        <f t="shared" si="86"/>
        <v>0</v>
      </c>
      <c r="AX236" s="368">
        <v>0</v>
      </c>
      <c r="AY236" s="369">
        <v>0</v>
      </c>
      <c r="AZ236" s="313">
        <f t="shared" si="87"/>
        <v>0</v>
      </c>
      <c r="BA236" s="308">
        <v>0</v>
      </c>
      <c r="BB236" s="309">
        <v>0</v>
      </c>
      <c r="BC236" s="310">
        <f t="shared" si="88"/>
        <v>0</v>
      </c>
      <c r="BD236" s="368">
        <v>0</v>
      </c>
      <c r="BE236" s="369">
        <v>0</v>
      </c>
      <c r="BF236" s="313">
        <f t="shared" si="89"/>
        <v>0</v>
      </c>
      <c r="BG236" s="308">
        <v>25</v>
      </c>
      <c r="BH236" s="309">
        <v>51493</v>
      </c>
      <c r="BI236" s="310">
        <f t="shared" si="90"/>
        <v>1053289.3149999999</v>
      </c>
      <c r="BJ236" s="368">
        <v>19</v>
      </c>
      <c r="BK236" s="369">
        <v>51899</v>
      </c>
      <c r="BL236" s="313">
        <f t="shared" si="91"/>
        <v>806811.47420000006</v>
      </c>
      <c r="BM236" s="308">
        <v>0</v>
      </c>
      <c r="BN236" s="309">
        <v>0</v>
      </c>
      <c r="BO236" s="310">
        <f t="shared" si="92"/>
        <v>0</v>
      </c>
      <c r="BP236" s="368">
        <v>0</v>
      </c>
      <c r="BQ236" s="369">
        <v>0</v>
      </c>
      <c r="BR236" s="313">
        <f t="shared" si="93"/>
        <v>0</v>
      </c>
      <c r="BS236" s="308">
        <v>0</v>
      </c>
      <c r="BT236" s="309">
        <v>0</v>
      </c>
      <c r="BU236" s="310">
        <f t="shared" si="94"/>
        <v>0</v>
      </c>
      <c r="BV236" s="368">
        <v>0</v>
      </c>
      <c r="BW236" s="369">
        <v>0</v>
      </c>
      <c r="BX236" s="313">
        <f t="shared" si="95"/>
        <v>0</v>
      </c>
      <c r="BY236" s="383"/>
      <c r="BZ236" s="370"/>
      <c r="CA236" s="370"/>
      <c r="CB236" s="370"/>
    </row>
    <row r="237" spans="1:80">
      <c r="A237" s="337" t="s">
        <v>407</v>
      </c>
      <c r="B237" s="338" t="s">
        <v>948</v>
      </c>
      <c r="C237" s="337">
        <v>160560</v>
      </c>
      <c r="D237" s="339">
        <v>14</v>
      </c>
      <c r="E237" s="308"/>
      <c r="F237" s="309"/>
      <c r="G237" s="310">
        <f t="shared" si="72"/>
        <v>0</v>
      </c>
      <c r="H237" s="368">
        <v>0</v>
      </c>
      <c r="I237" s="369">
        <v>0</v>
      </c>
      <c r="J237" s="313">
        <f t="shared" si="73"/>
        <v>0</v>
      </c>
      <c r="K237" s="308"/>
      <c r="L237" s="309"/>
      <c r="M237" s="310">
        <f t="shared" si="74"/>
        <v>0</v>
      </c>
      <c r="N237" s="368">
        <v>0</v>
      </c>
      <c r="O237" s="369">
        <v>0</v>
      </c>
      <c r="P237" s="313">
        <f t="shared" si="75"/>
        <v>0</v>
      </c>
      <c r="Q237" s="308"/>
      <c r="R237" s="309"/>
      <c r="S237" s="310">
        <f t="shared" si="76"/>
        <v>0</v>
      </c>
      <c r="T237" s="368">
        <v>0</v>
      </c>
      <c r="U237" s="369">
        <v>0</v>
      </c>
      <c r="V237" s="313">
        <f t="shared" si="77"/>
        <v>0</v>
      </c>
      <c r="W237" s="308"/>
      <c r="X237" s="309"/>
      <c r="Y237" s="310">
        <f t="shared" si="78"/>
        <v>0</v>
      </c>
      <c r="Z237" s="382"/>
      <c r="AB237" s="313">
        <f t="shared" si="79"/>
        <v>0</v>
      </c>
      <c r="AC237" s="308"/>
      <c r="AD237" s="309"/>
      <c r="AE237" s="310">
        <f t="shared" si="80"/>
        <v>0</v>
      </c>
      <c r="AF237" s="368">
        <v>0</v>
      </c>
      <c r="AG237" s="369">
        <v>0</v>
      </c>
      <c r="AH237" s="313">
        <f t="shared" si="81"/>
        <v>0</v>
      </c>
      <c r="AI237" s="308"/>
      <c r="AJ237" s="309"/>
      <c r="AK237" s="310">
        <f t="shared" si="82"/>
        <v>0</v>
      </c>
      <c r="AL237" s="382"/>
      <c r="AN237" s="313">
        <f t="shared" si="83"/>
        <v>0</v>
      </c>
      <c r="AO237" s="308"/>
      <c r="AP237" s="309"/>
      <c r="AQ237" s="310">
        <f t="shared" si="84"/>
        <v>0</v>
      </c>
      <c r="AR237" s="368">
        <v>0</v>
      </c>
      <c r="AS237" s="369">
        <v>0</v>
      </c>
      <c r="AT237" s="313">
        <f t="shared" si="85"/>
        <v>0</v>
      </c>
      <c r="AU237" s="308"/>
      <c r="AV237" s="309"/>
      <c r="AW237" s="310">
        <f t="shared" si="86"/>
        <v>0</v>
      </c>
      <c r="AX237" s="368">
        <v>0</v>
      </c>
      <c r="AY237" s="369">
        <v>0</v>
      </c>
      <c r="AZ237" s="313">
        <f t="shared" si="87"/>
        <v>0</v>
      </c>
      <c r="BA237" s="308"/>
      <c r="BB237" s="309"/>
      <c r="BC237" s="310">
        <f t="shared" si="88"/>
        <v>0</v>
      </c>
      <c r="BD237" s="368">
        <v>0</v>
      </c>
      <c r="BE237" s="369">
        <v>0</v>
      </c>
      <c r="BF237" s="313">
        <f t="shared" si="89"/>
        <v>0</v>
      </c>
      <c r="BG237" s="308"/>
      <c r="BH237" s="309"/>
      <c r="BI237" s="310">
        <f t="shared" si="90"/>
        <v>0</v>
      </c>
      <c r="BJ237" s="368"/>
      <c r="BK237" s="369"/>
      <c r="BL237" s="313">
        <f t="shared" si="91"/>
        <v>0</v>
      </c>
      <c r="BM237" s="308"/>
      <c r="BN237" s="309"/>
      <c r="BO237" s="310">
        <f t="shared" si="92"/>
        <v>0</v>
      </c>
      <c r="BP237" s="368">
        <v>0</v>
      </c>
      <c r="BQ237" s="369">
        <v>0</v>
      </c>
      <c r="BR237" s="313">
        <f t="shared" si="93"/>
        <v>0</v>
      </c>
      <c r="BS237" s="308"/>
      <c r="BT237" s="309"/>
      <c r="BU237" s="310">
        <f t="shared" si="94"/>
        <v>0</v>
      </c>
      <c r="BV237" s="382"/>
      <c r="BX237" s="313">
        <f t="shared" si="95"/>
        <v>0</v>
      </c>
      <c r="BY237" s="383"/>
      <c r="BZ237" s="370"/>
      <c r="CA237" s="370"/>
      <c r="CB237" s="370"/>
    </row>
    <row r="238" spans="1:80">
      <c r="A238" s="337" t="s">
        <v>407</v>
      </c>
      <c r="B238" s="338" t="s">
        <v>949</v>
      </c>
      <c r="C238" s="337">
        <v>158088</v>
      </c>
      <c r="D238" s="339">
        <v>14</v>
      </c>
      <c r="E238" s="308"/>
      <c r="F238" s="309"/>
      <c r="G238" s="310">
        <f t="shared" si="72"/>
        <v>0</v>
      </c>
      <c r="H238" s="368"/>
      <c r="I238" s="369"/>
      <c r="J238" s="313">
        <f t="shared" si="73"/>
        <v>0</v>
      </c>
      <c r="K238" s="308"/>
      <c r="L238" s="309"/>
      <c r="M238" s="310">
        <f t="shared" si="74"/>
        <v>0</v>
      </c>
      <c r="N238" s="368"/>
      <c r="O238" s="369"/>
      <c r="P238" s="313">
        <f t="shared" si="75"/>
        <v>0</v>
      </c>
      <c r="Q238" s="308"/>
      <c r="R238" s="309"/>
      <c r="S238" s="310">
        <f t="shared" si="76"/>
        <v>0</v>
      </c>
      <c r="T238" s="368"/>
      <c r="U238" s="369"/>
      <c r="V238" s="313">
        <f t="shared" si="77"/>
        <v>0</v>
      </c>
      <c r="W238" s="308"/>
      <c r="X238" s="309"/>
      <c r="Y238" s="310">
        <f t="shared" si="78"/>
        <v>0</v>
      </c>
      <c r="Z238" s="368"/>
      <c r="AA238" s="369"/>
      <c r="AB238" s="313">
        <f t="shared" si="79"/>
        <v>0</v>
      </c>
      <c r="AC238" s="308"/>
      <c r="AD238" s="309"/>
      <c r="AE238" s="310">
        <f t="shared" si="80"/>
        <v>0</v>
      </c>
      <c r="AF238" s="368"/>
      <c r="AG238" s="369"/>
      <c r="AH238" s="313">
        <f t="shared" si="81"/>
        <v>0</v>
      </c>
      <c r="AI238" s="308"/>
      <c r="AJ238" s="309"/>
      <c r="AK238" s="310">
        <f t="shared" si="82"/>
        <v>0</v>
      </c>
      <c r="AL238" s="368"/>
      <c r="AM238" s="369"/>
      <c r="AN238" s="313">
        <f t="shared" si="83"/>
        <v>0</v>
      </c>
      <c r="AO238" s="308"/>
      <c r="AP238" s="309"/>
      <c r="AQ238" s="310">
        <f t="shared" si="84"/>
        <v>0</v>
      </c>
      <c r="AR238" s="368"/>
      <c r="AS238" s="369"/>
      <c r="AT238" s="313">
        <f t="shared" si="85"/>
        <v>0</v>
      </c>
      <c r="AU238" s="308"/>
      <c r="AV238" s="309"/>
      <c r="AW238" s="310">
        <f t="shared" si="86"/>
        <v>0</v>
      </c>
      <c r="AX238" s="368"/>
      <c r="AY238" s="369"/>
      <c r="AZ238" s="313">
        <f t="shared" si="87"/>
        <v>0</v>
      </c>
      <c r="BA238" s="308"/>
      <c r="BB238" s="309"/>
      <c r="BC238" s="310">
        <f t="shared" si="88"/>
        <v>0</v>
      </c>
      <c r="BD238" s="368"/>
      <c r="BE238" s="369"/>
      <c r="BF238" s="313">
        <f t="shared" si="89"/>
        <v>0</v>
      </c>
      <c r="BG238" s="308"/>
      <c r="BH238" s="309"/>
      <c r="BI238" s="310">
        <f t="shared" si="90"/>
        <v>0</v>
      </c>
      <c r="BJ238" s="368"/>
      <c r="BK238" s="369"/>
      <c r="BL238" s="313">
        <f t="shared" si="91"/>
        <v>0</v>
      </c>
      <c r="BM238" s="308"/>
      <c r="BN238" s="309"/>
      <c r="BO238" s="310">
        <f t="shared" si="92"/>
        <v>0</v>
      </c>
      <c r="BP238" s="368"/>
      <c r="BQ238" s="369"/>
      <c r="BR238" s="313">
        <f t="shared" si="93"/>
        <v>0</v>
      </c>
      <c r="BS238" s="308"/>
      <c r="BT238" s="309"/>
      <c r="BU238" s="310">
        <f t="shared" si="94"/>
        <v>0</v>
      </c>
      <c r="BV238" s="368"/>
      <c r="BW238" s="369"/>
      <c r="BX238" s="313">
        <f t="shared" si="95"/>
        <v>0</v>
      </c>
      <c r="BY238" s="383"/>
      <c r="BZ238" s="370"/>
      <c r="CA238" s="370"/>
      <c r="CB238" s="370"/>
    </row>
    <row r="239" spans="1:80">
      <c r="A239" s="337" t="s">
        <v>407</v>
      </c>
      <c r="B239" s="338" t="s">
        <v>950</v>
      </c>
      <c r="C239" s="337"/>
      <c r="D239" s="339">
        <v>14</v>
      </c>
      <c r="E239" s="308">
        <v>0</v>
      </c>
      <c r="F239" s="309">
        <v>0</v>
      </c>
      <c r="G239" s="310">
        <f t="shared" si="72"/>
        <v>0</v>
      </c>
      <c r="H239" s="368"/>
      <c r="I239" s="369"/>
      <c r="J239" s="313">
        <f t="shared" si="73"/>
        <v>0</v>
      </c>
      <c r="K239" s="308">
        <v>0</v>
      </c>
      <c r="L239" s="309">
        <v>0</v>
      </c>
      <c r="M239" s="310">
        <f t="shared" si="74"/>
        <v>0</v>
      </c>
      <c r="N239" s="368"/>
      <c r="O239" s="369"/>
      <c r="P239" s="313">
        <f t="shared" si="75"/>
        <v>0</v>
      </c>
      <c r="Q239" s="308">
        <v>0</v>
      </c>
      <c r="R239" s="309">
        <v>0</v>
      </c>
      <c r="S239" s="310">
        <f t="shared" si="76"/>
        <v>0</v>
      </c>
      <c r="T239" s="368"/>
      <c r="U239" s="369"/>
      <c r="V239" s="313">
        <f t="shared" si="77"/>
        <v>0</v>
      </c>
      <c r="W239" s="308"/>
      <c r="X239" s="309"/>
      <c r="Y239" s="310"/>
      <c r="Z239" s="368"/>
      <c r="AA239" s="369"/>
      <c r="AB239" s="313"/>
      <c r="AC239" s="308">
        <v>0</v>
      </c>
      <c r="AD239" s="309">
        <v>0</v>
      </c>
      <c r="AE239" s="310">
        <f t="shared" si="80"/>
        <v>0</v>
      </c>
      <c r="AF239" s="368"/>
      <c r="AG239" s="369"/>
      <c r="AH239" s="313">
        <f t="shared" si="81"/>
        <v>0</v>
      </c>
      <c r="AI239" s="308">
        <v>90</v>
      </c>
      <c r="AJ239" s="309">
        <v>37235.488888888889</v>
      </c>
      <c r="AK239" s="310">
        <f t="shared" si="82"/>
        <v>3351194</v>
      </c>
      <c r="AL239" s="368">
        <v>77</v>
      </c>
      <c r="AM239" s="369">
        <v>39488.558441558438</v>
      </c>
      <c r="AN239" s="313">
        <f t="shared" si="83"/>
        <v>3040618.9999999995</v>
      </c>
      <c r="AO239" s="308">
        <v>0</v>
      </c>
      <c r="AP239" s="309">
        <v>0</v>
      </c>
      <c r="AQ239" s="310">
        <f t="shared" si="84"/>
        <v>0</v>
      </c>
      <c r="AR239" s="368"/>
      <c r="AS239" s="369"/>
      <c r="AT239" s="313">
        <f t="shared" si="85"/>
        <v>0</v>
      </c>
      <c r="AU239" s="308">
        <v>0</v>
      </c>
      <c r="AV239" s="309">
        <v>0</v>
      </c>
      <c r="AW239" s="310">
        <f t="shared" si="86"/>
        <v>0</v>
      </c>
      <c r="AX239" s="368"/>
      <c r="AY239" s="369"/>
      <c r="AZ239" s="313">
        <f t="shared" si="87"/>
        <v>0</v>
      </c>
      <c r="BA239" s="308">
        <v>0</v>
      </c>
      <c r="BB239" s="309">
        <v>0</v>
      </c>
      <c r="BC239" s="310">
        <f t="shared" si="88"/>
        <v>0</v>
      </c>
      <c r="BD239" s="368"/>
      <c r="BE239" s="369"/>
      <c r="BF239" s="313">
        <f t="shared" si="89"/>
        <v>0</v>
      </c>
      <c r="BG239" s="308"/>
      <c r="BH239" s="309"/>
      <c r="BI239" s="310"/>
      <c r="BJ239" s="368"/>
      <c r="BK239" s="369"/>
      <c r="BL239" s="313"/>
      <c r="BM239" s="308">
        <v>0</v>
      </c>
      <c r="BN239" s="309">
        <v>0</v>
      </c>
      <c r="BO239" s="310">
        <f t="shared" si="92"/>
        <v>0</v>
      </c>
      <c r="BP239" s="368"/>
      <c r="BQ239" s="369"/>
      <c r="BR239" s="313">
        <f t="shared" si="93"/>
        <v>0</v>
      </c>
      <c r="BS239" s="308">
        <v>406</v>
      </c>
      <c r="BT239" s="309">
        <v>39817.072220197042</v>
      </c>
      <c r="BU239" s="310">
        <f t="shared" si="94"/>
        <v>13226801.367169481</v>
      </c>
      <c r="BV239" s="368">
        <v>441</v>
      </c>
      <c r="BW239" s="369">
        <v>41075.443379591838</v>
      </c>
      <c r="BX239" s="313">
        <f t="shared" si="95"/>
        <v>14821096.14797328</v>
      </c>
      <c r="BY239" s="383"/>
      <c r="BZ239" s="370"/>
      <c r="CA239" s="370"/>
      <c r="CB239" s="370"/>
    </row>
    <row r="240" spans="1:80">
      <c r="A240" s="337" t="s">
        <v>407</v>
      </c>
      <c r="B240" s="338" t="s">
        <v>951</v>
      </c>
      <c r="C240" s="337">
        <v>158219</v>
      </c>
      <c r="D240" s="339">
        <v>14</v>
      </c>
      <c r="E240" s="308"/>
      <c r="F240" s="309"/>
      <c r="G240" s="310">
        <f t="shared" si="72"/>
        <v>0</v>
      </c>
      <c r="H240" s="368"/>
      <c r="I240" s="369"/>
      <c r="J240" s="313">
        <f t="shared" si="73"/>
        <v>0</v>
      </c>
      <c r="K240" s="308"/>
      <c r="L240" s="309"/>
      <c r="M240" s="310">
        <f t="shared" si="74"/>
        <v>0</v>
      </c>
      <c r="N240" s="368"/>
      <c r="O240" s="369"/>
      <c r="P240" s="313">
        <f t="shared" si="75"/>
        <v>0</v>
      </c>
      <c r="Q240" s="308"/>
      <c r="R240" s="309"/>
      <c r="S240" s="310">
        <f t="shared" si="76"/>
        <v>0</v>
      </c>
      <c r="T240" s="368"/>
      <c r="U240" s="369"/>
      <c r="V240" s="313">
        <f t="shared" si="77"/>
        <v>0</v>
      </c>
      <c r="W240" s="308"/>
      <c r="X240" s="309"/>
      <c r="Y240" s="310">
        <f t="shared" si="78"/>
        <v>0</v>
      </c>
      <c r="Z240" s="368"/>
      <c r="AA240" s="369"/>
      <c r="AB240" s="313">
        <f t="shared" si="79"/>
        <v>0</v>
      </c>
      <c r="AC240" s="308"/>
      <c r="AD240" s="309"/>
      <c r="AE240" s="310">
        <f t="shared" si="80"/>
        <v>0</v>
      </c>
      <c r="AF240" s="368"/>
      <c r="AG240" s="369"/>
      <c r="AH240" s="313">
        <f t="shared" si="81"/>
        <v>0</v>
      </c>
      <c r="AI240" s="308"/>
      <c r="AJ240" s="309"/>
      <c r="AK240" s="310"/>
      <c r="AL240" s="368"/>
      <c r="AM240" s="369"/>
      <c r="AN240" s="313"/>
      <c r="AO240" s="308"/>
      <c r="AP240" s="309"/>
      <c r="AQ240" s="310">
        <f t="shared" si="84"/>
        <v>0</v>
      </c>
      <c r="AR240" s="368"/>
      <c r="AS240" s="369"/>
      <c r="AT240" s="313">
        <f t="shared" si="85"/>
        <v>0</v>
      </c>
      <c r="AU240" s="308"/>
      <c r="AV240" s="309"/>
      <c r="AW240" s="310">
        <f t="shared" si="86"/>
        <v>0</v>
      </c>
      <c r="AX240" s="368"/>
      <c r="AY240" s="369"/>
      <c r="AZ240" s="313">
        <f t="shared" si="87"/>
        <v>0</v>
      </c>
      <c r="BA240" s="308"/>
      <c r="BB240" s="309"/>
      <c r="BC240" s="310">
        <f t="shared" si="88"/>
        <v>0</v>
      </c>
      <c r="BD240" s="368"/>
      <c r="BE240" s="369"/>
      <c r="BF240" s="313">
        <f t="shared" si="89"/>
        <v>0</v>
      </c>
      <c r="BG240" s="308"/>
      <c r="BH240" s="309"/>
      <c r="BI240" s="310">
        <f t="shared" si="90"/>
        <v>0</v>
      </c>
      <c r="BJ240" s="368"/>
      <c r="BK240" s="369"/>
      <c r="BL240" s="313">
        <f t="shared" si="91"/>
        <v>0</v>
      </c>
      <c r="BM240" s="308"/>
      <c r="BN240" s="309"/>
      <c r="BO240" s="310">
        <f t="shared" si="92"/>
        <v>0</v>
      </c>
      <c r="BP240" s="368"/>
      <c r="BQ240" s="369"/>
      <c r="BR240" s="313">
        <f t="shared" si="93"/>
        <v>0</v>
      </c>
      <c r="BS240" s="308"/>
      <c r="BT240" s="309"/>
      <c r="BU240" s="310"/>
      <c r="BV240" s="368"/>
      <c r="BW240" s="369"/>
      <c r="BX240" s="313"/>
      <c r="BY240" s="383"/>
      <c r="BZ240" s="370"/>
      <c r="CA240" s="370"/>
      <c r="CB240" s="370"/>
    </row>
    <row r="241" spans="1:80">
      <c r="A241" s="337" t="s">
        <v>407</v>
      </c>
      <c r="B241" s="338" t="s">
        <v>952</v>
      </c>
      <c r="C241" s="337">
        <v>158237</v>
      </c>
      <c r="D241" s="339">
        <v>14</v>
      </c>
      <c r="E241" s="308"/>
      <c r="F241" s="309"/>
      <c r="G241" s="310">
        <f t="shared" si="72"/>
        <v>0</v>
      </c>
      <c r="H241" s="368"/>
      <c r="I241" s="369"/>
      <c r="J241" s="313">
        <f t="shared" si="73"/>
        <v>0</v>
      </c>
      <c r="K241" s="308"/>
      <c r="L241" s="309"/>
      <c r="M241" s="310">
        <f t="shared" si="74"/>
        <v>0</v>
      </c>
      <c r="N241" s="368"/>
      <c r="O241" s="369"/>
      <c r="P241" s="313">
        <f t="shared" si="75"/>
        <v>0</v>
      </c>
      <c r="Q241" s="308"/>
      <c r="R241" s="309"/>
      <c r="S241" s="310">
        <f t="shared" si="76"/>
        <v>0</v>
      </c>
      <c r="T241" s="368"/>
      <c r="U241" s="369"/>
      <c r="V241" s="313">
        <f t="shared" si="77"/>
        <v>0</v>
      </c>
      <c r="W241" s="308"/>
      <c r="X241" s="309"/>
      <c r="Y241" s="310">
        <f t="shared" si="78"/>
        <v>0</v>
      </c>
      <c r="Z241" s="368"/>
      <c r="AA241" s="369"/>
      <c r="AB241" s="313">
        <f t="shared" si="79"/>
        <v>0</v>
      </c>
      <c r="AC241" s="308"/>
      <c r="AD241" s="309"/>
      <c r="AE241" s="310">
        <f t="shared" si="80"/>
        <v>0</v>
      </c>
      <c r="AF241" s="368"/>
      <c r="AG241" s="369"/>
      <c r="AH241" s="313">
        <f t="shared" si="81"/>
        <v>0</v>
      </c>
      <c r="AI241" s="308"/>
      <c r="AJ241" s="309"/>
      <c r="AK241" s="310"/>
      <c r="AL241" s="368"/>
      <c r="AM241" s="369"/>
      <c r="AN241" s="313"/>
      <c r="AO241" s="308"/>
      <c r="AP241" s="309"/>
      <c r="AQ241" s="310">
        <f t="shared" si="84"/>
        <v>0</v>
      </c>
      <c r="AR241" s="368"/>
      <c r="AS241" s="369"/>
      <c r="AT241" s="313">
        <f t="shared" si="85"/>
        <v>0</v>
      </c>
      <c r="AU241" s="308"/>
      <c r="AV241" s="309"/>
      <c r="AW241" s="310">
        <f t="shared" si="86"/>
        <v>0</v>
      </c>
      <c r="AX241" s="368"/>
      <c r="AY241" s="369"/>
      <c r="AZ241" s="313">
        <f t="shared" si="87"/>
        <v>0</v>
      </c>
      <c r="BA241" s="308"/>
      <c r="BB241" s="309"/>
      <c r="BC241" s="310">
        <f t="shared" si="88"/>
        <v>0</v>
      </c>
      <c r="BD241" s="368"/>
      <c r="BE241" s="369"/>
      <c r="BF241" s="313">
        <f t="shared" si="89"/>
        <v>0</v>
      </c>
      <c r="BG241" s="308"/>
      <c r="BH241" s="309"/>
      <c r="BI241" s="310">
        <f t="shared" si="90"/>
        <v>0</v>
      </c>
      <c r="BJ241" s="368"/>
      <c r="BK241" s="369"/>
      <c r="BL241" s="313">
        <f t="shared" si="91"/>
        <v>0</v>
      </c>
      <c r="BM241" s="308"/>
      <c r="BN241" s="309"/>
      <c r="BO241" s="310">
        <f t="shared" si="92"/>
        <v>0</v>
      </c>
      <c r="BP241" s="368"/>
      <c r="BQ241" s="369"/>
      <c r="BR241" s="313">
        <f t="shared" si="93"/>
        <v>0</v>
      </c>
      <c r="BS241" s="308"/>
      <c r="BT241" s="309"/>
      <c r="BU241" s="310"/>
      <c r="BV241" s="368"/>
      <c r="BW241" s="369"/>
      <c r="BX241" s="313"/>
      <c r="BY241" s="383"/>
      <c r="BZ241" s="370"/>
      <c r="CA241" s="370"/>
      <c r="CB241" s="370"/>
    </row>
    <row r="242" spans="1:80">
      <c r="A242" s="337" t="s">
        <v>407</v>
      </c>
      <c r="B242" s="338" t="s">
        <v>953</v>
      </c>
      <c r="C242" s="337">
        <v>158307</v>
      </c>
      <c r="D242" s="339">
        <v>14</v>
      </c>
      <c r="E242" s="308"/>
      <c r="F242" s="309"/>
      <c r="G242" s="310">
        <f t="shared" si="72"/>
        <v>0</v>
      </c>
      <c r="H242" s="368"/>
      <c r="I242" s="369"/>
      <c r="J242" s="313">
        <f t="shared" si="73"/>
        <v>0</v>
      </c>
      <c r="K242" s="308"/>
      <c r="L242" s="309"/>
      <c r="M242" s="310">
        <f t="shared" si="74"/>
        <v>0</v>
      </c>
      <c r="N242" s="368"/>
      <c r="O242" s="369"/>
      <c r="P242" s="313">
        <f t="shared" si="75"/>
        <v>0</v>
      </c>
      <c r="Q242" s="308"/>
      <c r="R242" s="309"/>
      <c r="S242" s="310">
        <f t="shared" si="76"/>
        <v>0</v>
      </c>
      <c r="T242" s="368"/>
      <c r="U242" s="369"/>
      <c r="V242" s="313">
        <f t="shared" si="77"/>
        <v>0</v>
      </c>
      <c r="W242" s="308"/>
      <c r="X242" s="309"/>
      <c r="Y242" s="310">
        <f t="shared" si="78"/>
        <v>0</v>
      </c>
      <c r="Z242" s="368"/>
      <c r="AA242" s="369"/>
      <c r="AB242" s="313">
        <f t="shared" si="79"/>
        <v>0</v>
      </c>
      <c r="AC242" s="308"/>
      <c r="AD242" s="309"/>
      <c r="AE242" s="310">
        <f t="shared" si="80"/>
        <v>0</v>
      </c>
      <c r="AF242" s="368"/>
      <c r="AG242" s="369"/>
      <c r="AH242" s="313">
        <f t="shared" si="81"/>
        <v>0</v>
      </c>
      <c r="AI242" s="308"/>
      <c r="AJ242" s="309"/>
      <c r="AK242" s="310">
        <f t="shared" si="82"/>
        <v>0</v>
      </c>
      <c r="AL242" s="368"/>
      <c r="AM242" s="369"/>
      <c r="AN242" s="313">
        <f t="shared" si="83"/>
        <v>0</v>
      </c>
      <c r="AO242" s="308"/>
      <c r="AP242" s="309"/>
      <c r="AQ242" s="310">
        <f t="shared" si="84"/>
        <v>0</v>
      </c>
      <c r="AR242" s="368"/>
      <c r="AS242" s="369"/>
      <c r="AT242" s="313">
        <f t="shared" si="85"/>
        <v>0</v>
      </c>
      <c r="AU242" s="308"/>
      <c r="AV242" s="309"/>
      <c r="AW242" s="310">
        <f t="shared" si="86"/>
        <v>0</v>
      </c>
      <c r="AX242" s="368"/>
      <c r="AY242" s="369"/>
      <c r="AZ242" s="313">
        <f t="shared" si="87"/>
        <v>0</v>
      </c>
      <c r="BA242" s="308"/>
      <c r="BB242" s="309"/>
      <c r="BC242" s="310">
        <f t="shared" si="88"/>
        <v>0</v>
      </c>
      <c r="BD242" s="368"/>
      <c r="BE242" s="369"/>
      <c r="BF242" s="313">
        <f t="shared" si="89"/>
        <v>0</v>
      </c>
      <c r="BG242" s="308"/>
      <c r="BH242" s="309"/>
      <c r="BI242" s="310">
        <f t="shared" si="90"/>
        <v>0</v>
      </c>
      <c r="BJ242" s="368"/>
      <c r="BK242" s="369"/>
      <c r="BL242" s="313">
        <f t="shared" si="91"/>
        <v>0</v>
      </c>
      <c r="BM242" s="308"/>
      <c r="BN242" s="309"/>
      <c r="BO242" s="310">
        <f t="shared" si="92"/>
        <v>0</v>
      </c>
      <c r="BP242" s="368"/>
      <c r="BQ242" s="369"/>
      <c r="BR242" s="313">
        <f t="shared" si="93"/>
        <v>0</v>
      </c>
      <c r="BS242" s="308"/>
      <c r="BT242" s="309"/>
      <c r="BU242" s="310">
        <f t="shared" si="94"/>
        <v>0</v>
      </c>
      <c r="BV242" s="368"/>
      <c r="BW242" s="369"/>
      <c r="BX242" s="313">
        <f t="shared" si="95"/>
        <v>0</v>
      </c>
      <c r="BY242" s="383"/>
      <c r="BZ242" s="370"/>
      <c r="CA242" s="370"/>
      <c r="CB242" s="370"/>
    </row>
    <row r="243" spans="1:80">
      <c r="A243" s="337" t="s">
        <v>407</v>
      </c>
      <c r="B243" s="338" t="s">
        <v>954</v>
      </c>
      <c r="C243" s="337">
        <v>158352</v>
      </c>
      <c r="D243" s="339">
        <v>14</v>
      </c>
      <c r="E243" s="308"/>
      <c r="F243" s="309"/>
      <c r="G243" s="310">
        <f t="shared" si="72"/>
        <v>0</v>
      </c>
      <c r="H243" s="368"/>
      <c r="I243" s="369"/>
      <c r="J243" s="313">
        <f t="shared" si="73"/>
        <v>0</v>
      </c>
      <c r="K243" s="308"/>
      <c r="L243" s="309"/>
      <c r="M243" s="310">
        <f t="shared" si="74"/>
        <v>0</v>
      </c>
      <c r="N243" s="368"/>
      <c r="O243" s="369"/>
      <c r="P243" s="313">
        <f t="shared" si="75"/>
        <v>0</v>
      </c>
      <c r="Q243" s="308"/>
      <c r="R243" s="309"/>
      <c r="S243" s="310">
        <f t="shared" si="76"/>
        <v>0</v>
      </c>
      <c r="T243" s="368"/>
      <c r="U243" s="369"/>
      <c r="V243" s="313">
        <f t="shared" si="77"/>
        <v>0</v>
      </c>
      <c r="W243" s="308"/>
      <c r="X243" s="309"/>
      <c r="Y243" s="310">
        <f t="shared" si="78"/>
        <v>0</v>
      </c>
      <c r="Z243" s="368"/>
      <c r="AA243" s="369"/>
      <c r="AB243" s="313">
        <f t="shared" si="79"/>
        <v>0</v>
      </c>
      <c r="AC243" s="308"/>
      <c r="AD243" s="309"/>
      <c r="AE243" s="310">
        <f t="shared" si="80"/>
        <v>0</v>
      </c>
      <c r="AF243" s="368"/>
      <c r="AG243" s="369"/>
      <c r="AH243" s="313">
        <f t="shared" si="81"/>
        <v>0</v>
      </c>
      <c r="AI243" s="308"/>
      <c r="AJ243" s="309"/>
      <c r="AK243" s="310">
        <f t="shared" si="82"/>
        <v>0</v>
      </c>
      <c r="AL243" s="368"/>
      <c r="AM243" s="369"/>
      <c r="AN243" s="313">
        <f t="shared" si="83"/>
        <v>0</v>
      </c>
      <c r="AO243" s="308"/>
      <c r="AP243" s="309"/>
      <c r="AQ243" s="310">
        <f t="shared" si="84"/>
        <v>0</v>
      </c>
      <c r="AR243" s="368"/>
      <c r="AS243" s="369"/>
      <c r="AT243" s="313">
        <f t="shared" si="85"/>
        <v>0</v>
      </c>
      <c r="AU243" s="308"/>
      <c r="AV243" s="309"/>
      <c r="AW243" s="310">
        <f t="shared" si="86"/>
        <v>0</v>
      </c>
      <c r="AX243" s="368"/>
      <c r="AY243" s="369"/>
      <c r="AZ243" s="313">
        <f t="shared" si="87"/>
        <v>0</v>
      </c>
      <c r="BA243" s="308"/>
      <c r="BB243" s="309"/>
      <c r="BC243" s="310">
        <f t="shared" si="88"/>
        <v>0</v>
      </c>
      <c r="BD243" s="368"/>
      <c r="BE243" s="369"/>
      <c r="BF243" s="313">
        <f t="shared" si="89"/>
        <v>0</v>
      </c>
      <c r="BG243" s="308"/>
      <c r="BH243" s="309"/>
      <c r="BI243" s="310">
        <f t="shared" si="90"/>
        <v>0</v>
      </c>
      <c r="BJ243" s="368"/>
      <c r="BK243" s="369"/>
      <c r="BL243" s="313">
        <f t="shared" si="91"/>
        <v>0</v>
      </c>
      <c r="BM243" s="308"/>
      <c r="BN243" s="309"/>
      <c r="BO243" s="310">
        <f t="shared" si="92"/>
        <v>0</v>
      </c>
      <c r="BP243" s="368"/>
      <c r="BQ243" s="369"/>
      <c r="BR243" s="313">
        <f t="shared" si="93"/>
        <v>0</v>
      </c>
      <c r="BS243" s="308"/>
      <c r="BT243" s="309"/>
      <c r="BU243" s="310">
        <f t="shared" si="94"/>
        <v>0</v>
      </c>
      <c r="BV243" s="368"/>
      <c r="BW243" s="369"/>
      <c r="BX243" s="313">
        <f t="shared" si="95"/>
        <v>0</v>
      </c>
      <c r="BY243" s="383"/>
      <c r="BZ243" s="370"/>
      <c r="CA243" s="370"/>
      <c r="CB243" s="370"/>
    </row>
    <row r="244" spans="1:80">
      <c r="A244" s="337" t="s">
        <v>407</v>
      </c>
      <c r="B244" s="338" t="s">
        <v>955</v>
      </c>
      <c r="C244" s="337">
        <v>160816</v>
      </c>
      <c r="D244" s="339">
        <v>14</v>
      </c>
      <c r="E244" s="308"/>
      <c r="F244" s="309"/>
      <c r="G244" s="310">
        <f t="shared" si="72"/>
        <v>0</v>
      </c>
      <c r="H244" s="368"/>
      <c r="I244" s="369"/>
      <c r="J244" s="313">
        <f t="shared" si="73"/>
        <v>0</v>
      </c>
      <c r="K244" s="308"/>
      <c r="L244" s="309"/>
      <c r="M244" s="310">
        <f t="shared" si="74"/>
        <v>0</v>
      </c>
      <c r="N244" s="368"/>
      <c r="O244" s="369"/>
      <c r="P244" s="313">
        <f t="shared" si="75"/>
        <v>0</v>
      </c>
      <c r="Q244" s="308"/>
      <c r="R244" s="309"/>
      <c r="S244" s="310">
        <f t="shared" si="76"/>
        <v>0</v>
      </c>
      <c r="T244" s="368"/>
      <c r="U244" s="369"/>
      <c r="V244" s="313">
        <f t="shared" si="77"/>
        <v>0</v>
      </c>
      <c r="W244" s="308"/>
      <c r="X244" s="309"/>
      <c r="Y244" s="310">
        <f t="shared" si="78"/>
        <v>0</v>
      </c>
      <c r="Z244" s="368"/>
      <c r="AA244" s="369"/>
      <c r="AB244" s="313">
        <f t="shared" si="79"/>
        <v>0</v>
      </c>
      <c r="AC244" s="308"/>
      <c r="AD244" s="309"/>
      <c r="AE244" s="310">
        <f t="shared" si="80"/>
        <v>0</v>
      </c>
      <c r="AF244" s="368"/>
      <c r="AG244" s="369"/>
      <c r="AH244" s="313">
        <f t="shared" si="81"/>
        <v>0</v>
      </c>
      <c r="AI244" s="308"/>
      <c r="AJ244" s="309"/>
      <c r="AK244" s="310">
        <f t="shared" si="82"/>
        <v>0</v>
      </c>
      <c r="AL244" s="368"/>
      <c r="AM244" s="369"/>
      <c r="AN244" s="313">
        <f t="shared" si="83"/>
        <v>0</v>
      </c>
      <c r="AO244" s="308"/>
      <c r="AP244" s="309"/>
      <c r="AQ244" s="310">
        <f t="shared" si="84"/>
        <v>0</v>
      </c>
      <c r="AR244" s="368"/>
      <c r="AS244" s="369"/>
      <c r="AT244" s="313">
        <f t="shared" si="85"/>
        <v>0</v>
      </c>
      <c r="AU244" s="308"/>
      <c r="AV244" s="309"/>
      <c r="AW244" s="310">
        <f t="shared" si="86"/>
        <v>0</v>
      </c>
      <c r="AX244" s="368"/>
      <c r="AY244" s="369"/>
      <c r="AZ244" s="313">
        <f t="shared" si="87"/>
        <v>0</v>
      </c>
      <c r="BA244" s="308"/>
      <c r="BB244" s="309"/>
      <c r="BC244" s="310">
        <f t="shared" si="88"/>
        <v>0</v>
      </c>
      <c r="BD244" s="368"/>
      <c r="BE244" s="369"/>
      <c r="BF244" s="313">
        <f t="shared" si="89"/>
        <v>0</v>
      </c>
      <c r="BG244" s="308"/>
      <c r="BH244" s="309"/>
      <c r="BI244" s="310">
        <f t="shared" si="90"/>
        <v>0</v>
      </c>
      <c r="BJ244" s="368"/>
      <c r="BK244" s="369"/>
      <c r="BL244" s="313">
        <f t="shared" si="91"/>
        <v>0</v>
      </c>
      <c r="BM244" s="308"/>
      <c r="BN244" s="309"/>
      <c r="BO244" s="310">
        <f t="shared" si="92"/>
        <v>0</v>
      </c>
      <c r="BP244" s="368"/>
      <c r="BQ244" s="369"/>
      <c r="BR244" s="313">
        <f t="shared" si="93"/>
        <v>0</v>
      </c>
      <c r="BS244" s="308"/>
      <c r="BT244" s="309"/>
      <c r="BU244" s="310">
        <f t="shared" si="94"/>
        <v>0</v>
      </c>
      <c r="BV244" s="368"/>
      <c r="BW244" s="369"/>
      <c r="BX244" s="313">
        <f t="shared" si="95"/>
        <v>0</v>
      </c>
      <c r="BY244" s="383"/>
      <c r="BZ244" s="370"/>
      <c r="CA244" s="370"/>
      <c r="CB244" s="370"/>
    </row>
    <row r="245" spans="1:80" s="223" customFormat="1">
      <c r="A245" s="337" t="s">
        <v>407</v>
      </c>
      <c r="B245" s="338" t="s">
        <v>956</v>
      </c>
      <c r="C245" s="337">
        <v>158769</v>
      </c>
      <c r="D245" s="339">
        <v>14</v>
      </c>
      <c r="E245" s="308"/>
      <c r="F245" s="309"/>
      <c r="G245" s="310">
        <f t="shared" si="72"/>
        <v>0</v>
      </c>
      <c r="H245" s="368"/>
      <c r="I245" s="369"/>
      <c r="J245" s="313">
        <f t="shared" si="73"/>
        <v>0</v>
      </c>
      <c r="K245" s="308"/>
      <c r="L245" s="309"/>
      <c r="M245" s="310">
        <f t="shared" si="74"/>
        <v>0</v>
      </c>
      <c r="N245" s="368"/>
      <c r="O245" s="369"/>
      <c r="P245" s="313">
        <f t="shared" si="75"/>
        <v>0</v>
      </c>
      <c r="Q245" s="308"/>
      <c r="R245" s="309"/>
      <c r="S245" s="310">
        <f t="shared" si="76"/>
        <v>0</v>
      </c>
      <c r="T245" s="368"/>
      <c r="U245" s="369"/>
      <c r="V245" s="313">
        <f t="shared" si="77"/>
        <v>0</v>
      </c>
      <c r="W245" s="308"/>
      <c r="X245" s="309"/>
      <c r="Y245" s="310">
        <f t="shared" si="78"/>
        <v>0</v>
      </c>
      <c r="Z245" s="368"/>
      <c r="AA245" s="369"/>
      <c r="AB245" s="313">
        <f t="shared" si="79"/>
        <v>0</v>
      </c>
      <c r="AC245" s="308"/>
      <c r="AD245" s="309"/>
      <c r="AE245" s="310">
        <f t="shared" si="80"/>
        <v>0</v>
      </c>
      <c r="AF245" s="368"/>
      <c r="AG245" s="369"/>
      <c r="AH245" s="313">
        <f t="shared" si="81"/>
        <v>0</v>
      </c>
      <c r="AI245" s="308"/>
      <c r="AJ245" s="309"/>
      <c r="AK245" s="310">
        <f t="shared" si="82"/>
        <v>0</v>
      </c>
      <c r="AL245" s="368"/>
      <c r="AM245" s="369"/>
      <c r="AN245" s="313">
        <f t="shared" si="83"/>
        <v>0</v>
      </c>
      <c r="AO245" s="308"/>
      <c r="AP245" s="309"/>
      <c r="AQ245" s="310">
        <f t="shared" si="84"/>
        <v>0</v>
      </c>
      <c r="AR245" s="368"/>
      <c r="AS245" s="369"/>
      <c r="AT245" s="313">
        <f t="shared" si="85"/>
        <v>0</v>
      </c>
      <c r="AU245" s="308"/>
      <c r="AV245" s="309"/>
      <c r="AW245" s="310">
        <f t="shared" si="86"/>
        <v>0</v>
      </c>
      <c r="AX245" s="368"/>
      <c r="AY245" s="369"/>
      <c r="AZ245" s="313">
        <f t="shared" si="87"/>
        <v>0</v>
      </c>
      <c r="BA245" s="308"/>
      <c r="BB245" s="309"/>
      <c r="BC245" s="310">
        <f t="shared" si="88"/>
        <v>0</v>
      </c>
      <c r="BD245" s="368"/>
      <c r="BE245" s="369"/>
      <c r="BF245" s="313">
        <f t="shared" si="89"/>
        <v>0</v>
      </c>
      <c r="BG245" s="308"/>
      <c r="BH245" s="309"/>
      <c r="BI245" s="310">
        <f t="shared" si="90"/>
        <v>0</v>
      </c>
      <c r="BJ245" s="368"/>
      <c r="BK245" s="369"/>
      <c r="BL245" s="313">
        <f t="shared" si="91"/>
        <v>0</v>
      </c>
      <c r="BM245" s="308"/>
      <c r="BN245" s="309"/>
      <c r="BO245" s="310">
        <f t="shared" si="92"/>
        <v>0</v>
      </c>
      <c r="BP245" s="368"/>
      <c r="BQ245" s="369"/>
      <c r="BR245" s="313">
        <f t="shared" si="93"/>
        <v>0</v>
      </c>
      <c r="BS245" s="308"/>
      <c r="BT245" s="309"/>
      <c r="BU245" s="310">
        <f t="shared" si="94"/>
        <v>0</v>
      </c>
      <c r="BV245" s="368"/>
      <c r="BW245" s="369"/>
      <c r="BX245" s="313">
        <f t="shared" si="95"/>
        <v>0</v>
      </c>
      <c r="BY245" s="383"/>
      <c r="BZ245" s="370"/>
      <c r="CA245" s="370"/>
      <c r="CB245" s="370"/>
    </row>
    <row r="246" spans="1:80">
      <c r="A246" s="337" t="s">
        <v>407</v>
      </c>
      <c r="B246" s="338" t="s">
        <v>957</v>
      </c>
      <c r="C246" s="337">
        <v>158893</v>
      </c>
      <c r="D246" s="339">
        <v>14</v>
      </c>
      <c r="E246" s="308"/>
      <c r="F246" s="309"/>
      <c r="G246" s="310">
        <f t="shared" si="72"/>
        <v>0</v>
      </c>
      <c r="H246" s="368"/>
      <c r="I246" s="369"/>
      <c r="J246" s="313">
        <f t="shared" si="73"/>
        <v>0</v>
      </c>
      <c r="K246" s="308"/>
      <c r="L246" s="309"/>
      <c r="M246" s="310">
        <f t="shared" si="74"/>
        <v>0</v>
      </c>
      <c r="N246" s="368"/>
      <c r="O246" s="369"/>
      <c r="P246" s="313">
        <f t="shared" si="75"/>
        <v>0</v>
      </c>
      <c r="Q246" s="308"/>
      <c r="R246" s="309"/>
      <c r="S246" s="310">
        <f t="shared" si="76"/>
        <v>0</v>
      </c>
      <c r="T246" s="368"/>
      <c r="U246" s="369"/>
      <c r="V246" s="313">
        <f t="shared" si="77"/>
        <v>0</v>
      </c>
      <c r="W246" s="308"/>
      <c r="X246" s="309"/>
      <c r="Y246" s="310">
        <f t="shared" si="78"/>
        <v>0</v>
      </c>
      <c r="Z246" s="368"/>
      <c r="AA246" s="369"/>
      <c r="AB246" s="313">
        <f t="shared" si="79"/>
        <v>0</v>
      </c>
      <c r="AC246" s="308"/>
      <c r="AD246" s="309"/>
      <c r="AE246" s="310">
        <f t="shared" si="80"/>
        <v>0</v>
      </c>
      <c r="AF246" s="368"/>
      <c r="AG246" s="369"/>
      <c r="AH246" s="313">
        <f t="shared" si="81"/>
        <v>0</v>
      </c>
      <c r="AI246" s="308"/>
      <c r="AJ246" s="309"/>
      <c r="AK246" s="310">
        <f t="shared" si="82"/>
        <v>0</v>
      </c>
      <c r="AL246" s="368"/>
      <c r="AM246" s="369"/>
      <c r="AN246" s="313">
        <f t="shared" si="83"/>
        <v>0</v>
      </c>
      <c r="AO246" s="308"/>
      <c r="AP246" s="309"/>
      <c r="AQ246" s="310">
        <f t="shared" si="84"/>
        <v>0</v>
      </c>
      <c r="AR246" s="368"/>
      <c r="AS246" s="369"/>
      <c r="AT246" s="313">
        <f t="shared" si="85"/>
        <v>0</v>
      </c>
      <c r="AU246" s="308"/>
      <c r="AV246" s="309"/>
      <c r="AW246" s="310">
        <f t="shared" si="86"/>
        <v>0</v>
      </c>
      <c r="AX246" s="368"/>
      <c r="AY246" s="369"/>
      <c r="AZ246" s="313">
        <f t="shared" si="87"/>
        <v>0</v>
      </c>
      <c r="BA246" s="308"/>
      <c r="BB246" s="309"/>
      <c r="BC246" s="310">
        <f t="shared" si="88"/>
        <v>0</v>
      </c>
      <c r="BD246" s="368"/>
      <c r="BE246" s="369"/>
      <c r="BF246" s="313">
        <f t="shared" si="89"/>
        <v>0</v>
      </c>
      <c r="BG246" s="308"/>
      <c r="BH246" s="309"/>
      <c r="BI246" s="310">
        <f t="shared" si="90"/>
        <v>0</v>
      </c>
      <c r="BJ246" s="368"/>
      <c r="BK246" s="369"/>
      <c r="BL246" s="313">
        <f t="shared" si="91"/>
        <v>0</v>
      </c>
      <c r="BM246" s="308"/>
      <c r="BN246" s="309"/>
      <c r="BO246" s="310">
        <f t="shared" si="92"/>
        <v>0</v>
      </c>
      <c r="BP246" s="368"/>
      <c r="BQ246" s="369"/>
      <c r="BR246" s="313">
        <f t="shared" si="93"/>
        <v>0</v>
      </c>
      <c r="BS246" s="308"/>
      <c r="BT246" s="309"/>
      <c r="BU246" s="310">
        <f t="shared" si="94"/>
        <v>0</v>
      </c>
      <c r="BV246" s="368"/>
      <c r="BW246" s="369"/>
      <c r="BX246" s="313">
        <f t="shared" si="95"/>
        <v>0</v>
      </c>
      <c r="BY246" s="383"/>
      <c r="BZ246" s="370"/>
      <c r="CA246" s="370"/>
      <c r="CB246" s="370"/>
    </row>
    <row r="247" spans="1:80">
      <c r="A247" s="337" t="s">
        <v>407</v>
      </c>
      <c r="B247" s="338" t="s">
        <v>958</v>
      </c>
      <c r="C247" s="337">
        <v>158936</v>
      </c>
      <c r="D247" s="339">
        <v>14</v>
      </c>
      <c r="E247" s="308"/>
      <c r="F247" s="309"/>
      <c r="G247" s="310">
        <f t="shared" si="72"/>
        <v>0</v>
      </c>
      <c r="H247" s="368"/>
      <c r="I247" s="369"/>
      <c r="J247" s="313">
        <f t="shared" si="73"/>
        <v>0</v>
      </c>
      <c r="K247" s="308"/>
      <c r="L247" s="309"/>
      <c r="M247" s="310">
        <f t="shared" si="74"/>
        <v>0</v>
      </c>
      <c r="N247" s="368"/>
      <c r="O247" s="369"/>
      <c r="P247" s="313">
        <f t="shared" si="75"/>
        <v>0</v>
      </c>
      <c r="Q247" s="308"/>
      <c r="R247" s="309"/>
      <c r="S247" s="310">
        <f t="shared" si="76"/>
        <v>0</v>
      </c>
      <c r="T247" s="368"/>
      <c r="U247" s="369"/>
      <c r="V247" s="313">
        <f t="shared" si="77"/>
        <v>0</v>
      </c>
      <c r="W247" s="308"/>
      <c r="X247" s="309"/>
      <c r="Y247" s="310">
        <f t="shared" si="78"/>
        <v>0</v>
      </c>
      <c r="Z247" s="368"/>
      <c r="AA247" s="369"/>
      <c r="AB247" s="313">
        <f t="shared" si="79"/>
        <v>0</v>
      </c>
      <c r="AC247" s="308"/>
      <c r="AD247" s="309"/>
      <c r="AE247" s="310">
        <f t="shared" si="80"/>
        <v>0</v>
      </c>
      <c r="AF247" s="368"/>
      <c r="AG247" s="369"/>
      <c r="AH247" s="313">
        <f t="shared" si="81"/>
        <v>0</v>
      </c>
      <c r="AI247" s="308"/>
      <c r="AJ247" s="309"/>
      <c r="AK247" s="310">
        <f t="shared" si="82"/>
        <v>0</v>
      </c>
      <c r="AL247" s="368"/>
      <c r="AM247" s="369"/>
      <c r="AN247" s="313">
        <f t="shared" si="83"/>
        <v>0</v>
      </c>
      <c r="AO247" s="308"/>
      <c r="AP247" s="309"/>
      <c r="AQ247" s="310">
        <f t="shared" si="84"/>
        <v>0</v>
      </c>
      <c r="AR247" s="368"/>
      <c r="AS247" s="369"/>
      <c r="AT247" s="313">
        <f t="shared" si="85"/>
        <v>0</v>
      </c>
      <c r="AU247" s="308"/>
      <c r="AV247" s="309"/>
      <c r="AW247" s="310">
        <f t="shared" si="86"/>
        <v>0</v>
      </c>
      <c r="AX247" s="368"/>
      <c r="AY247" s="369"/>
      <c r="AZ247" s="313">
        <f t="shared" si="87"/>
        <v>0</v>
      </c>
      <c r="BA247" s="308"/>
      <c r="BB247" s="309"/>
      <c r="BC247" s="310">
        <f t="shared" si="88"/>
        <v>0</v>
      </c>
      <c r="BD247" s="368"/>
      <c r="BE247" s="369"/>
      <c r="BF247" s="313">
        <f t="shared" si="89"/>
        <v>0</v>
      </c>
      <c r="BG247" s="308"/>
      <c r="BH247" s="309"/>
      <c r="BI247" s="310">
        <f t="shared" si="90"/>
        <v>0</v>
      </c>
      <c r="BJ247" s="368"/>
      <c r="BK247" s="369"/>
      <c r="BL247" s="313">
        <f t="shared" si="91"/>
        <v>0</v>
      </c>
      <c r="BM247" s="308"/>
      <c r="BN247" s="309"/>
      <c r="BO247" s="310">
        <f t="shared" si="92"/>
        <v>0</v>
      </c>
      <c r="BP247" s="368"/>
      <c r="BQ247" s="369"/>
      <c r="BR247" s="313">
        <f t="shared" si="93"/>
        <v>0</v>
      </c>
      <c r="BS247" s="308"/>
      <c r="BT247" s="309"/>
      <c r="BU247" s="310">
        <f t="shared" si="94"/>
        <v>0</v>
      </c>
      <c r="BV247" s="368"/>
      <c r="BW247" s="369"/>
      <c r="BX247" s="313">
        <f t="shared" si="95"/>
        <v>0</v>
      </c>
      <c r="BY247" s="383"/>
      <c r="BZ247" s="370"/>
      <c r="CA247" s="370"/>
      <c r="CB247" s="370"/>
    </row>
    <row r="248" spans="1:80">
      <c r="A248" s="337" t="s">
        <v>407</v>
      </c>
      <c r="B248" s="338" t="s">
        <v>959</v>
      </c>
      <c r="C248" s="337">
        <v>158945</v>
      </c>
      <c r="D248" s="339">
        <v>14</v>
      </c>
      <c r="E248" s="308"/>
      <c r="F248" s="309"/>
      <c r="G248" s="310">
        <f t="shared" si="72"/>
        <v>0</v>
      </c>
      <c r="H248" s="368"/>
      <c r="I248" s="369"/>
      <c r="J248" s="313">
        <f t="shared" si="73"/>
        <v>0</v>
      </c>
      <c r="K248" s="308"/>
      <c r="L248" s="309"/>
      <c r="M248" s="310">
        <f t="shared" si="74"/>
        <v>0</v>
      </c>
      <c r="N248" s="368"/>
      <c r="O248" s="369"/>
      <c r="P248" s="313">
        <f t="shared" si="75"/>
        <v>0</v>
      </c>
      <c r="Q248" s="308"/>
      <c r="R248" s="309"/>
      <c r="S248" s="310">
        <f t="shared" si="76"/>
        <v>0</v>
      </c>
      <c r="T248" s="368"/>
      <c r="U248" s="369"/>
      <c r="V248" s="313">
        <f t="shared" si="77"/>
        <v>0</v>
      </c>
      <c r="W248" s="308"/>
      <c r="X248" s="309"/>
      <c r="Y248" s="310">
        <f t="shared" si="78"/>
        <v>0</v>
      </c>
      <c r="Z248" s="368"/>
      <c r="AA248" s="369"/>
      <c r="AB248" s="313">
        <f t="shared" si="79"/>
        <v>0</v>
      </c>
      <c r="AC248" s="308"/>
      <c r="AD248" s="309"/>
      <c r="AE248" s="310">
        <f t="shared" si="80"/>
        <v>0</v>
      </c>
      <c r="AF248" s="368"/>
      <c r="AG248" s="369"/>
      <c r="AH248" s="313">
        <f t="shared" si="81"/>
        <v>0</v>
      </c>
      <c r="AI248" s="308"/>
      <c r="AJ248" s="309"/>
      <c r="AK248" s="310">
        <f t="shared" si="82"/>
        <v>0</v>
      </c>
      <c r="AL248" s="368"/>
      <c r="AM248" s="369"/>
      <c r="AN248" s="313">
        <f t="shared" si="83"/>
        <v>0</v>
      </c>
      <c r="AO248" s="308"/>
      <c r="AP248" s="309"/>
      <c r="AQ248" s="310">
        <f t="shared" si="84"/>
        <v>0</v>
      </c>
      <c r="AR248" s="368"/>
      <c r="AS248" s="369"/>
      <c r="AT248" s="313">
        <f t="shared" si="85"/>
        <v>0</v>
      </c>
      <c r="AU248" s="308"/>
      <c r="AV248" s="309"/>
      <c r="AW248" s="310">
        <f t="shared" si="86"/>
        <v>0</v>
      </c>
      <c r="AX248" s="368"/>
      <c r="AY248" s="369"/>
      <c r="AZ248" s="313">
        <f t="shared" si="87"/>
        <v>0</v>
      </c>
      <c r="BA248" s="308"/>
      <c r="BB248" s="309"/>
      <c r="BC248" s="310">
        <f t="shared" si="88"/>
        <v>0</v>
      </c>
      <c r="BD248" s="368"/>
      <c r="BE248" s="369"/>
      <c r="BF248" s="313">
        <f t="shared" si="89"/>
        <v>0</v>
      </c>
      <c r="BG248" s="308"/>
      <c r="BH248" s="309"/>
      <c r="BI248" s="310">
        <f t="shared" si="90"/>
        <v>0</v>
      </c>
      <c r="BJ248" s="368"/>
      <c r="BK248" s="369"/>
      <c r="BL248" s="313">
        <f t="shared" si="91"/>
        <v>0</v>
      </c>
      <c r="BM248" s="308"/>
      <c r="BN248" s="309"/>
      <c r="BO248" s="310">
        <f t="shared" si="92"/>
        <v>0</v>
      </c>
      <c r="BP248" s="368"/>
      <c r="BQ248" s="369"/>
      <c r="BR248" s="313">
        <f t="shared" si="93"/>
        <v>0</v>
      </c>
      <c r="BS248" s="308"/>
      <c r="BT248" s="309"/>
      <c r="BU248" s="310">
        <f t="shared" si="94"/>
        <v>0</v>
      </c>
      <c r="BV248" s="368"/>
      <c r="BW248" s="369"/>
      <c r="BX248" s="313">
        <f t="shared" si="95"/>
        <v>0</v>
      </c>
      <c r="BY248" s="383"/>
      <c r="BZ248" s="370"/>
      <c r="CA248" s="370"/>
      <c r="CB248" s="370"/>
    </row>
    <row r="249" spans="1:80">
      <c r="A249" s="337" t="s">
        <v>407</v>
      </c>
      <c r="B249" s="338" t="s">
        <v>960</v>
      </c>
      <c r="C249" s="337">
        <v>159018</v>
      </c>
      <c r="D249" s="339">
        <v>14</v>
      </c>
      <c r="E249" s="308"/>
      <c r="F249" s="309"/>
      <c r="G249" s="310">
        <f t="shared" si="72"/>
        <v>0</v>
      </c>
      <c r="H249" s="368"/>
      <c r="I249" s="369"/>
      <c r="J249" s="313">
        <f t="shared" si="73"/>
        <v>0</v>
      </c>
      <c r="K249" s="308"/>
      <c r="L249" s="309"/>
      <c r="M249" s="310">
        <f t="shared" si="74"/>
        <v>0</v>
      </c>
      <c r="N249" s="368"/>
      <c r="O249" s="369"/>
      <c r="P249" s="313">
        <f t="shared" si="75"/>
        <v>0</v>
      </c>
      <c r="Q249" s="308"/>
      <c r="R249" s="309"/>
      <c r="S249" s="310">
        <f t="shared" si="76"/>
        <v>0</v>
      </c>
      <c r="T249" s="368"/>
      <c r="U249" s="369"/>
      <c r="V249" s="313">
        <f t="shared" si="77"/>
        <v>0</v>
      </c>
      <c r="W249" s="308"/>
      <c r="X249" s="309"/>
      <c r="Y249" s="310">
        <f t="shared" si="78"/>
        <v>0</v>
      </c>
      <c r="Z249" s="368"/>
      <c r="AA249" s="369"/>
      <c r="AB249" s="313">
        <f t="shared" si="79"/>
        <v>0</v>
      </c>
      <c r="AC249" s="308"/>
      <c r="AD249" s="309"/>
      <c r="AE249" s="310">
        <f t="shared" si="80"/>
        <v>0</v>
      </c>
      <c r="AF249" s="368"/>
      <c r="AG249" s="369"/>
      <c r="AH249" s="313">
        <f t="shared" si="81"/>
        <v>0</v>
      </c>
      <c r="AI249" s="308"/>
      <c r="AJ249" s="309"/>
      <c r="AK249" s="310">
        <f t="shared" si="82"/>
        <v>0</v>
      </c>
      <c r="AL249" s="368"/>
      <c r="AM249" s="369"/>
      <c r="AN249" s="313">
        <f t="shared" si="83"/>
        <v>0</v>
      </c>
      <c r="AO249" s="308"/>
      <c r="AP249" s="309"/>
      <c r="AQ249" s="310">
        <f t="shared" si="84"/>
        <v>0</v>
      </c>
      <c r="AR249" s="368"/>
      <c r="AS249" s="369"/>
      <c r="AT249" s="313">
        <f t="shared" si="85"/>
        <v>0</v>
      </c>
      <c r="AU249" s="308"/>
      <c r="AV249" s="309"/>
      <c r="AW249" s="310">
        <f t="shared" si="86"/>
        <v>0</v>
      </c>
      <c r="AX249" s="368"/>
      <c r="AY249" s="369"/>
      <c r="AZ249" s="313">
        <f t="shared" si="87"/>
        <v>0</v>
      </c>
      <c r="BA249" s="308"/>
      <c r="BB249" s="309"/>
      <c r="BC249" s="310">
        <f t="shared" si="88"/>
        <v>0</v>
      </c>
      <c r="BD249" s="368"/>
      <c r="BE249" s="369"/>
      <c r="BF249" s="313">
        <f t="shared" si="89"/>
        <v>0</v>
      </c>
      <c r="BG249" s="308"/>
      <c r="BH249" s="309"/>
      <c r="BI249" s="310">
        <f t="shared" si="90"/>
        <v>0</v>
      </c>
      <c r="BJ249" s="368"/>
      <c r="BK249" s="369"/>
      <c r="BL249" s="313">
        <f t="shared" si="91"/>
        <v>0</v>
      </c>
      <c r="BM249" s="308"/>
      <c r="BN249" s="309"/>
      <c r="BO249" s="310">
        <f t="shared" si="92"/>
        <v>0</v>
      </c>
      <c r="BP249" s="368"/>
      <c r="BQ249" s="369"/>
      <c r="BR249" s="313">
        <f t="shared" si="93"/>
        <v>0</v>
      </c>
      <c r="BS249" s="308"/>
      <c r="BT249" s="309"/>
      <c r="BU249" s="310">
        <f t="shared" si="94"/>
        <v>0</v>
      </c>
      <c r="BV249" s="368"/>
      <c r="BW249" s="369"/>
      <c r="BX249" s="313">
        <f t="shared" si="95"/>
        <v>0</v>
      </c>
      <c r="BY249" s="383"/>
      <c r="BZ249" s="370"/>
      <c r="CA249" s="370"/>
      <c r="CB249" s="370"/>
    </row>
    <row r="250" spans="1:80">
      <c r="A250" s="337" t="s">
        <v>407</v>
      </c>
      <c r="B250" s="338" t="s">
        <v>961</v>
      </c>
      <c r="C250" s="337">
        <v>159045</v>
      </c>
      <c r="D250" s="339">
        <v>14</v>
      </c>
      <c r="E250" s="308"/>
      <c r="F250" s="309"/>
      <c r="G250" s="310">
        <f t="shared" si="72"/>
        <v>0</v>
      </c>
      <c r="H250" s="368"/>
      <c r="I250" s="369"/>
      <c r="J250" s="313">
        <f t="shared" si="73"/>
        <v>0</v>
      </c>
      <c r="K250" s="308"/>
      <c r="L250" s="309"/>
      <c r="M250" s="310">
        <f t="shared" si="74"/>
        <v>0</v>
      </c>
      <c r="N250" s="368"/>
      <c r="O250" s="369"/>
      <c r="P250" s="313">
        <f t="shared" si="75"/>
        <v>0</v>
      </c>
      <c r="Q250" s="308"/>
      <c r="R250" s="309"/>
      <c r="S250" s="310">
        <f t="shared" si="76"/>
        <v>0</v>
      </c>
      <c r="T250" s="368"/>
      <c r="U250" s="369"/>
      <c r="V250" s="313">
        <f t="shared" si="77"/>
        <v>0</v>
      </c>
      <c r="W250" s="308"/>
      <c r="X250" s="309"/>
      <c r="Y250" s="310">
        <f t="shared" si="78"/>
        <v>0</v>
      </c>
      <c r="Z250" s="368"/>
      <c r="AA250" s="369"/>
      <c r="AB250" s="313">
        <f t="shared" si="79"/>
        <v>0</v>
      </c>
      <c r="AC250" s="308"/>
      <c r="AD250" s="309"/>
      <c r="AE250" s="310">
        <f t="shared" si="80"/>
        <v>0</v>
      </c>
      <c r="AF250" s="368"/>
      <c r="AG250" s="369"/>
      <c r="AH250" s="313">
        <f t="shared" si="81"/>
        <v>0</v>
      </c>
      <c r="AI250" s="308"/>
      <c r="AJ250" s="309"/>
      <c r="AK250" s="310">
        <f t="shared" si="82"/>
        <v>0</v>
      </c>
      <c r="AL250" s="368"/>
      <c r="AM250" s="369"/>
      <c r="AN250" s="313">
        <f t="shared" si="83"/>
        <v>0</v>
      </c>
      <c r="AO250" s="308"/>
      <c r="AP250" s="309"/>
      <c r="AQ250" s="310">
        <f t="shared" si="84"/>
        <v>0</v>
      </c>
      <c r="AR250" s="368"/>
      <c r="AS250" s="369"/>
      <c r="AT250" s="313">
        <f t="shared" si="85"/>
        <v>0</v>
      </c>
      <c r="AU250" s="308"/>
      <c r="AV250" s="309"/>
      <c r="AW250" s="310">
        <f t="shared" si="86"/>
        <v>0</v>
      </c>
      <c r="AX250" s="368"/>
      <c r="AY250" s="369"/>
      <c r="AZ250" s="313">
        <f t="shared" si="87"/>
        <v>0</v>
      </c>
      <c r="BA250" s="308"/>
      <c r="BB250" s="309"/>
      <c r="BC250" s="310">
        <f t="shared" si="88"/>
        <v>0</v>
      </c>
      <c r="BD250" s="368"/>
      <c r="BE250" s="369"/>
      <c r="BF250" s="313">
        <f t="shared" si="89"/>
        <v>0</v>
      </c>
      <c r="BG250" s="308"/>
      <c r="BH250" s="309"/>
      <c r="BI250" s="310">
        <f t="shared" si="90"/>
        <v>0</v>
      </c>
      <c r="BJ250" s="368"/>
      <c r="BK250" s="369"/>
      <c r="BL250" s="313">
        <f t="shared" si="91"/>
        <v>0</v>
      </c>
      <c r="BM250" s="308"/>
      <c r="BN250" s="309"/>
      <c r="BO250" s="310">
        <f t="shared" si="92"/>
        <v>0</v>
      </c>
      <c r="BP250" s="368"/>
      <c r="BQ250" s="369"/>
      <c r="BR250" s="313">
        <f t="shared" si="93"/>
        <v>0</v>
      </c>
      <c r="BS250" s="308"/>
      <c r="BT250" s="309"/>
      <c r="BU250" s="310">
        <f t="shared" si="94"/>
        <v>0</v>
      </c>
      <c r="BV250" s="368"/>
      <c r="BW250" s="369"/>
      <c r="BX250" s="313">
        <f t="shared" si="95"/>
        <v>0</v>
      </c>
      <c r="BY250" s="383"/>
      <c r="BZ250" s="370"/>
      <c r="CA250" s="370"/>
      <c r="CB250" s="370"/>
    </row>
    <row r="251" spans="1:80">
      <c r="A251" s="337" t="s">
        <v>407</v>
      </c>
      <c r="B251" s="338" t="s">
        <v>962</v>
      </c>
      <c r="C251" s="337">
        <v>159090</v>
      </c>
      <c r="D251" s="339">
        <v>14</v>
      </c>
      <c r="E251" s="308"/>
      <c r="F251" s="309"/>
      <c r="G251" s="310">
        <f t="shared" si="72"/>
        <v>0</v>
      </c>
      <c r="H251" s="368"/>
      <c r="I251" s="369"/>
      <c r="J251" s="313">
        <f t="shared" si="73"/>
        <v>0</v>
      </c>
      <c r="K251" s="308"/>
      <c r="L251" s="309"/>
      <c r="M251" s="310">
        <f t="shared" si="74"/>
        <v>0</v>
      </c>
      <c r="N251" s="368"/>
      <c r="O251" s="369"/>
      <c r="P251" s="313">
        <f t="shared" si="75"/>
        <v>0</v>
      </c>
      <c r="Q251" s="308"/>
      <c r="R251" s="309"/>
      <c r="S251" s="310">
        <f t="shared" si="76"/>
        <v>0</v>
      </c>
      <c r="T251" s="368"/>
      <c r="U251" s="369"/>
      <c r="V251" s="313">
        <f t="shared" si="77"/>
        <v>0</v>
      </c>
      <c r="W251" s="308"/>
      <c r="X251" s="309"/>
      <c r="Y251" s="310">
        <f t="shared" si="78"/>
        <v>0</v>
      </c>
      <c r="Z251" s="368"/>
      <c r="AA251" s="369"/>
      <c r="AB251" s="313">
        <f t="shared" si="79"/>
        <v>0</v>
      </c>
      <c r="AC251" s="308"/>
      <c r="AD251" s="309"/>
      <c r="AE251" s="310">
        <f t="shared" si="80"/>
        <v>0</v>
      </c>
      <c r="AF251" s="368"/>
      <c r="AG251" s="369"/>
      <c r="AH251" s="313">
        <f t="shared" si="81"/>
        <v>0</v>
      </c>
      <c r="AI251" s="308"/>
      <c r="AJ251" s="309"/>
      <c r="AK251" s="310">
        <f t="shared" si="82"/>
        <v>0</v>
      </c>
      <c r="AL251" s="368"/>
      <c r="AM251" s="369"/>
      <c r="AN251" s="313">
        <f t="shared" si="83"/>
        <v>0</v>
      </c>
      <c r="AO251" s="308"/>
      <c r="AP251" s="309"/>
      <c r="AQ251" s="310">
        <f t="shared" si="84"/>
        <v>0</v>
      </c>
      <c r="AR251" s="368"/>
      <c r="AS251" s="369"/>
      <c r="AT251" s="313">
        <f t="shared" si="85"/>
        <v>0</v>
      </c>
      <c r="AU251" s="308"/>
      <c r="AV251" s="309"/>
      <c r="AW251" s="310">
        <f t="shared" si="86"/>
        <v>0</v>
      </c>
      <c r="AX251" s="368"/>
      <c r="AY251" s="369"/>
      <c r="AZ251" s="313">
        <f t="shared" si="87"/>
        <v>0</v>
      </c>
      <c r="BA251" s="308"/>
      <c r="BB251" s="309"/>
      <c r="BC251" s="310">
        <f t="shared" si="88"/>
        <v>0</v>
      </c>
      <c r="BD251" s="368"/>
      <c r="BE251" s="369"/>
      <c r="BF251" s="313">
        <f t="shared" si="89"/>
        <v>0</v>
      </c>
      <c r="BG251" s="308"/>
      <c r="BH251" s="309"/>
      <c r="BI251" s="310">
        <f t="shared" si="90"/>
        <v>0</v>
      </c>
      <c r="BJ251" s="368"/>
      <c r="BK251" s="369"/>
      <c r="BL251" s="313">
        <f t="shared" si="91"/>
        <v>0</v>
      </c>
      <c r="BM251" s="308"/>
      <c r="BN251" s="309"/>
      <c r="BO251" s="310">
        <f t="shared" si="92"/>
        <v>0</v>
      </c>
      <c r="BP251" s="368"/>
      <c r="BQ251" s="369"/>
      <c r="BR251" s="313">
        <f t="shared" si="93"/>
        <v>0</v>
      </c>
      <c r="BS251" s="308"/>
      <c r="BT251" s="309"/>
      <c r="BU251" s="310">
        <f t="shared" si="94"/>
        <v>0</v>
      </c>
      <c r="BV251" s="368"/>
      <c r="BW251" s="369"/>
      <c r="BX251" s="313">
        <f t="shared" si="95"/>
        <v>0</v>
      </c>
      <c r="BY251" s="383"/>
      <c r="BZ251" s="370"/>
      <c r="CA251" s="370"/>
      <c r="CB251" s="370"/>
    </row>
    <row r="252" spans="1:80">
      <c r="A252" s="337" t="s">
        <v>407</v>
      </c>
      <c r="B252" s="338" t="s">
        <v>963</v>
      </c>
      <c r="C252" s="337">
        <v>159258</v>
      </c>
      <c r="D252" s="339">
        <v>14</v>
      </c>
      <c r="E252" s="308"/>
      <c r="F252" s="309"/>
      <c r="G252" s="310">
        <f t="shared" si="72"/>
        <v>0</v>
      </c>
      <c r="H252" s="368"/>
      <c r="I252" s="369"/>
      <c r="J252" s="313">
        <f t="shared" si="73"/>
        <v>0</v>
      </c>
      <c r="K252" s="308"/>
      <c r="L252" s="309"/>
      <c r="M252" s="310">
        <f t="shared" si="74"/>
        <v>0</v>
      </c>
      <c r="N252" s="368"/>
      <c r="O252" s="369"/>
      <c r="P252" s="313">
        <f t="shared" si="75"/>
        <v>0</v>
      </c>
      <c r="Q252" s="308"/>
      <c r="R252" s="309"/>
      <c r="S252" s="310">
        <f t="shared" si="76"/>
        <v>0</v>
      </c>
      <c r="T252" s="368"/>
      <c r="U252" s="369"/>
      <c r="V252" s="313">
        <f t="shared" si="77"/>
        <v>0</v>
      </c>
      <c r="W252" s="308"/>
      <c r="X252" s="309"/>
      <c r="Y252" s="310">
        <f t="shared" si="78"/>
        <v>0</v>
      </c>
      <c r="Z252" s="368"/>
      <c r="AA252" s="369"/>
      <c r="AB252" s="313">
        <f t="shared" si="79"/>
        <v>0</v>
      </c>
      <c r="AC252" s="308"/>
      <c r="AD252" s="309"/>
      <c r="AE252" s="310">
        <f t="shared" si="80"/>
        <v>0</v>
      </c>
      <c r="AF252" s="368"/>
      <c r="AG252" s="369"/>
      <c r="AH252" s="313">
        <f t="shared" si="81"/>
        <v>0</v>
      </c>
      <c r="AI252" s="308"/>
      <c r="AJ252" s="309"/>
      <c r="AK252" s="310">
        <f t="shared" si="82"/>
        <v>0</v>
      </c>
      <c r="AL252" s="368"/>
      <c r="AM252" s="369"/>
      <c r="AN252" s="313">
        <f t="shared" si="83"/>
        <v>0</v>
      </c>
      <c r="AO252" s="308"/>
      <c r="AP252" s="309"/>
      <c r="AQ252" s="310">
        <f t="shared" si="84"/>
        <v>0</v>
      </c>
      <c r="AR252" s="368"/>
      <c r="AS252" s="369"/>
      <c r="AT252" s="313">
        <f t="shared" si="85"/>
        <v>0</v>
      </c>
      <c r="AU252" s="308"/>
      <c r="AV252" s="309"/>
      <c r="AW252" s="310">
        <f t="shared" si="86"/>
        <v>0</v>
      </c>
      <c r="AX252" s="368"/>
      <c r="AY252" s="369"/>
      <c r="AZ252" s="313">
        <f t="shared" si="87"/>
        <v>0</v>
      </c>
      <c r="BA252" s="308"/>
      <c r="BB252" s="309"/>
      <c r="BC252" s="310">
        <f t="shared" si="88"/>
        <v>0</v>
      </c>
      <c r="BD252" s="368"/>
      <c r="BE252" s="369"/>
      <c r="BF252" s="313">
        <f t="shared" si="89"/>
        <v>0</v>
      </c>
      <c r="BG252" s="308"/>
      <c r="BH252" s="309"/>
      <c r="BI252" s="310">
        <f t="shared" si="90"/>
        <v>0</v>
      </c>
      <c r="BJ252" s="368"/>
      <c r="BK252" s="369"/>
      <c r="BL252" s="313">
        <f t="shared" si="91"/>
        <v>0</v>
      </c>
      <c r="BM252" s="308"/>
      <c r="BN252" s="309"/>
      <c r="BO252" s="310">
        <f t="shared" si="92"/>
        <v>0</v>
      </c>
      <c r="BP252" s="368"/>
      <c r="BQ252" s="369"/>
      <c r="BR252" s="313">
        <f t="shared" si="93"/>
        <v>0</v>
      </c>
      <c r="BS252" s="308"/>
      <c r="BT252" s="309"/>
      <c r="BU252" s="310">
        <f t="shared" si="94"/>
        <v>0</v>
      </c>
      <c r="BV252" s="368"/>
      <c r="BW252" s="369"/>
      <c r="BX252" s="313">
        <f t="shared" si="95"/>
        <v>0</v>
      </c>
      <c r="BY252" s="383"/>
      <c r="BZ252" s="370"/>
      <c r="CA252" s="370"/>
      <c r="CB252" s="370"/>
    </row>
    <row r="253" spans="1:80">
      <c r="A253" s="337" t="s">
        <v>407</v>
      </c>
      <c r="B253" s="338" t="s">
        <v>964</v>
      </c>
      <c r="C253" s="337">
        <v>160214</v>
      </c>
      <c r="D253" s="339">
        <v>14</v>
      </c>
      <c r="E253" s="308"/>
      <c r="F253" s="309"/>
      <c r="G253" s="310">
        <f t="shared" si="72"/>
        <v>0</v>
      </c>
      <c r="H253" s="368"/>
      <c r="I253" s="369"/>
      <c r="J253" s="313">
        <f t="shared" si="73"/>
        <v>0</v>
      </c>
      <c r="K253" s="308"/>
      <c r="L253" s="309"/>
      <c r="M253" s="310">
        <f t="shared" si="74"/>
        <v>0</v>
      </c>
      <c r="N253" s="368"/>
      <c r="O253" s="369"/>
      <c r="P253" s="313">
        <f t="shared" si="75"/>
        <v>0</v>
      </c>
      <c r="Q253" s="308"/>
      <c r="R253" s="309"/>
      <c r="S253" s="310">
        <f t="shared" si="76"/>
        <v>0</v>
      </c>
      <c r="T253" s="368"/>
      <c r="U253" s="369"/>
      <c r="V253" s="313">
        <f t="shared" si="77"/>
        <v>0</v>
      </c>
      <c r="W253" s="308"/>
      <c r="X253" s="309"/>
      <c r="Y253" s="310">
        <f t="shared" si="78"/>
        <v>0</v>
      </c>
      <c r="Z253" s="368"/>
      <c r="AA253" s="369"/>
      <c r="AB253" s="313">
        <f t="shared" si="79"/>
        <v>0</v>
      </c>
      <c r="AC253" s="308"/>
      <c r="AD253" s="309"/>
      <c r="AE253" s="310">
        <f t="shared" si="80"/>
        <v>0</v>
      </c>
      <c r="AF253" s="368"/>
      <c r="AG253" s="369"/>
      <c r="AH253" s="313">
        <f t="shared" si="81"/>
        <v>0</v>
      </c>
      <c r="AI253" s="308"/>
      <c r="AJ253" s="309"/>
      <c r="AK253" s="310">
        <f t="shared" si="82"/>
        <v>0</v>
      </c>
      <c r="AL253" s="368"/>
      <c r="AM253" s="369"/>
      <c r="AN253" s="313">
        <f t="shared" si="83"/>
        <v>0</v>
      </c>
      <c r="AO253" s="308"/>
      <c r="AP253" s="309"/>
      <c r="AQ253" s="310">
        <f t="shared" si="84"/>
        <v>0</v>
      </c>
      <c r="AR253" s="368"/>
      <c r="AS253" s="369"/>
      <c r="AT253" s="313">
        <f t="shared" si="85"/>
        <v>0</v>
      </c>
      <c r="AU253" s="308"/>
      <c r="AV253" s="309"/>
      <c r="AW253" s="310">
        <f t="shared" si="86"/>
        <v>0</v>
      </c>
      <c r="AX253" s="368"/>
      <c r="AY253" s="369"/>
      <c r="AZ253" s="313">
        <f t="shared" si="87"/>
        <v>0</v>
      </c>
      <c r="BA253" s="308"/>
      <c r="BB253" s="309"/>
      <c r="BC253" s="310">
        <f t="shared" si="88"/>
        <v>0</v>
      </c>
      <c r="BD253" s="368"/>
      <c r="BE253" s="369"/>
      <c r="BF253" s="313">
        <f t="shared" si="89"/>
        <v>0</v>
      </c>
      <c r="BG253" s="308"/>
      <c r="BH253" s="309"/>
      <c r="BI253" s="310">
        <f t="shared" si="90"/>
        <v>0</v>
      </c>
      <c r="BJ253" s="368"/>
      <c r="BK253" s="369"/>
      <c r="BL253" s="313">
        <f t="shared" si="91"/>
        <v>0</v>
      </c>
      <c r="BM253" s="308"/>
      <c r="BN253" s="309"/>
      <c r="BO253" s="310">
        <f t="shared" si="92"/>
        <v>0</v>
      </c>
      <c r="BP253" s="368"/>
      <c r="BQ253" s="369"/>
      <c r="BR253" s="313">
        <f t="shared" si="93"/>
        <v>0</v>
      </c>
      <c r="BS253" s="308"/>
      <c r="BT253" s="309"/>
      <c r="BU253" s="310">
        <f t="shared" si="94"/>
        <v>0</v>
      </c>
      <c r="BV253" s="368"/>
      <c r="BW253" s="369"/>
      <c r="BX253" s="313">
        <f t="shared" si="95"/>
        <v>0</v>
      </c>
      <c r="BY253" s="383"/>
      <c r="BZ253" s="370"/>
      <c r="CA253" s="370"/>
      <c r="CB253" s="370"/>
    </row>
    <row r="254" spans="1:80">
      <c r="A254" s="337" t="s">
        <v>407</v>
      </c>
      <c r="B254" s="338" t="s">
        <v>965</v>
      </c>
      <c r="C254" s="337">
        <v>159443</v>
      </c>
      <c r="D254" s="339">
        <v>14</v>
      </c>
      <c r="E254" s="308"/>
      <c r="F254" s="309"/>
      <c r="G254" s="310">
        <f t="shared" si="72"/>
        <v>0</v>
      </c>
      <c r="H254" s="368"/>
      <c r="I254" s="369"/>
      <c r="J254" s="313">
        <f t="shared" si="73"/>
        <v>0</v>
      </c>
      <c r="K254" s="308"/>
      <c r="L254" s="309"/>
      <c r="M254" s="310">
        <f t="shared" si="74"/>
        <v>0</v>
      </c>
      <c r="N254" s="368"/>
      <c r="O254" s="369"/>
      <c r="P254" s="313">
        <f t="shared" si="75"/>
        <v>0</v>
      </c>
      <c r="Q254" s="308"/>
      <c r="R254" s="309"/>
      <c r="S254" s="310">
        <f t="shared" si="76"/>
        <v>0</v>
      </c>
      <c r="T254" s="368"/>
      <c r="U254" s="369"/>
      <c r="V254" s="313">
        <f t="shared" si="77"/>
        <v>0</v>
      </c>
      <c r="W254" s="308"/>
      <c r="X254" s="309"/>
      <c r="Y254" s="310">
        <f t="shared" si="78"/>
        <v>0</v>
      </c>
      <c r="Z254" s="368"/>
      <c r="AA254" s="369"/>
      <c r="AB254" s="313">
        <f t="shared" si="79"/>
        <v>0</v>
      </c>
      <c r="AC254" s="308"/>
      <c r="AD254" s="309"/>
      <c r="AE254" s="310">
        <f t="shared" si="80"/>
        <v>0</v>
      </c>
      <c r="AF254" s="368"/>
      <c r="AG254" s="369"/>
      <c r="AH254" s="313">
        <f t="shared" si="81"/>
        <v>0</v>
      </c>
      <c r="AI254" s="308"/>
      <c r="AJ254" s="309"/>
      <c r="AK254" s="310">
        <f t="shared" si="82"/>
        <v>0</v>
      </c>
      <c r="AL254" s="368"/>
      <c r="AM254" s="369"/>
      <c r="AN254" s="313">
        <f t="shared" si="83"/>
        <v>0</v>
      </c>
      <c r="AO254" s="308"/>
      <c r="AP254" s="309"/>
      <c r="AQ254" s="310">
        <f t="shared" si="84"/>
        <v>0</v>
      </c>
      <c r="AR254" s="368"/>
      <c r="AS254" s="369"/>
      <c r="AT254" s="313">
        <f t="shared" si="85"/>
        <v>0</v>
      </c>
      <c r="AU254" s="308"/>
      <c r="AV254" s="309"/>
      <c r="AW254" s="310">
        <f t="shared" si="86"/>
        <v>0</v>
      </c>
      <c r="AX254" s="368"/>
      <c r="AY254" s="369"/>
      <c r="AZ254" s="313">
        <f t="shared" si="87"/>
        <v>0</v>
      </c>
      <c r="BA254" s="308"/>
      <c r="BB254" s="309"/>
      <c r="BC254" s="310">
        <f t="shared" si="88"/>
        <v>0</v>
      </c>
      <c r="BD254" s="368"/>
      <c r="BE254" s="369"/>
      <c r="BF254" s="313">
        <f t="shared" si="89"/>
        <v>0</v>
      </c>
      <c r="BG254" s="308"/>
      <c r="BH254" s="309"/>
      <c r="BI254" s="310">
        <f t="shared" si="90"/>
        <v>0</v>
      </c>
      <c r="BJ254" s="368"/>
      <c r="BK254" s="369"/>
      <c r="BL254" s="313">
        <f t="shared" si="91"/>
        <v>0</v>
      </c>
      <c r="BM254" s="308"/>
      <c r="BN254" s="309"/>
      <c r="BO254" s="310">
        <f t="shared" si="92"/>
        <v>0</v>
      </c>
      <c r="BP254" s="368"/>
      <c r="BQ254" s="369"/>
      <c r="BR254" s="313">
        <f t="shared" si="93"/>
        <v>0</v>
      </c>
      <c r="BS254" s="308"/>
      <c r="BT254" s="309"/>
      <c r="BU254" s="310">
        <f t="shared" si="94"/>
        <v>0</v>
      </c>
      <c r="BV254" s="368"/>
      <c r="BW254" s="369"/>
      <c r="BX254" s="313">
        <f t="shared" si="95"/>
        <v>0</v>
      </c>
      <c r="BY254" s="383"/>
      <c r="BZ254" s="370"/>
      <c r="CA254" s="370"/>
      <c r="CB254" s="370"/>
    </row>
    <row r="255" spans="1:80">
      <c r="A255" s="337" t="s">
        <v>407</v>
      </c>
      <c r="B255" s="338" t="s">
        <v>966</v>
      </c>
      <c r="C255" s="337">
        <v>160719</v>
      </c>
      <c r="D255" s="339">
        <v>14</v>
      </c>
      <c r="E255" s="308"/>
      <c r="F255" s="309"/>
      <c r="G255" s="310">
        <f t="shared" si="72"/>
        <v>0</v>
      </c>
      <c r="H255" s="368"/>
      <c r="I255" s="369"/>
      <c r="J255" s="313">
        <f t="shared" si="73"/>
        <v>0</v>
      </c>
      <c r="K255" s="308"/>
      <c r="L255" s="309"/>
      <c r="M255" s="310">
        <f t="shared" si="74"/>
        <v>0</v>
      </c>
      <c r="N255" s="368"/>
      <c r="O255" s="369"/>
      <c r="P255" s="313">
        <f t="shared" si="75"/>
        <v>0</v>
      </c>
      <c r="Q255" s="308"/>
      <c r="R255" s="309"/>
      <c r="S255" s="310">
        <f t="shared" si="76"/>
        <v>0</v>
      </c>
      <c r="T255" s="368"/>
      <c r="U255" s="369"/>
      <c r="V255" s="313">
        <f t="shared" si="77"/>
        <v>0</v>
      </c>
      <c r="W255" s="308"/>
      <c r="X255" s="309"/>
      <c r="Y255" s="310">
        <f t="shared" si="78"/>
        <v>0</v>
      </c>
      <c r="Z255" s="368"/>
      <c r="AA255" s="369"/>
      <c r="AB255" s="313">
        <f t="shared" si="79"/>
        <v>0</v>
      </c>
      <c r="AC255" s="308"/>
      <c r="AD255" s="309"/>
      <c r="AE255" s="310">
        <f t="shared" si="80"/>
        <v>0</v>
      </c>
      <c r="AF255" s="368"/>
      <c r="AG255" s="369"/>
      <c r="AH255" s="313">
        <f t="shared" si="81"/>
        <v>0</v>
      </c>
      <c r="AI255" s="308"/>
      <c r="AJ255" s="309"/>
      <c r="AK255" s="310">
        <f t="shared" si="82"/>
        <v>0</v>
      </c>
      <c r="AL255" s="368"/>
      <c r="AM255" s="369"/>
      <c r="AN255" s="313">
        <f t="shared" si="83"/>
        <v>0</v>
      </c>
      <c r="AO255" s="308"/>
      <c r="AP255" s="309"/>
      <c r="AQ255" s="310">
        <f t="shared" si="84"/>
        <v>0</v>
      </c>
      <c r="AR255" s="368"/>
      <c r="AS255" s="369"/>
      <c r="AT255" s="313">
        <f t="shared" si="85"/>
        <v>0</v>
      </c>
      <c r="AU255" s="308"/>
      <c r="AV255" s="309"/>
      <c r="AW255" s="310">
        <f t="shared" si="86"/>
        <v>0</v>
      </c>
      <c r="AX255" s="368"/>
      <c r="AY255" s="369"/>
      <c r="AZ255" s="313">
        <f t="shared" si="87"/>
        <v>0</v>
      </c>
      <c r="BA255" s="308"/>
      <c r="BB255" s="309"/>
      <c r="BC255" s="310">
        <f t="shared" si="88"/>
        <v>0</v>
      </c>
      <c r="BD255" s="368"/>
      <c r="BE255" s="369"/>
      <c r="BF255" s="313">
        <f t="shared" si="89"/>
        <v>0</v>
      </c>
      <c r="BG255" s="308"/>
      <c r="BH255" s="309"/>
      <c r="BI255" s="310">
        <f t="shared" si="90"/>
        <v>0</v>
      </c>
      <c r="BJ255" s="368"/>
      <c r="BK255" s="369"/>
      <c r="BL255" s="313">
        <f t="shared" si="91"/>
        <v>0</v>
      </c>
      <c r="BM255" s="308"/>
      <c r="BN255" s="309"/>
      <c r="BO255" s="310">
        <f t="shared" si="92"/>
        <v>0</v>
      </c>
      <c r="BP255" s="368"/>
      <c r="BQ255" s="369"/>
      <c r="BR255" s="313">
        <f t="shared" si="93"/>
        <v>0</v>
      </c>
      <c r="BS255" s="308"/>
      <c r="BT255" s="309"/>
      <c r="BU255" s="310">
        <f t="shared" si="94"/>
        <v>0</v>
      </c>
      <c r="BV255" s="368"/>
      <c r="BW255" s="369"/>
      <c r="BX255" s="313">
        <f t="shared" si="95"/>
        <v>0</v>
      </c>
      <c r="BY255" s="383"/>
      <c r="BZ255" s="370"/>
      <c r="CA255" s="370"/>
      <c r="CB255" s="370"/>
    </row>
    <row r="256" spans="1:80">
      <c r="A256" s="337" t="s">
        <v>407</v>
      </c>
      <c r="B256" s="338" t="s">
        <v>967</v>
      </c>
      <c r="C256" s="337">
        <v>160843</v>
      </c>
      <c r="D256" s="339">
        <v>14</v>
      </c>
      <c r="E256" s="308"/>
      <c r="F256" s="309"/>
      <c r="G256" s="310">
        <f t="shared" si="72"/>
        <v>0</v>
      </c>
      <c r="H256" s="368"/>
      <c r="I256" s="369"/>
      <c r="J256" s="313">
        <f t="shared" si="73"/>
        <v>0</v>
      </c>
      <c r="K256" s="308"/>
      <c r="L256" s="309"/>
      <c r="M256" s="310">
        <f t="shared" si="74"/>
        <v>0</v>
      </c>
      <c r="N256" s="368"/>
      <c r="O256" s="369"/>
      <c r="P256" s="313">
        <f t="shared" si="75"/>
        <v>0</v>
      </c>
      <c r="Q256" s="308"/>
      <c r="R256" s="309"/>
      <c r="S256" s="310">
        <f t="shared" si="76"/>
        <v>0</v>
      </c>
      <c r="T256" s="368"/>
      <c r="U256" s="369"/>
      <c r="V256" s="313">
        <f t="shared" si="77"/>
        <v>0</v>
      </c>
      <c r="W256" s="308"/>
      <c r="X256" s="309"/>
      <c r="Y256" s="310">
        <f t="shared" si="78"/>
        <v>0</v>
      </c>
      <c r="Z256" s="368"/>
      <c r="AA256" s="369"/>
      <c r="AB256" s="313">
        <f t="shared" si="79"/>
        <v>0</v>
      </c>
      <c r="AC256" s="308"/>
      <c r="AD256" s="309"/>
      <c r="AE256" s="310">
        <f t="shared" si="80"/>
        <v>0</v>
      </c>
      <c r="AF256" s="368"/>
      <c r="AG256" s="369"/>
      <c r="AH256" s="313">
        <f t="shared" si="81"/>
        <v>0</v>
      </c>
      <c r="AI256" s="308"/>
      <c r="AJ256" s="309"/>
      <c r="AK256" s="310">
        <f t="shared" si="82"/>
        <v>0</v>
      </c>
      <c r="AL256" s="368"/>
      <c r="AM256" s="369"/>
      <c r="AN256" s="313">
        <f t="shared" si="83"/>
        <v>0</v>
      </c>
      <c r="AO256" s="308"/>
      <c r="AP256" s="309"/>
      <c r="AQ256" s="310">
        <f t="shared" si="84"/>
        <v>0</v>
      </c>
      <c r="AR256" s="368"/>
      <c r="AS256" s="369"/>
      <c r="AT256" s="313">
        <f t="shared" si="85"/>
        <v>0</v>
      </c>
      <c r="AU256" s="308"/>
      <c r="AV256" s="309"/>
      <c r="AW256" s="310">
        <f t="shared" si="86"/>
        <v>0</v>
      </c>
      <c r="AX256" s="368"/>
      <c r="AY256" s="369"/>
      <c r="AZ256" s="313">
        <f t="shared" si="87"/>
        <v>0</v>
      </c>
      <c r="BA256" s="308"/>
      <c r="BB256" s="309"/>
      <c r="BC256" s="310">
        <f t="shared" si="88"/>
        <v>0</v>
      </c>
      <c r="BD256" s="368"/>
      <c r="BE256" s="369"/>
      <c r="BF256" s="313">
        <f t="shared" si="89"/>
        <v>0</v>
      </c>
      <c r="BG256" s="308"/>
      <c r="BH256" s="309"/>
      <c r="BI256" s="310">
        <f t="shared" si="90"/>
        <v>0</v>
      </c>
      <c r="BJ256" s="368"/>
      <c r="BK256" s="369"/>
      <c r="BL256" s="313">
        <f t="shared" si="91"/>
        <v>0</v>
      </c>
      <c r="BM256" s="308"/>
      <c r="BN256" s="309"/>
      <c r="BO256" s="310">
        <f t="shared" si="92"/>
        <v>0</v>
      </c>
      <c r="BP256" s="368"/>
      <c r="BQ256" s="369"/>
      <c r="BR256" s="313">
        <f t="shared" si="93"/>
        <v>0</v>
      </c>
      <c r="BS256" s="308"/>
      <c r="BT256" s="309"/>
      <c r="BU256" s="310">
        <f t="shared" si="94"/>
        <v>0</v>
      </c>
      <c r="BV256" s="368"/>
      <c r="BW256" s="369"/>
      <c r="BX256" s="313">
        <f t="shared" si="95"/>
        <v>0</v>
      </c>
      <c r="BY256" s="383"/>
      <c r="BZ256" s="370"/>
      <c r="CA256" s="370"/>
      <c r="CB256" s="370"/>
    </row>
    <row r="257" spans="1:80">
      <c r="A257" s="337" t="s">
        <v>407</v>
      </c>
      <c r="B257" s="338" t="s">
        <v>968</v>
      </c>
      <c r="C257" s="337">
        <v>159692</v>
      </c>
      <c r="D257" s="339">
        <v>14</v>
      </c>
      <c r="E257" s="308"/>
      <c r="F257" s="309"/>
      <c r="G257" s="310">
        <f t="shared" si="72"/>
        <v>0</v>
      </c>
      <c r="H257" s="368"/>
      <c r="I257" s="369"/>
      <c r="J257" s="313">
        <f t="shared" si="73"/>
        <v>0</v>
      </c>
      <c r="K257" s="308"/>
      <c r="L257" s="309"/>
      <c r="M257" s="310">
        <f t="shared" si="74"/>
        <v>0</v>
      </c>
      <c r="N257" s="368"/>
      <c r="O257" s="369"/>
      <c r="P257" s="313">
        <f t="shared" si="75"/>
        <v>0</v>
      </c>
      <c r="Q257" s="308"/>
      <c r="R257" s="309"/>
      <c r="S257" s="310">
        <f t="shared" si="76"/>
        <v>0</v>
      </c>
      <c r="T257" s="368"/>
      <c r="U257" s="369"/>
      <c r="V257" s="313">
        <f t="shared" si="77"/>
        <v>0</v>
      </c>
      <c r="W257" s="308"/>
      <c r="X257" s="309"/>
      <c r="Y257" s="310">
        <f t="shared" si="78"/>
        <v>0</v>
      </c>
      <c r="Z257" s="368"/>
      <c r="AA257" s="369"/>
      <c r="AB257" s="313">
        <f t="shared" si="79"/>
        <v>0</v>
      </c>
      <c r="AC257" s="308"/>
      <c r="AD257" s="309"/>
      <c r="AE257" s="310">
        <f t="shared" si="80"/>
        <v>0</v>
      </c>
      <c r="AF257" s="368"/>
      <c r="AG257" s="369"/>
      <c r="AH257" s="313">
        <f t="shared" si="81"/>
        <v>0</v>
      </c>
      <c r="AI257" s="308"/>
      <c r="AJ257" s="309"/>
      <c r="AK257" s="310">
        <f t="shared" si="82"/>
        <v>0</v>
      </c>
      <c r="AL257" s="368"/>
      <c r="AM257" s="369"/>
      <c r="AN257" s="313">
        <f t="shared" si="83"/>
        <v>0</v>
      </c>
      <c r="AO257" s="308"/>
      <c r="AP257" s="309"/>
      <c r="AQ257" s="310">
        <f t="shared" si="84"/>
        <v>0</v>
      </c>
      <c r="AR257" s="368"/>
      <c r="AS257" s="369"/>
      <c r="AT257" s="313">
        <f t="shared" si="85"/>
        <v>0</v>
      </c>
      <c r="AU257" s="308"/>
      <c r="AV257" s="309"/>
      <c r="AW257" s="310">
        <f t="shared" si="86"/>
        <v>0</v>
      </c>
      <c r="AX257" s="368"/>
      <c r="AY257" s="369"/>
      <c r="AZ257" s="313">
        <f t="shared" si="87"/>
        <v>0</v>
      </c>
      <c r="BA257" s="308"/>
      <c r="BB257" s="309"/>
      <c r="BC257" s="310">
        <f t="shared" si="88"/>
        <v>0</v>
      </c>
      <c r="BD257" s="368"/>
      <c r="BE257" s="369"/>
      <c r="BF257" s="313">
        <f t="shared" si="89"/>
        <v>0</v>
      </c>
      <c r="BG257" s="308"/>
      <c r="BH257" s="309"/>
      <c r="BI257" s="310">
        <f t="shared" si="90"/>
        <v>0</v>
      </c>
      <c r="BJ257" s="368"/>
      <c r="BK257" s="369"/>
      <c r="BL257" s="313">
        <f t="shared" si="91"/>
        <v>0</v>
      </c>
      <c r="BM257" s="308"/>
      <c r="BN257" s="309"/>
      <c r="BO257" s="310">
        <f t="shared" si="92"/>
        <v>0</v>
      </c>
      <c r="BP257" s="368"/>
      <c r="BQ257" s="369"/>
      <c r="BR257" s="313">
        <f t="shared" si="93"/>
        <v>0</v>
      </c>
      <c r="BS257" s="308"/>
      <c r="BT257" s="309"/>
      <c r="BU257" s="310">
        <f t="shared" si="94"/>
        <v>0</v>
      </c>
      <c r="BV257" s="368"/>
      <c r="BW257" s="369"/>
      <c r="BX257" s="313">
        <f t="shared" si="95"/>
        <v>0</v>
      </c>
      <c r="BY257" s="383"/>
      <c r="BZ257" s="370"/>
      <c r="CA257" s="370"/>
      <c r="CB257" s="370"/>
    </row>
    <row r="258" spans="1:80">
      <c r="A258" s="337" t="s">
        <v>407</v>
      </c>
      <c r="B258" s="338" t="s">
        <v>969</v>
      </c>
      <c r="C258" s="337">
        <v>159249</v>
      </c>
      <c r="D258" s="339">
        <v>14</v>
      </c>
      <c r="E258" s="308"/>
      <c r="F258" s="309"/>
      <c r="G258" s="310">
        <f t="shared" si="72"/>
        <v>0</v>
      </c>
      <c r="H258" s="368"/>
      <c r="I258" s="369"/>
      <c r="J258" s="313">
        <f t="shared" si="73"/>
        <v>0</v>
      </c>
      <c r="K258" s="308"/>
      <c r="L258" s="309"/>
      <c r="M258" s="310">
        <f t="shared" si="74"/>
        <v>0</v>
      </c>
      <c r="N258" s="368"/>
      <c r="O258" s="369"/>
      <c r="P258" s="313">
        <f t="shared" si="75"/>
        <v>0</v>
      </c>
      <c r="Q258" s="308"/>
      <c r="R258" s="309"/>
      <c r="S258" s="310">
        <f t="shared" si="76"/>
        <v>0</v>
      </c>
      <c r="T258" s="368"/>
      <c r="U258" s="369"/>
      <c r="V258" s="313">
        <f t="shared" si="77"/>
        <v>0</v>
      </c>
      <c r="W258" s="308"/>
      <c r="X258" s="309"/>
      <c r="Y258" s="310">
        <f t="shared" si="78"/>
        <v>0</v>
      </c>
      <c r="Z258" s="368"/>
      <c r="AA258" s="369"/>
      <c r="AB258" s="313">
        <f t="shared" si="79"/>
        <v>0</v>
      </c>
      <c r="AC258" s="308"/>
      <c r="AD258" s="309"/>
      <c r="AE258" s="310">
        <f t="shared" si="80"/>
        <v>0</v>
      </c>
      <c r="AF258" s="368"/>
      <c r="AG258" s="369"/>
      <c r="AH258" s="313">
        <f t="shared" si="81"/>
        <v>0</v>
      </c>
      <c r="AI258" s="308"/>
      <c r="AJ258" s="309"/>
      <c r="AK258" s="310">
        <f t="shared" si="82"/>
        <v>0</v>
      </c>
      <c r="AL258" s="368"/>
      <c r="AM258" s="369"/>
      <c r="AN258" s="313">
        <f t="shared" si="83"/>
        <v>0</v>
      </c>
      <c r="AO258" s="308"/>
      <c r="AP258" s="309"/>
      <c r="AQ258" s="310">
        <f t="shared" si="84"/>
        <v>0</v>
      </c>
      <c r="AR258" s="368"/>
      <c r="AS258" s="369"/>
      <c r="AT258" s="313">
        <f t="shared" si="85"/>
        <v>0</v>
      </c>
      <c r="AU258" s="308"/>
      <c r="AV258" s="309"/>
      <c r="AW258" s="310">
        <f t="shared" si="86"/>
        <v>0</v>
      </c>
      <c r="AX258" s="368"/>
      <c r="AY258" s="369"/>
      <c r="AZ258" s="313">
        <f t="shared" si="87"/>
        <v>0</v>
      </c>
      <c r="BA258" s="308"/>
      <c r="BB258" s="309"/>
      <c r="BC258" s="310">
        <f t="shared" si="88"/>
        <v>0</v>
      </c>
      <c r="BD258" s="368"/>
      <c r="BE258" s="369"/>
      <c r="BF258" s="313">
        <f t="shared" si="89"/>
        <v>0</v>
      </c>
      <c r="BG258" s="308"/>
      <c r="BH258" s="309"/>
      <c r="BI258" s="310">
        <f t="shared" si="90"/>
        <v>0</v>
      </c>
      <c r="BJ258" s="368"/>
      <c r="BK258" s="369"/>
      <c r="BL258" s="313">
        <f t="shared" si="91"/>
        <v>0</v>
      </c>
      <c r="BM258" s="308"/>
      <c r="BN258" s="309"/>
      <c r="BO258" s="310">
        <f t="shared" si="92"/>
        <v>0</v>
      </c>
      <c r="BP258" s="368"/>
      <c r="BQ258" s="369"/>
      <c r="BR258" s="313">
        <f t="shared" si="93"/>
        <v>0</v>
      </c>
      <c r="BS258" s="308"/>
      <c r="BT258" s="309"/>
      <c r="BU258" s="310">
        <f t="shared" si="94"/>
        <v>0</v>
      </c>
      <c r="BV258" s="368"/>
      <c r="BW258" s="369"/>
      <c r="BX258" s="313">
        <f t="shared" si="95"/>
        <v>0</v>
      </c>
      <c r="BY258" s="383"/>
      <c r="BZ258" s="370"/>
      <c r="CA258" s="370"/>
      <c r="CB258" s="370"/>
    </row>
    <row r="259" spans="1:80">
      <c r="A259" s="337" t="s">
        <v>407</v>
      </c>
      <c r="B259" s="338" t="s">
        <v>970</v>
      </c>
      <c r="C259" s="337">
        <v>159823</v>
      </c>
      <c r="D259" s="337">
        <v>14</v>
      </c>
      <c r="E259" s="308"/>
      <c r="F259" s="309"/>
      <c r="G259" s="310">
        <f t="shared" si="72"/>
        <v>0</v>
      </c>
      <c r="H259" s="368"/>
      <c r="I259" s="369"/>
      <c r="J259" s="313">
        <f t="shared" si="73"/>
        <v>0</v>
      </c>
      <c r="K259" s="308"/>
      <c r="L259" s="309"/>
      <c r="M259" s="310">
        <f t="shared" si="74"/>
        <v>0</v>
      </c>
      <c r="N259" s="368"/>
      <c r="O259" s="369"/>
      <c r="P259" s="313">
        <f t="shared" si="75"/>
        <v>0</v>
      </c>
      <c r="Q259" s="308"/>
      <c r="R259" s="309"/>
      <c r="S259" s="310">
        <f t="shared" si="76"/>
        <v>0</v>
      </c>
      <c r="T259" s="368"/>
      <c r="U259" s="369"/>
      <c r="V259" s="313">
        <f t="shared" si="77"/>
        <v>0</v>
      </c>
      <c r="W259" s="308"/>
      <c r="X259" s="309"/>
      <c r="Y259" s="310">
        <f t="shared" si="78"/>
        <v>0</v>
      </c>
      <c r="Z259" s="368"/>
      <c r="AA259" s="369"/>
      <c r="AB259" s="313">
        <f t="shared" si="79"/>
        <v>0</v>
      </c>
      <c r="AC259" s="308"/>
      <c r="AD259" s="309"/>
      <c r="AE259" s="310">
        <f t="shared" si="80"/>
        <v>0</v>
      </c>
      <c r="AF259" s="368"/>
      <c r="AG259" s="369"/>
      <c r="AH259" s="313">
        <f t="shared" si="81"/>
        <v>0</v>
      </c>
      <c r="AI259" s="308"/>
      <c r="AJ259" s="309"/>
      <c r="AK259" s="310">
        <f t="shared" si="82"/>
        <v>0</v>
      </c>
      <c r="AL259" s="368"/>
      <c r="AM259" s="369"/>
      <c r="AN259" s="313">
        <f t="shared" si="83"/>
        <v>0</v>
      </c>
      <c r="AO259" s="308"/>
      <c r="AP259" s="309"/>
      <c r="AQ259" s="310">
        <f t="shared" si="84"/>
        <v>0</v>
      </c>
      <c r="AR259" s="368"/>
      <c r="AS259" s="369"/>
      <c r="AT259" s="313">
        <f t="shared" si="85"/>
        <v>0</v>
      </c>
      <c r="AU259" s="308"/>
      <c r="AV259" s="309"/>
      <c r="AW259" s="310">
        <f t="shared" si="86"/>
        <v>0</v>
      </c>
      <c r="AX259" s="368"/>
      <c r="AY259" s="369"/>
      <c r="AZ259" s="313">
        <f t="shared" si="87"/>
        <v>0</v>
      </c>
      <c r="BA259" s="308"/>
      <c r="BB259" s="309"/>
      <c r="BC259" s="310">
        <f t="shared" si="88"/>
        <v>0</v>
      </c>
      <c r="BD259" s="368"/>
      <c r="BE259" s="369"/>
      <c r="BF259" s="313">
        <f t="shared" si="89"/>
        <v>0</v>
      </c>
      <c r="BG259" s="308"/>
      <c r="BH259" s="309"/>
      <c r="BI259" s="310">
        <f t="shared" si="90"/>
        <v>0</v>
      </c>
      <c r="BJ259" s="368"/>
      <c r="BK259" s="369"/>
      <c r="BL259" s="313">
        <f t="shared" si="91"/>
        <v>0</v>
      </c>
      <c r="BM259" s="308"/>
      <c r="BN259" s="309"/>
      <c r="BO259" s="310">
        <f t="shared" si="92"/>
        <v>0</v>
      </c>
      <c r="BP259" s="368"/>
      <c r="BQ259" s="369"/>
      <c r="BR259" s="313">
        <f t="shared" si="93"/>
        <v>0</v>
      </c>
      <c r="BS259" s="308"/>
      <c r="BT259" s="309"/>
      <c r="BU259" s="310">
        <f t="shared" si="94"/>
        <v>0</v>
      </c>
      <c r="BV259" s="368"/>
      <c r="BW259" s="369"/>
      <c r="BX259" s="313">
        <f t="shared" si="95"/>
        <v>0</v>
      </c>
      <c r="BY259" s="383"/>
      <c r="BZ259" s="370"/>
      <c r="CA259" s="370"/>
      <c r="CB259" s="370"/>
    </row>
    <row r="260" spans="1:80">
      <c r="A260" s="337" t="s">
        <v>407</v>
      </c>
      <c r="B260" s="338" t="s">
        <v>971</v>
      </c>
      <c r="C260" s="337">
        <v>159984</v>
      </c>
      <c r="D260" s="339">
        <v>14</v>
      </c>
      <c r="E260" s="308"/>
      <c r="F260" s="309"/>
      <c r="G260" s="310">
        <f t="shared" si="72"/>
        <v>0</v>
      </c>
      <c r="H260" s="368"/>
      <c r="I260" s="369"/>
      <c r="J260" s="313">
        <f t="shared" si="73"/>
        <v>0</v>
      </c>
      <c r="K260" s="308"/>
      <c r="L260" s="309"/>
      <c r="M260" s="310">
        <f t="shared" si="74"/>
        <v>0</v>
      </c>
      <c r="N260" s="368"/>
      <c r="O260" s="369"/>
      <c r="P260" s="313">
        <f t="shared" si="75"/>
        <v>0</v>
      </c>
      <c r="Q260" s="308"/>
      <c r="R260" s="309"/>
      <c r="S260" s="310">
        <f t="shared" si="76"/>
        <v>0</v>
      </c>
      <c r="T260" s="368"/>
      <c r="U260" s="369"/>
      <c r="V260" s="313">
        <f t="shared" si="77"/>
        <v>0</v>
      </c>
      <c r="W260" s="308"/>
      <c r="X260" s="309"/>
      <c r="Y260" s="310">
        <f t="shared" si="78"/>
        <v>0</v>
      </c>
      <c r="Z260" s="368"/>
      <c r="AA260" s="369"/>
      <c r="AB260" s="313">
        <f t="shared" si="79"/>
        <v>0</v>
      </c>
      <c r="AC260" s="308"/>
      <c r="AD260" s="309"/>
      <c r="AE260" s="310">
        <f t="shared" si="80"/>
        <v>0</v>
      </c>
      <c r="AF260" s="368"/>
      <c r="AG260" s="369"/>
      <c r="AH260" s="313">
        <f t="shared" si="81"/>
        <v>0</v>
      </c>
      <c r="AI260" s="308"/>
      <c r="AJ260" s="309"/>
      <c r="AK260" s="310">
        <f t="shared" si="82"/>
        <v>0</v>
      </c>
      <c r="AL260" s="368"/>
      <c r="AM260" s="369"/>
      <c r="AN260" s="313">
        <f t="shared" si="83"/>
        <v>0</v>
      </c>
      <c r="AO260" s="308"/>
      <c r="AP260" s="309"/>
      <c r="AQ260" s="310">
        <f t="shared" si="84"/>
        <v>0</v>
      </c>
      <c r="AR260" s="368"/>
      <c r="AS260" s="369"/>
      <c r="AT260" s="313">
        <f t="shared" si="85"/>
        <v>0</v>
      </c>
      <c r="AU260" s="308"/>
      <c r="AV260" s="309"/>
      <c r="AW260" s="310">
        <f t="shared" si="86"/>
        <v>0</v>
      </c>
      <c r="AX260" s="368"/>
      <c r="AY260" s="369"/>
      <c r="AZ260" s="313">
        <f t="shared" si="87"/>
        <v>0</v>
      </c>
      <c r="BA260" s="308"/>
      <c r="BB260" s="309"/>
      <c r="BC260" s="310">
        <f t="shared" si="88"/>
        <v>0</v>
      </c>
      <c r="BD260" s="368"/>
      <c r="BE260" s="369"/>
      <c r="BF260" s="313">
        <f t="shared" si="89"/>
        <v>0</v>
      </c>
      <c r="BG260" s="308"/>
      <c r="BH260" s="309"/>
      <c r="BI260" s="310">
        <f t="shared" si="90"/>
        <v>0</v>
      </c>
      <c r="BJ260" s="368"/>
      <c r="BK260" s="369"/>
      <c r="BL260" s="313">
        <f t="shared" si="91"/>
        <v>0</v>
      </c>
      <c r="BM260" s="308"/>
      <c r="BN260" s="309"/>
      <c r="BO260" s="310">
        <f t="shared" si="92"/>
        <v>0</v>
      </c>
      <c r="BP260" s="368"/>
      <c r="BQ260" s="369"/>
      <c r="BR260" s="313">
        <f t="shared" si="93"/>
        <v>0</v>
      </c>
      <c r="BS260" s="308"/>
      <c r="BT260" s="309"/>
      <c r="BU260" s="310">
        <f t="shared" si="94"/>
        <v>0</v>
      </c>
      <c r="BV260" s="368"/>
      <c r="BW260" s="369"/>
      <c r="BX260" s="313">
        <f t="shared" si="95"/>
        <v>0</v>
      </c>
      <c r="BY260" s="383"/>
      <c r="BZ260" s="370"/>
      <c r="CA260" s="370"/>
      <c r="CB260" s="370"/>
    </row>
    <row r="261" spans="1:80">
      <c r="A261" s="337" t="s">
        <v>407</v>
      </c>
      <c r="B261" s="338" t="s">
        <v>972</v>
      </c>
      <c r="C261" s="337">
        <v>160001</v>
      </c>
      <c r="D261" s="339">
        <v>14</v>
      </c>
      <c r="E261" s="308"/>
      <c r="F261" s="309"/>
      <c r="G261" s="310">
        <f t="shared" si="72"/>
        <v>0</v>
      </c>
      <c r="H261" s="368"/>
      <c r="I261" s="369"/>
      <c r="J261" s="313">
        <f t="shared" si="73"/>
        <v>0</v>
      </c>
      <c r="K261" s="308"/>
      <c r="L261" s="309"/>
      <c r="M261" s="310">
        <f t="shared" si="74"/>
        <v>0</v>
      </c>
      <c r="N261" s="368"/>
      <c r="O261" s="369"/>
      <c r="P261" s="313">
        <f t="shared" si="75"/>
        <v>0</v>
      </c>
      <c r="Q261" s="308"/>
      <c r="R261" s="309"/>
      <c r="S261" s="310">
        <f t="shared" si="76"/>
        <v>0</v>
      </c>
      <c r="T261" s="368"/>
      <c r="U261" s="369"/>
      <c r="V261" s="313">
        <f t="shared" si="77"/>
        <v>0</v>
      </c>
      <c r="W261" s="308"/>
      <c r="X261" s="309"/>
      <c r="Y261" s="310">
        <f t="shared" si="78"/>
        <v>0</v>
      </c>
      <c r="Z261" s="368"/>
      <c r="AA261" s="369"/>
      <c r="AB261" s="313">
        <f t="shared" si="79"/>
        <v>0</v>
      </c>
      <c r="AC261" s="308"/>
      <c r="AD261" s="309"/>
      <c r="AE261" s="310">
        <f t="shared" si="80"/>
        <v>0</v>
      </c>
      <c r="AF261" s="368"/>
      <c r="AG261" s="369"/>
      <c r="AH261" s="313">
        <f t="shared" si="81"/>
        <v>0</v>
      </c>
      <c r="AI261" s="308"/>
      <c r="AJ261" s="309"/>
      <c r="AK261" s="310">
        <f t="shared" si="82"/>
        <v>0</v>
      </c>
      <c r="AL261" s="368"/>
      <c r="AM261" s="369"/>
      <c r="AN261" s="313">
        <f t="shared" si="83"/>
        <v>0</v>
      </c>
      <c r="AO261" s="308"/>
      <c r="AP261" s="309"/>
      <c r="AQ261" s="310">
        <f t="shared" si="84"/>
        <v>0</v>
      </c>
      <c r="AR261" s="368"/>
      <c r="AS261" s="369"/>
      <c r="AT261" s="313">
        <f t="shared" si="85"/>
        <v>0</v>
      </c>
      <c r="AU261" s="308"/>
      <c r="AV261" s="309"/>
      <c r="AW261" s="310">
        <f t="shared" si="86"/>
        <v>0</v>
      </c>
      <c r="AX261" s="368"/>
      <c r="AY261" s="369"/>
      <c r="AZ261" s="313">
        <f t="shared" si="87"/>
        <v>0</v>
      </c>
      <c r="BA261" s="308"/>
      <c r="BB261" s="309"/>
      <c r="BC261" s="310">
        <f t="shared" si="88"/>
        <v>0</v>
      </c>
      <c r="BD261" s="368"/>
      <c r="BE261" s="369"/>
      <c r="BF261" s="313">
        <f t="shared" si="89"/>
        <v>0</v>
      </c>
      <c r="BG261" s="308"/>
      <c r="BH261" s="309"/>
      <c r="BI261" s="310">
        <f t="shared" si="90"/>
        <v>0</v>
      </c>
      <c r="BJ261" s="368"/>
      <c r="BK261" s="369"/>
      <c r="BL261" s="313">
        <f t="shared" si="91"/>
        <v>0</v>
      </c>
      <c r="BM261" s="308"/>
      <c r="BN261" s="309"/>
      <c r="BO261" s="310">
        <f t="shared" si="92"/>
        <v>0</v>
      </c>
      <c r="BP261" s="368"/>
      <c r="BQ261" s="369"/>
      <c r="BR261" s="313">
        <f t="shared" si="93"/>
        <v>0</v>
      </c>
      <c r="BS261" s="308"/>
      <c r="BT261" s="309"/>
      <c r="BU261" s="310">
        <f t="shared" si="94"/>
        <v>0</v>
      </c>
      <c r="BV261" s="368"/>
      <c r="BW261" s="369"/>
      <c r="BX261" s="313">
        <f t="shared" si="95"/>
        <v>0</v>
      </c>
      <c r="BY261" s="383"/>
      <c r="BZ261" s="370"/>
      <c r="CA261" s="370"/>
      <c r="CB261" s="370"/>
    </row>
    <row r="262" spans="1:80">
      <c r="A262" s="337" t="s">
        <v>407</v>
      </c>
      <c r="B262" s="338" t="s">
        <v>973</v>
      </c>
      <c r="C262" s="337">
        <v>160010</v>
      </c>
      <c r="D262" s="339">
        <v>14</v>
      </c>
      <c r="E262" s="308"/>
      <c r="F262" s="309"/>
      <c r="G262" s="310">
        <f t="shared" si="72"/>
        <v>0</v>
      </c>
      <c r="H262" s="368"/>
      <c r="I262" s="369"/>
      <c r="J262" s="313">
        <f t="shared" si="73"/>
        <v>0</v>
      </c>
      <c r="K262" s="308"/>
      <c r="L262" s="309"/>
      <c r="M262" s="310">
        <f t="shared" si="74"/>
        <v>0</v>
      </c>
      <c r="N262" s="368"/>
      <c r="O262" s="369"/>
      <c r="P262" s="313">
        <f t="shared" si="75"/>
        <v>0</v>
      </c>
      <c r="Q262" s="308"/>
      <c r="R262" s="309"/>
      <c r="S262" s="310">
        <f t="shared" si="76"/>
        <v>0</v>
      </c>
      <c r="T262" s="368"/>
      <c r="U262" s="369"/>
      <c r="V262" s="313">
        <f t="shared" si="77"/>
        <v>0</v>
      </c>
      <c r="W262" s="308"/>
      <c r="X262" s="309"/>
      <c r="Y262" s="310">
        <f t="shared" si="78"/>
        <v>0</v>
      </c>
      <c r="Z262" s="368"/>
      <c r="AA262" s="369"/>
      <c r="AB262" s="313">
        <f t="shared" si="79"/>
        <v>0</v>
      </c>
      <c r="AC262" s="308"/>
      <c r="AD262" s="309"/>
      <c r="AE262" s="310">
        <f t="shared" si="80"/>
        <v>0</v>
      </c>
      <c r="AF262" s="368"/>
      <c r="AG262" s="369"/>
      <c r="AH262" s="313">
        <f t="shared" si="81"/>
        <v>0</v>
      </c>
      <c r="AI262" s="308"/>
      <c r="AJ262" s="309"/>
      <c r="AK262" s="310">
        <f t="shared" si="82"/>
        <v>0</v>
      </c>
      <c r="AL262" s="368"/>
      <c r="AM262" s="369"/>
      <c r="AN262" s="313">
        <f t="shared" si="83"/>
        <v>0</v>
      </c>
      <c r="AO262" s="308"/>
      <c r="AP262" s="309"/>
      <c r="AQ262" s="310">
        <f t="shared" si="84"/>
        <v>0</v>
      </c>
      <c r="AR262" s="368"/>
      <c r="AS262" s="369"/>
      <c r="AT262" s="313">
        <f t="shared" si="85"/>
        <v>0</v>
      </c>
      <c r="AU262" s="308"/>
      <c r="AV262" s="309"/>
      <c r="AW262" s="310">
        <f t="shared" si="86"/>
        <v>0</v>
      </c>
      <c r="AX262" s="368"/>
      <c r="AY262" s="369"/>
      <c r="AZ262" s="313">
        <f t="shared" si="87"/>
        <v>0</v>
      </c>
      <c r="BA262" s="308"/>
      <c r="BB262" s="309"/>
      <c r="BC262" s="310">
        <f t="shared" si="88"/>
        <v>0</v>
      </c>
      <c r="BD262" s="368"/>
      <c r="BE262" s="369"/>
      <c r="BF262" s="313">
        <f t="shared" si="89"/>
        <v>0</v>
      </c>
      <c r="BG262" s="308"/>
      <c r="BH262" s="309"/>
      <c r="BI262" s="310">
        <f t="shared" si="90"/>
        <v>0</v>
      </c>
      <c r="BJ262" s="368"/>
      <c r="BK262" s="369"/>
      <c r="BL262" s="313">
        <f t="shared" si="91"/>
        <v>0</v>
      </c>
      <c r="BM262" s="308"/>
      <c r="BN262" s="309"/>
      <c r="BO262" s="310">
        <f t="shared" si="92"/>
        <v>0</v>
      </c>
      <c r="BP262" s="368"/>
      <c r="BQ262" s="369"/>
      <c r="BR262" s="313">
        <f t="shared" si="93"/>
        <v>0</v>
      </c>
      <c r="BS262" s="308"/>
      <c r="BT262" s="309"/>
      <c r="BU262" s="310">
        <f t="shared" si="94"/>
        <v>0</v>
      </c>
      <c r="BV262" s="368"/>
      <c r="BW262" s="369"/>
      <c r="BX262" s="313">
        <f t="shared" si="95"/>
        <v>0</v>
      </c>
      <c r="BY262" s="383"/>
      <c r="BZ262" s="370"/>
      <c r="CA262" s="370"/>
      <c r="CB262" s="370"/>
    </row>
    <row r="263" spans="1:80">
      <c r="A263" s="337" t="s">
        <v>407</v>
      </c>
      <c r="B263" s="338" t="s">
        <v>974</v>
      </c>
      <c r="C263" s="337">
        <v>160047</v>
      </c>
      <c r="D263" s="339">
        <v>14</v>
      </c>
      <c r="E263" s="308"/>
      <c r="F263" s="309"/>
      <c r="G263" s="310">
        <f t="shared" si="72"/>
        <v>0</v>
      </c>
      <c r="H263" s="368"/>
      <c r="I263" s="369"/>
      <c r="J263" s="313">
        <f t="shared" si="73"/>
        <v>0</v>
      </c>
      <c r="K263" s="308"/>
      <c r="L263" s="309"/>
      <c r="M263" s="310">
        <f t="shared" si="74"/>
        <v>0</v>
      </c>
      <c r="N263" s="368"/>
      <c r="O263" s="369"/>
      <c r="P263" s="313">
        <f t="shared" si="75"/>
        <v>0</v>
      </c>
      <c r="Q263" s="308"/>
      <c r="R263" s="309"/>
      <c r="S263" s="310">
        <f t="shared" si="76"/>
        <v>0</v>
      </c>
      <c r="T263" s="368"/>
      <c r="U263" s="369"/>
      <c r="V263" s="313">
        <f t="shared" si="77"/>
        <v>0</v>
      </c>
      <c r="W263" s="308"/>
      <c r="X263" s="309"/>
      <c r="Y263" s="310">
        <f t="shared" si="78"/>
        <v>0</v>
      </c>
      <c r="Z263" s="368"/>
      <c r="AA263" s="369"/>
      <c r="AB263" s="313">
        <f t="shared" si="79"/>
        <v>0</v>
      </c>
      <c r="AC263" s="308"/>
      <c r="AD263" s="309"/>
      <c r="AE263" s="310">
        <f t="shared" si="80"/>
        <v>0</v>
      </c>
      <c r="AF263" s="368"/>
      <c r="AG263" s="369"/>
      <c r="AH263" s="313">
        <f t="shared" si="81"/>
        <v>0</v>
      </c>
      <c r="AI263" s="308"/>
      <c r="AJ263" s="309"/>
      <c r="AK263" s="310">
        <f t="shared" si="82"/>
        <v>0</v>
      </c>
      <c r="AL263" s="368"/>
      <c r="AM263" s="369"/>
      <c r="AN263" s="313">
        <f t="shared" si="83"/>
        <v>0</v>
      </c>
      <c r="AO263" s="308"/>
      <c r="AP263" s="309"/>
      <c r="AQ263" s="310">
        <f t="shared" si="84"/>
        <v>0</v>
      </c>
      <c r="AR263" s="368"/>
      <c r="AS263" s="369"/>
      <c r="AT263" s="313">
        <f t="shared" si="85"/>
        <v>0</v>
      </c>
      <c r="AU263" s="308"/>
      <c r="AV263" s="309"/>
      <c r="AW263" s="310">
        <f t="shared" si="86"/>
        <v>0</v>
      </c>
      <c r="AX263" s="368"/>
      <c r="AY263" s="369"/>
      <c r="AZ263" s="313">
        <f t="shared" si="87"/>
        <v>0</v>
      </c>
      <c r="BA263" s="308"/>
      <c r="BB263" s="309"/>
      <c r="BC263" s="310">
        <f t="shared" si="88"/>
        <v>0</v>
      </c>
      <c r="BD263" s="368"/>
      <c r="BE263" s="369"/>
      <c r="BF263" s="313">
        <f t="shared" si="89"/>
        <v>0</v>
      </c>
      <c r="BG263" s="308"/>
      <c r="BH263" s="309"/>
      <c r="BI263" s="310">
        <f t="shared" si="90"/>
        <v>0</v>
      </c>
      <c r="BJ263" s="368"/>
      <c r="BK263" s="369"/>
      <c r="BL263" s="313">
        <f t="shared" si="91"/>
        <v>0</v>
      </c>
      <c r="BM263" s="308"/>
      <c r="BN263" s="309"/>
      <c r="BO263" s="310">
        <f t="shared" si="92"/>
        <v>0</v>
      </c>
      <c r="BP263" s="368"/>
      <c r="BQ263" s="369"/>
      <c r="BR263" s="313">
        <f t="shared" si="93"/>
        <v>0</v>
      </c>
      <c r="BS263" s="308"/>
      <c r="BT263" s="309"/>
      <c r="BU263" s="310">
        <f t="shared" si="94"/>
        <v>0</v>
      </c>
      <c r="BV263" s="368"/>
      <c r="BW263" s="369"/>
      <c r="BX263" s="313">
        <f t="shared" si="95"/>
        <v>0</v>
      </c>
      <c r="BY263" s="383"/>
      <c r="BZ263" s="370"/>
      <c r="CA263" s="370"/>
      <c r="CB263" s="370"/>
    </row>
    <row r="264" spans="1:80">
      <c r="A264" s="337" t="s">
        <v>407</v>
      </c>
      <c r="B264" s="338" t="s">
        <v>975</v>
      </c>
      <c r="C264" s="337">
        <v>160311</v>
      </c>
      <c r="D264" s="339">
        <v>14</v>
      </c>
      <c r="E264" s="308"/>
      <c r="F264" s="309"/>
      <c r="G264" s="310">
        <f t="shared" si="72"/>
        <v>0</v>
      </c>
      <c r="H264" s="368"/>
      <c r="I264" s="369"/>
      <c r="J264" s="313">
        <f t="shared" si="73"/>
        <v>0</v>
      </c>
      <c r="K264" s="308"/>
      <c r="L264" s="309"/>
      <c r="M264" s="310">
        <f t="shared" si="74"/>
        <v>0</v>
      </c>
      <c r="N264" s="368"/>
      <c r="O264" s="369"/>
      <c r="P264" s="313">
        <f t="shared" si="75"/>
        <v>0</v>
      </c>
      <c r="Q264" s="308"/>
      <c r="R264" s="309"/>
      <c r="S264" s="310">
        <f t="shared" si="76"/>
        <v>0</v>
      </c>
      <c r="T264" s="368"/>
      <c r="U264" s="369"/>
      <c r="V264" s="313">
        <f t="shared" si="77"/>
        <v>0</v>
      </c>
      <c r="W264" s="308"/>
      <c r="X264" s="309"/>
      <c r="Y264" s="310">
        <f t="shared" si="78"/>
        <v>0</v>
      </c>
      <c r="Z264" s="368"/>
      <c r="AA264" s="369"/>
      <c r="AB264" s="313">
        <f t="shared" si="79"/>
        <v>0</v>
      </c>
      <c r="AC264" s="308"/>
      <c r="AD264" s="309"/>
      <c r="AE264" s="310">
        <f t="shared" si="80"/>
        <v>0</v>
      </c>
      <c r="AF264" s="368"/>
      <c r="AG264" s="369"/>
      <c r="AH264" s="313">
        <f t="shared" si="81"/>
        <v>0</v>
      </c>
      <c r="AI264" s="308"/>
      <c r="AJ264" s="309"/>
      <c r="AK264" s="310">
        <f t="shared" si="82"/>
        <v>0</v>
      </c>
      <c r="AL264" s="368"/>
      <c r="AM264" s="369"/>
      <c r="AN264" s="313">
        <f t="shared" si="83"/>
        <v>0</v>
      </c>
      <c r="AO264" s="308"/>
      <c r="AP264" s="309"/>
      <c r="AQ264" s="310">
        <f t="shared" si="84"/>
        <v>0</v>
      </c>
      <c r="AR264" s="368"/>
      <c r="AS264" s="369"/>
      <c r="AT264" s="313">
        <f t="shared" si="85"/>
        <v>0</v>
      </c>
      <c r="AU264" s="308"/>
      <c r="AV264" s="309"/>
      <c r="AW264" s="310">
        <f t="shared" si="86"/>
        <v>0</v>
      </c>
      <c r="AX264" s="368"/>
      <c r="AY264" s="369"/>
      <c r="AZ264" s="313">
        <f t="shared" si="87"/>
        <v>0</v>
      </c>
      <c r="BA264" s="308"/>
      <c r="BB264" s="309"/>
      <c r="BC264" s="310">
        <f t="shared" si="88"/>
        <v>0</v>
      </c>
      <c r="BD264" s="368"/>
      <c r="BE264" s="369"/>
      <c r="BF264" s="313">
        <f t="shared" si="89"/>
        <v>0</v>
      </c>
      <c r="BG264" s="308"/>
      <c r="BH264" s="309"/>
      <c r="BI264" s="310">
        <f t="shared" si="90"/>
        <v>0</v>
      </c>
      <c r="BJ264" s="368"/>
      <c r="BK264" s="369"/>
      <c r="BL264" s="313">
        <f t="shared" si="91"/>
        <v>0</v>
      </c>
      <c r="BM264" s="308"/>
      <c r="BN264" s="309"/>
      <c r="BO264" s="310">
        <f t="shared" si="92"/>
        <v>0</v>
      </c>
      <c r="BP264" s="368"/>
      <c r="BQ264" s="369"/>
      <c r="BR264" s="313">
        <f t="shared" si="93"/>
        <v>0</v>
      </c>
      <c r="BS264" s="308"/>
      <c r="BT264" s="309"/>
      <c r="BU264" s="310">
        <f t="shared" si="94"/>
        <v>0</v>
      </c>
      <c r="BV264" s="368"/>
      <c r="BW264" s="369"/>
      <c r="BX264" s="313">
        <f t="shared" si="95"/>
        <v>0</v>
      </c>
      <c r="BY264" s="383"/>
      <c r="BZ264" s="370"/>
      <c r="CA264" s="370"/>
      <c r="CB264" s="370"/>
    </row>
    <row r="265" spans="1:80">
      <c r="A265" s="337" t="s">
        <v>407</v>
      </c>
      <c r="B265" s="338" t="s">
        <v>976</v>
      </c>
      <c r="C265" s="337">
        <v>160366</v>
      </c>
      <c r="D265" s="339">
        <v>14</v>
      </c>
      <c r="E265" s="308"/>
      <c r="F265" s="309"/>
      <c r="G265" s="310">
        <f t="shared" si="72"/>
        <v>0</v>
      </c>
      <c r="H265" s="368"/>
      <c r="I265" s="369"/>
      <c r="J265" s="313">
        <f t="shared" si="73"/>
        <v>0</v>
      </c>
      <c r="K265" s="308"/>
      <c r="L265" s="309"/>
      <c r="M265" s="310">
        <f t="shared" si="74"/>
        <v>0</v>
      </c>
      <c r="N265" s="368"/>
      <c r="O265" s="369"/>
      <c r="P265" s="313">
        <f t="shared" si="75"/>
        <v>0</v>
      </c>
      <c r="Q265" s="308"/>
      <c r="R265" s="309"/>
      <c r="S265" s="310">
        <f t="shared" si="76"/>
        <v>0</v>
      </c>
      <c r="T265" s="368"/>
      <c r="U265" s="369"/>
      <c r="V265" s="313">
        <f t="shared" si="77"/>
        <v>0</v>
      </c>
      <c r="W265" s="308"/>
      <c r="X265" s="309"/>
      <c r="Y265" s="310">
        <f t="shared" si="78"/>
        <v>0</v>
      </c>
      <c r="Z265" s="368"/>
      <c r="AA265" s="369"/>
      <c r="AB265" s="313">
        <f t="shared" si="79"/>
        <v>0</v>
      </c>
      <c r="AC265" s="308"/>
      <c r="AD265" s="309"/>
      <c r="AE265" s="310">
        <f t="shared" si="80"/>
        <v>0</v>
      </c>
      <c r="AF265" s="368"/>
      <c r="AG265" s="369"/>
      <c r="AH265" s="313">
        <f t="shared" si="81"/>
        <v>0</v>
      </c>
      <c r="AI265" s="308"/>
      <c r="AJ265" s="309"/>
      <c r="AK265" s="310">
        <f t="shared" si="82"/>
        <v>0</v>
      </c>
      <c r="AL265" s="368"/>
      <c r="AM265" s="369"/>
      <c r="AN265" s="313">
        <f t="shared" si="83"/>
        <v>0</v>
      </c>
      <c r="AO265" s="308"/>
      <c r="AP265" s="309"/>
      <c r="AQ265" s="310">
        <f t="shared" si="84"/>
        <v>0</v>
      </c>
      <c r="AR265" s="368"/>
      <c r="AS265" s="369"/>
      <c r="AT265" s="313">
        <f t="shared" si="85"/>
        <v>0</v>
      </c>
      <c r="AU265" s="308"/>
      <c r="AV265" s="309"/>
      <c r="AW265" s="310">
        <f t="shared" si="86"/>
        <v>0</v>
      </c>
      <c r="AX265" s="368"/>
      <c r="AY265" s="369"/>
      <c r="AZ265" s="313">
        <f t="shared" si="87"/>
        <v>0</v>
      </c>
      <c r="BA265" s="308"/>
      <c r="BB265" s="309"/>
      <c r="BC265" s="310">
        <f t="shared" si="88"/>
        <v>0</v>
      </c>
      <c r="BD265" s="368"/>
      <c r="BE265" s="369"/>
      <c r="BF265" s="313">
        <f t="shared" si="89"/>
        <v>0</v>
      </c>
      <c r="BG265" s="308"/>
      <c r="BH265" s="309"/>
      <c r="BI265" s="310">
        <f t="shared" si="90"/>
        <v>0</v>
      </c>
      <c r="BJ265" s="368"/>
      <c r="BK265" s="369"/>
      <c r="BL265" s="313">
        <f t="shared" si="91"/>
        <v>0</v>
      </c>
      <c r="BM265" s="308"/>
      <c r="BN265" s="309"/>
      <c r="BO265" s="310">
        <f t="shared" si="92"/>
        <v>0</v>
      </c>
      <c r="BP265" s="368"/>
      <c r="BQ265" s="369"/>
      <c r="BR265" s="313">
        <f t="shared" si="93"/>
        <v>0</v>
      </c>
      <c r="BS265" s="308"/>
      <c r="BT265" s="309"/>
      <c r="BU265" s="310">
        <f t="shared" si="94"/>
        <v>0</v>
      </c>
      <c r="BV265" s="368"/>
      <c r="BW265" s="369"/>
      <c r="BX265" s="313">
        <f t="shared" si="95"/>
        <v>0</v>
      </c>
      <c r="BY265" s="383"/>
      <c r="BZ265" s="370"/>
      <c r="CA265" s="370"/>
      <c r="CB265" s="370"/>
    </row>
    <row r="266" spans="1:80">
      <c r="A266" s="337" t="s">
        <v>407</v>
      </c>
      <c r="B266" s="338" t="s">
        <v>977</v>
      </c>
      <c r="C266" s="337">
        <v>160384</v>
      </c>
      <c r="D266" s="339">
        <v>14</v>
      </c>
      <c r="E266" s="308"/>
      <c r="F266" s="309"/>
      <c r="G266" s="310">
        <f t="shared" ref="G266:G329" si="96">E266*F266</f>
        <v>0</v>
      </c>
      <c r="H266" s="368"/>
      <c r="I266" s="369"/>
      <c r="J266" s="313">
        <f t="shared" ref="J266:J329" si="97">H266*I266</f>
        <v>0</v>
      </c>
      <c r="K266" s="308"/>
      <c r="L266" s="309"/>
      <c r="M266" s="310">
        <f t="shared" ref="M266:M329" si="98">K266*L266</f>
        <v>0</v>
      </c>
      <c r="N266" s="368"/>
      <c r="O266" s="369"/>
      <c r="P266" s="313">
        <f t="shared" ref="P266:P329" si="99">N266*O266</f>
        <v>0</v>
      </c>
      <c r="Q266" s="308"/>
      <c r="R266" s="309"/>
      <c r="S266" s="310">
        <f t="shared" ref="S266:S329" si="100">Q266*R266</f>
        <v>0</v>
      </c>
      <c r="T266" s="368"/>
      <c r="U266" s="369"/>
      <c r="V266" s="313">
        <f t="shared" ref="V266:V329" si="101">T266*U266</f>
        <v>0</v>
      </c>
      <c r="W266" s="308"/>
      <c r="X266" s="309"/>
      <c r="Y266" s="310">
        <f t="shared" ref="Y266:Y329" si="102">W266*X266</f>
        <v>0</v>
      </c>
      <c r="Z266" s="368"/>
      <c r="AA266" s="369"/>
      <c r="AB266" s="313">
        <f t="shared" ref="AB266:AB329" si="103">Z266*AA266</f>
        <v>0</v>
      </c>
      <c r="AC266" s="308"/>
      <c r="AD266" s="309"/>
      <c r="AE266" s="310">
        <f t="shared" ref="AE266:AE329" si="104">AC266*AD266</f>
        <v>0</v>
      </c>
      <c r="AF266" s="368"/>
      <c r="AG266" s="369"/>
      <c r="AH266" s="313">
        <f t="shared" ref="AH266:AH329" si="105">AF266*AG266</f>
        <v>0</v>
      </c>
      <c r="AI266" s="308"/>
      <c r="AJ266" s="309"/>
      <c r="AK266" s="310">
        <f t="shared" ref="AK266:AK329" si="106">AI266*AJ266</f>
        <v>0</v>
      </c>
      <c r="AL266" s="368"/>
      <c r="AM266" s="369"/>
      <c r="AN266" s="313">
        <f t="shared" ref="AN266:AN329" si="107">AL266*AM266</f>
        <v>0</v>
      </c>
      <c r="AO266" s="308"/>
      <c r="AP266" s="309"/>
      <c r="AQ266" s="310">
        <f t="shared" ref="AQ266:AQ329" si="108">(AO266*AP266)*0.8182</f>
        <v>0</v>
      </c>
      <c r="AR266" s="368"/>
      <c r="AS266" s="369"/>
      <c r="AT266" s="313">
        <f t="shared" ref="AT266:AT329" si="109">(AR266*AS266)*0.8182</f>
        <v>0</v>
      </c>
      <c r="AU266" s="308"/>
      <c r="AV266" s="309"/>
      <c r="AW266" s="310">
        <f t="shared" ref="AW266:AW329" si="110">(AU266*AV266)*0.8182</f>
        <v>0</v>
      </c>
      <c r="AX266" s="368"/>
      <c r="AY266" s="369"/>
      <c r="AZ266" s="313">
        <f t="shared" ref="AZ266:AZ329" si="111">(AX266*AY266)*0.8182</f>
        <v>0</v>
      </c>
      <c r="BA266" s="308"/>
      <c r="BB266" s="309"/>
      <c r="BC266" s="310">
        <f t="shared" ref="BC266:BC329" si="112">(BA266*BB266)*0.8182</f>
        <v>0</v>
      </c>
      <c r="BD266" s="368"/>
      <c r="BE266" s="369"/>
      <c r="BF266" s="313">
        <f t="shared" ref="BF266:BF329" si="113">(BD266*BE266)*0.8182</f>
        <v>0</v>
      </c>
      <c r="BG266" s="308"/>
      <c r="BH266" s="309"/>
      <c r="BI266" s="310">
        <f t="shared" ref="BI266:BI329" si="114">(BG266*BH266)*0.8182</f>
        <v>0</v>
      </c>
      <c r="BJ266" s="368"/>
      <c r="BK266" s="369"/>
      <c r="BL266" s="313">
        <f t="shared" ref="BL266:BL329" si="115">(BJ266*BK266)*0.8182</f>
        <v>0</v>
      </c>
      <c r="BM266" s="308"/>
      <c r="BN266" s="309"/>
      <c r="BO266" s="310">
        <f t="shared" ref="BO266:BO329" si="116">(BM266*BN266)*0.8182</f>
        <v>0</v>
      </c>
      <c r="BP266" s="368"/>
      <c r="BQ266" s="369"/>
      <c r="BR266" s="313">
        <f t="shared" ref="BR266:BR329" si="117">(BP266*BQ266)*0.8182</f>
        <v>0</v>
      </c>
      <c r="BS266" s="308"/>
      <c r="BT266" s="309"/>
      <c r="BU266" s="310">
        <f t="shared" ref="BU266:BU329" si="118">(BS266*BT266)*0.8182</f>
        <v>0</v>
      </c>
      <c r="BV266" s="368"/>
      <c r="BW266" s="369"/>
      <c r="BX266" s="313">
        <f t="shared" ref="BX266:BX329" si="119">(BV266*BW266)*0.8182</f>
        <v>0</v>
      </c>
      <c r="BY266" s="383"/>
      <c r="BZ266" s="370"/>
      <c r="CA266" s="370"/>
      <c r="CB266" s="370"/>
    </row>
    <row r="267" spans="1:80">
      <c r="A267" s="337" t="s">
        <v>407</v>
      </c>
      <c r="B267" s="338" t="s">
        <v>978</v>
      </c>
      <c r="C267" s="337">
        <v>158583</v>
      </c>
      <c r="D267" s="339">
        <v>14</v>
      </c>
      <c r="E267" s="308"/>
      <c r="F267" s="309"/>
      <c r="G267" s="310">
        <f t="shared" si="96"/>
        <v>0</v>
      </c>
      <c r="H267" s="368"/>
      <c r="I267" s="369"/>
      <c r="J267" s="313">
        <f t="shared" si="97"/>
        <v>0</v>
      </c>
      <c r="K267" s="308"/>
      <c r="L267" s="309"/>
      <c r="M267" s="310">
        <f t="shared" si="98"/>
        <v>0</v>
      </c>
      <c r="N267" s="368"/>
      <c r="O267" s="369"/>
      <c r="P267" s="313">
        <f t="shared" si="99"/>
        <v>0</v>
      </c>
      <c r="Q267" s="308"/>
      <c r="R267" s="309"/>
      <c r="S267" s="310">
        <f t="shared" si="100"/>
        <v>0</v>
      </c>
      <c r="T267" s="368"/>
      <c r="U267" s="369"/>
      <c r="V267" s="313">
        <f t="shared" si="101"/>
        <v>0</v>
      </c>
      <c r="W267" s="308"/>
      <c r="X267" s="309"/>
      <c r="Y267" s="310">
        <f t="shared" si="102"/>
        <v>0</v>
      </c>
      <c r="Z267" s="368"/>
      <c r="AA267" s="369"/>
      <c r="AB267" s="313">
        <f t="shared" si="103"/>
        <v>0</v>
      </c>
      <c r="AC267" s="308"/>
      <c r="AD267" s="309"/>
      <c r="AE267" s="310">
        <f t="shared" si="104"/>
        <v>0</v>
      </c>
      <c r="AF267" s="368"/>
      <c r="AG267" s="369"/>
      <c r="AH267" s="313">
        <f t="shared" si="105"/>
        <v>0</v>
      </c>
      <c r="AI267" s="308"/>
      <c r="AJ267" s="309"/>
      <c r="AK267" s="310">
        <f t="shared" si="106"/>
        <v>0</v>
      </c>
      <c r="AL267" s="368"/>
      <c r="AM267" s="369"/>
      <c r="AN267" s="313">
        <f t="shared" si="107"/>
        <v>0</v>
      </c>
      <c r="AO267" s="308"/>
      <c r="AP267" s="309"/>
      <c r="AQ267" s="310">
        <f t="shared" si="108"/>
        <v>0</v>
      </c>
      <c r="AR267" s="368"/>
      <c r="AS267" s="369"/>
      <c r="AT267" s="313">
        <f t="shared" si="109"/>
        <v>0</v>
      </c>
      <c r="AU267" s="308"/>
      <c r="AV267" s="309"/>
      <c r="AW267" s="310">
        <f t="shared" si="110"/>
        <v>0</v>
      </c>
      <c r="AX267" s="368"/>
      <c r="AY267" s="369"/>
      <c r="AZ267" s="313">
        <f t="shared" si="111"/>
        <v>0</v>
      </c>
      <c r="BA267" s="308"/>
      <c r="BB267" s="309"/>
      <c r="BC267" s="310">
        <f t="shared" si="112"/>
        <v>0</v>
      </c>
      <c r="BD267" s="368"/>
      <c r="BE267" s="369"/>
      <c r="BF267" s="313">
        <f t="shared" si="113"/>
        <v>0</v>
      </c>
      <c r="BG267" s="308"/>
      <c r="BH267" s="309"/>
      <c r="BI267" s="310">
        <f t="shared" si="114"/>
        <v>0</v>
      </c>
      <c r="BJ267" s="368"/>
      <c r="BK267" s="369"/>
      <c r="BL267" s="313">
        <f t="shared" si="115"/>
        <v>0</v>
      </c>
      <c r="BM267" s="308"/>
      <c r="BN267" s="309"/>
      <c r="BO267" s="310">
        <f t="shared" si="116"/>
        <v>0</v>
      </c>
      <c r="BP267" s="368"/>
      <c r="BQ267" s="369"/>
      <c r="BR267" s="313">
        <f t="shared" si="117"/>
        <v>0</v>
      </c>
      <c r="BS267" s="308"/>
      <c r="BT267" s="309"/>
      <c r="BU267" s="310">
        <f t="shared" si="118"/>
        <v>0</v>
      </c>
      <c r="BV267" s="368"/>
      <c r="BW267" s="369"/>
      <c r="BX267" s="313">
        <f t="shared" si="119"/>
        <v>0</v>
      </c>
      <c r="BY267" s="383"/>
      <c r="BZ267" s="370"/>
      <c r="CA267" s="370"/>
      <c r="CB267" s="370"/>
    </row>
    <row r="268" spans="1:80">
      <c r="A268" s="337" t="s">
        <v>407</v>
      </c>
      <c r="B268" s="338" t="s">
        <v>979</v>
      </c>
      <c r="C268" s="337">
        <v>160427</v>
      </c>
      <c r="D268" s="339">
        <v>14</v>
      </c>
      <c r="E268" s="308"/>
      <c r="F268" s="309"/>
      <c r="G268" s="310">
        <f t="shared" si="96"/>
        <v>0</v>
      </c>
      <c r="H268" s="368"/>
      <c r="I268" s="369"/>
      <c r="J268" s="313">
        <f t="shared" si="97"/>
        <v>0</v>
      </c>
      <c r="K268" s="308"/>
      <c r="L268" s="309"/>
      <c r="M268" s="310">
        <f t="shared" si="98"/>
        <v>0</v>
      </c>
      <c r="N268" s="368"/>
      <c r="O268" s="369"/>
      <c r="P268" s="313">
        <f t="shared" si="99"/>
        <v>0</v>
      </c>
      <c r="Q268" s="308"/>
      <c r="R268" s="309"/>
      <c r="S268" s="310">
        <f t="shared" si="100"/>
        <v>0</v>
      </c>
      <c r="T268" s="368"/>
      <c r="U268" s="369"/>
      <c r="V268" s="313">
        <f t="shared" si="101"/>
        <v>0</v>
      </c>
      <c r="W268" s="308"/>
      <c r="X268" s="309"/>
      <c r="Y268" s="310">
        <f t="shared" si="102"/>
        <v>0</v>
      </c>
      <c r="Z268" s="368"/>
      <c r="AA268" s="369"/>
      <c r="AB268" s="313">
        <f t="shared" si="103"/>
        <v>0</v>
      </c>
      <c r="AC268" s="308"/>
      <c r="AD268" s="309"/>
      <c r="AE268" s="310">
        <f t="shared" si="104"/>
        <v>0</v>
      </c>
      <c r="AF268" s="368"/>
      <c r="AG268" s="369"/>
      <c r="AH268" s="313">
        <f t="shared" si="105"/>
        <v>0</v>
      </c>
      <c r="AI268" s="308"/>
      <c r="AJ268" s="309"/>
      <c r="AK268" s="310">
        <f t="shared" si="106"/>
        <v>0</v>
      </c>
      <c r="AL268" s="368"/>
      <c r="AM268" s="369"/>
      <c r="AN268" s="313">
        <f t="shared" si="107"/>
        <v>0</v>
      </c>
      <c r="AO268" s="308"/>
      <c r="AP268" s="309"/>
      <c r="AQ268" s="310">
        <f t="shared" si="108"/>
        <v>0</v>
      </c>
      <c r="AR268" s="368"/>
      <c r="AS268" s="369"/>
      <c r="AT268" s="313">
        <f t="shared" si="109"/>
        <v>0</v>
      </c>
      <c r="AU268" s="308"/>
      <c r="AV268" s="309"/>
      <c r="AW268" s="310">
        <f t="shared" si="110"/>
        <v>0</v>
      </c>
      <c r="AX268" s="368"/>
      <c r="AY268" s="369"/>
      <c r="AZ268" s="313">
        <f t="shared" si="111"/>
        <v>0</v>
      </c>
      <c r="BA268" s="308"/>
      <c r="BB268" s="309"/>
      <c r="BC268" s="310">
        <f t="shared" si="112"/>
        <v>0</v>
      </c>
      <c r="BD268" s="368"/>
      <c r="BE268" s="369"/>
      <c r="BF268" s="313">
        <f t="shared" si="113"/>
        <v>0</v>
      </c>
      <c r="BG268" s="308"/>
      <c r="BH268" s="309"/>
      <c r="BI268" s="310">
        <f t="shared" si="114"/>
        <v>0</v>
      </c>
      <c r="BJ268" s="368"/>
      <c r="BK268" s="369"/>
      <c r="BL268" s="313">
        <f t="shared" si="115"/>
        <v>0</v>
      </c>
      <c r="BM268" s="308"/>
      <c r="BN268" s="309"/>
      <c r="BO268" s="310">
        <f t="shared" si="116"/>
        <v>0</v>
      </c>
      <c r="BP268" s="368"/>
      <c r="BQ268" s="369"/>
      <c r="BR268" s="313">
        <f t="shared" si="117"/>
        <v>0</v>
      </c>
      <c r="BS268" s="308"/>
      <c r="BT268" s="309"/>
      <c r="BU268" s="310">
        <f t="shared" si="118"/>
        <v>0</v>
      </c>
      <c r="BV268" s="368"/>
      <c r="BW268" s="369"/>
      <c r="BX268" s="313">
        <f t="shared" si="119"/>
        <v>0</v>
      </c>
      <c r="BY268" s="383"/>
      <c r="BZ268" s="370"/>
      <c r="CA268" s="370"/>
      <c r="CB268" s="370"/>
    </row>
    <row r="269" spans="1:80">
      <c r="A269" s="337" t="s">
        <v>407</v>
      </c>
      <c r="B269" s="338" t="s">
        <v>980</v>
      </c>
      <c r="C269" s="337">
        <v>160436</v>
      </c>
      <c r="D269" s="339">
        <v>14</v>
      </c>
      <c r="E269" s="308"/>
      <c r="F269" s="309"/>
      <c r="G269" s="310">
        <f t="shared" si="96"/>
        <v>0</v>
      </c>
      <c r="H269" s="368"/>
      <c r="I269" s="369"/>
      <c r="J269" s="313">
        <f t="shared" si="97"/>
        <v>0</v>
      </c>
      <c r="K269" s="308"/>
      <c r="L269" s="309"/>
      <c r="M269" s="310">
        <f t="shared" si="98"/>
        <v>0</v>
      </c>
      <c r="N269" s="368"/>
      <c r="O269" s="369"/>
      <c r="P269" s="313">
        <f t="shared" si="99"/>
        <v>0</v>
      </c>
      <c r="Q269" s="308"/>
      <c r="R269" s="309"/>
      <c r="S269" s="310">
        <f t="shared" si="100"/>
        <v>0</v>
      </c>
      <c r="T269" s="368"/>
      <c r="U269" s="369"/>
      <c r="V269" s="313">
        <f t="shared" si="101"/>
        <v>0</v>
      </c>
      <c r="W269" s="308"/>
      <c r="X269" s="309"/>
      <c r="Y269" s="310">
        <f t="shared" si="102"/>
        <v>0</v>
      </c>
      <c r="Z269" s="368"/>
      <c r="AA269" s="369"/>
      <c r="AB269" s="313">
        <f t="shared" si="103"/>
        <v>0</v>
      </c>
      <c r="AC269" s="308"/>
      <c r="AD269" s="309"/>
      <c r="AE269" s="310">
        <f t="shared" si="104"/>
        <v>0</v>
      </c>
      <c r="AF269" s="368"/>
      <c r="AG269" s="369"/>
      <c r="AH269" s="313">
        <f t="shared" si="105"/>
        <v>0</v>
      </c>
      <c r="AI269" s="308"/>
      <c r="AJ269" s="309"/>
      <c r="AK269" s="310">
        <f t="shared" si="106"/>
        <v>0</v>
      </c>
      <c r="AL269" s="368"/>
      <c r="AM269" s="369"/>
      <c r="AN269" s="313">
        <f t="shared" si="107"/>
        <v>0</v>
      </c>
      <c r="AO269" s="308"/>
      <c r="AP269" s="309"/>
      <c r="AQ269" s="310">
        <f t="shared" si="108"/>
        <v>0</v>
      </c>
      <c r="AR269" s="368"/>
      <c r="AS269" s="369"/>
      <c r="AT269" s="313">
        <f t="shared" si="109"/>
        <v>0</v>
      </c>
      <c r="AU269" s="308"/>
      <c r="AV269" s="309"/>
      <c r="AW269" s="310">
        <f t="shared" si="110"/>
        <v>0</v>
      </c>
      <c r="AX269" s="368"/>
      <c r="AY269" s="369"/>
      <c r="AZ269" s="313">
        <f t="shared" si="111"/>
        <v>0</v>
      </c>
      <c r="BA269" s="308"/>
      <c r="BB269" s="309"/>
      <c r="BC269" s="310">
        <f t="shared" si="112"/>
        <v>0</v>
      </c>
      <c r="BD269" s="368"/>
      <c r="BE269" s="369"/>
      <c r="BF269" s="313">
        <f t="shared" si="113"/>
        <v>0</v>
      </c>
      <c r="BG269" s="308"/>
      <c r="BH269" s="309"/>
      <c r="BI269" s="310">
        <f t="shared" si="114"/>
        <v>0</v>
      </c>
      <c r="BJ269" s="368"/>
      <c r="BK269" s="369"/>
      <c r="BL269" s="313">
        <f t="shared" si="115"/>
        <v>0</v>
      </c>
      <c r="BM269" s="308"/>
      <c r="BN269" s="309"/>
      <c r="BO269" s="310">
        <f t="shared" si="116"/>
        <v>0</v>
      </c>
      <c r="BP269" s="368"/>
      <c r="BQ269" s="369"/>
      <c r="BR269" s="313">
        <f t="shared" si="117"/>
        <v>0</v>
      </c>
      <c r="BS269" s="308"/>
      <c r="BT269" s="309"/>
      <c r="BU269" s="310">
        <f t="shared" si="118"/>
        <v>0</v>
      </c>
      <c r="BV269" s="368"/>
      <c r="BW269" s="369"/>
      <c r="BX269" s="313">
        <f t="shared" si="119"/>
        <v>0</v>
      </c>
      <c r="BY269" s="383"/>
      <c r="BZ269" s="370"/>
      <c r="CA269" s="370"/>
      <c r="CB269" s="370"/>
    </row>
    <row r="270" spans="1:80">
      <c r="A270" s="337" t="s">
        <v>407</v>
      </c>
      <c r="B270" s="338" t="s">
        <v>981</v>
      </c>
      <c r="C270" s="337">
        <v>160454</v>
      </c>
      <c r="D270" s="339">
        <v>14</v>
      </c>
      <c r="E270" s="308"/>
      <c r="F270" s="309"/>
      <c r="G270" s="310">
        <f t="shared" si="96"/>
        <v>0</v>
      </c>
      <c r="H270" s="368"/>
      <c r="I270" s="369"/>
      <c r="J270" s="313">
        <f t="shared" si="97"/>
        <v>0</v>
      </c>
      <c r="K270" s="308"/>
      <c r="L270" s="309"/>
      <c r="M270" s="310">
        <f t="shared" si="98"/>
        <v>0</v>
      </c>
      <c r="N270" s="368"/>
      <c r="O270" s="369"/>
      <c r="P270" s="313">
        <f t="shared" si="99"/>
        <v>0</v>
      </c>
      <c r="Q270" s="308"/>
      <c r="R270" s="309"/>
      <c r="S270" s="310">
        <f t="shared" si="100"/>
        <v>0</v>
      </c>
      <c r="T270" s="368"/>
      <c r="U270" s="369"/>
      <c r="V270" s="313">
        <f t="shared" si="101"/>
        <v>0</v>
      </c>
      <c r="W270" s="308"/>
      <c r="X270" s="309"/>
      <c r="Y270" s="310">
        <f t="shared" si="102"/>
        <v>0</v>
      </c>
      <c r="Z270" s="368"/>
      <c r="AA270" s="369"/>
      <c r="AB270" s="313">
        <f t="shared" si="103"/>
        <v>0</v>
      </c>
      <c r="AC270" s="308"/>
      <c r="AD270" s="309"/>
      <c r="AE270" s="310">
        <f t="shared" si="104"/>
        <v>0</v>
      </c>
      <c r="AF270" s="368"/>
      <c r="AG270" s="369"/>
      <c r="AH270" s="313">
        <f t="shared" si="105"/>
        <v>0</v>
      </c>
      <c r="AI270" s="308"/>
      <c r="AJ270" s="309"/>
      <c r="AK270" s="310">
        <f t="shared" si="106"/>
        <v>0</v>
      </c>
      <c r="AL270" s="368"/>
      <c r="AM270" s="369"/>
      <c r="AN270" s="313">
        <f t="shared" si="107"/>
        <v>0</v>
      </c>
      <c r="AO270" s="308"/>
      <c r="AP270" s="309"/>
      <c r="AQ270" s="310">
        <f t="shared" si="108"/>
        <v>0</v>
      </c>
      <c r="AR270" s="368"/>
      <c r="AS270" s="369"/>
      <c r="AT270" s="313">
        <f t="shared" si="109"/>
        <v>0</v>
      </c>
      <c r="AU270" s="308"/>
      <c r="AV270" s="309"/>
      <c r="AW270" s="310">
        <f t="shared" si="110"/>
        <v>0</v>
      </c>
      <c r="AX270" s="368"/>
      <c r="AY270" s="369"/>
      <c r="AZ270" s="313">
        <f t="shared" si="111"/>
        <v>0</v>
      </c>
      <c r="BA270" s="308"/>
      <c r="BB270" s="309"/>
      <c r="BC270" s="310">
        <f t="shared" si="112"/>
        <v>0</v>
      </c>
      <c r="BD270" s="368"/>
      <c r="BE270" s="369"/>
      <c r="BF270" s="313">
        <f t="shared" si="113"/>
        <v>0</v>
      </c>
      <c r="BG270" s="308"/>
      <c r="BH270" s="309"/>
      <c r="BI270" s="310">
        <f t="shared" si="114"/>
        <v>0</v>
      </c>
      <c r="BJ270" s="368"/>
      <c r="BK270" s="369"/>
      <c r="BL270" s="313">
        <f t="shared" si="115"/>
        <v>0</v>
      </c>
      <c r="BM270" s="308"/>
      <c r="BN270" s="309"/>
      <c r="BO270" s="310">
        <f t="shared" si="116"/>
        <v>0</v>
      </c>
      <c r="BP270" s="368"/>
      <c r="BQ270" s="369"/>
      <c r="BR270" s="313">
        <f t="shared" si="117"/>
        <v>0</v>
      </c>
      <c r="BS270" s="308"/>
      <c r="BT270" s="309"/>
      <c r="BU270" s="310">
        <f t="shared" si="118"/>
        <v>0</v>
      </c>
      <c r="BV270" s="368"/>
      <c r="BW270" s="369"/>
      <c r="BX270" s="313">
        <f t="shared" si="119"/>
        <v>0</v>
      </c>
      <c r="BY270" s="383"/>
      <c r="BZ270" s="370"/>
      <c r="CA270" s="370"/>
      <c r="CB270" s="370"/>
    </row>
    <row r="271" spans="1:80">
      <c r="A271" s="337" t="s">
        <v>407</v>
      </c>
      <c r="B271" s="338" t="s">
        <v>982</v>
      </c>
      <c r="C271" s="337">
        <v>160667</v>
      </c>
      <c r="D271" s="339">
        <v>14</v>
      </c>
      <c r="E271" s="308"/>
      <c r="F271" s="309"/>
      <c r="G271" s="310">
        <f t="shared" si="96"/>
        <v>0</v>
      </c>
      <c r="H271" s="368"/>
      <c r="I271" s="369"/>
      <c r="J271" s="313">
        <f t="shared" si="97"/>
        <v>0</v>
      </c>
      <c r="K271" s="308"/>
      <c r="L271" s="309"/>
      <c r="M271" s="310">
        <f t="shared" si="98"/>
        <v>0</v>
      </c>
      <c r="N271" s="368"/>
      <c r="O271" s="369"/>
      <c r="P271" s="313">
        <f t="shared" si="99"/>
        <v>0</v>
      </c>
      <c r="Q271" s="308"/>
      <c r="R271" s="309"/>
      <c r="S271" s="310">
        <f t="shared" si="100"/>
        <v>0</v>
      </c>
      <c r="T271" s="368"/>
      <c r="U271" s="369"/>
      <c r="V271" s="313">
        <f t="shared" si="101"/>
        <v>0</v>
      </c>
      <c r="W271" s="308"/>
      <c r="X271" s="309"/>
      <c r="Y271" s="310">
        <f t="shared" si="102"/>
        <v>0</v>
      </c>
      <c r="Z271" s="368"/>
      <c r="AA271" s="369"/>
      <c r="AB271" s="313">
        <f t="shared" si="103"/>
        <v>0</v>
      </c>
      <c r="AC271" s="308"/>
      <c r="AD271" s="309"/>
      <c r="AE271" s="310">
        <f t="shared" si="104"/>
        <v>0</v>
      </c>
      <c r="AF271" s="368"/>
      <c r="AG271" s="369"/>
      <c r="AH271" s="313">
        <f t="shared" si="105"/>
        <v>0</v>
      </c>
      <c r="AI271" s="308"/>
      <c r="AJ271" s="309"/>
      <c r="AK271" s="310">
        <f t="shared" si="106"/>
        <v>0</v>
      </c>
      <c r="AL271" s="368"/>
      <c r="AM271" s="369"/>
      <c r="AN271" s="313">
        <f t="shared" si="107"/>
        <v>0</v>
      </c>
      <c r="AO271" s="308"/>
      <c r="AP271" s="309"/>
      <c r="AQ271" s="310">
        <f t="shared" si="108"/>
        <v>0</v>
      </c>
      <c r="AR271" s="368"/>
      <c r="AS271" s="369"/>
      <c r="AT271" s="313">
        <f t="shared" si="109"/>
        <v>0</v>
      </c>
      <c r="AU271" s="308"/>
      <c r="AV271" s="309"/>
      <c r="AW271" s="310">
        <f t="shared" si="110"/>
        <v>0</v>
      </c>
      <c r="AX271" s="368"/>
      <c r="AY271" s="369"/>
      <c r="AZ271" s="313">
        <f t="shared" si="111"/>
        <v>0</v>
      </c>
      <c r="BA271" s="308"/>
      <c r="BB271" s="309"/>
      <c r="BC271" s="310">
        <f t="shared" si="112"/>
        <v>0</v>
      </c>
      <c r="BD271" s="368"/>
      <c r="BE271" s="369"/>
      <c r="BF271" s="313">
        <f t="shared" si="113"/>
        <v>0</v>
      </c>
      <c r="BG271" s="308"/>
      <c r="BH271" s="309"/>
      <c r="BI271" s="310">
        <f t="shared" si="114"/>
        <v>0</v>
      </c>
      <c r="BJ271" s="368"/>
      <c r="BK271" s="369"/>
      <c r="BL271" s="313">
        <f t="shared" si="115"/>
        <v>0</v>
      </c>
      <c r="BM271" s="308"/>
      <c r="BN271" s="309"/>
      <c r="BO271" s="310">
        <f t="shared" si="116"/>
        <v>0</v>
      </c>
      <c r="BP271" s="368"/>
      <c r="BQ271" s="369"/>
      <c r="BR271" s="313">
        <f t="shared" si="117"/>
        <v>0</v>
      </c>
      <c r="BS271" s="308"/>
      <c r="BT271" s="309"/>
      <c r="BU271" s="310">
        <f t="shared" si="118"/>
        <v>0</v>
      </c>
      <c r="BV271" s="368"/>
      <c r="BW271" s="369"/>
      <c r="BX271" s="313">
        <f t="shared" si="119"/>
        <v>0</v>
      </c>
      <c r="BY271" s="383"/>
      <c r="BZ271" s="370"/>
      <c r="CA271" s="370"/>
      <c r="CB271" s="370"/>
    </row>
    <row r="272" spans="1:80">
      <c r="A272" s="337" t="s">
        <v>407</v>
      </c>
      <c r="B272" s="338" t="s">
        <v>983</v>
      </c>
      <c r="C272" s="337">
        <v>160676</v>
      </c>
      <c r="D272" s="339">
        <v>14</v>
      </c>
      <c r="E272" s="308"/>
      <c r="F272" s="309"/>
      <c r="G272" s="310">
        <f t="shared" si="96"/>
        <v>0</v>
      </c>
      <c r="H272" s="368"/>
      <c r="I272" s="369"/>
      <c r="J272" s="313">
        <f t="shared" si="97"/>
        <v>0</v>
      </c>
      <c r="K272" s="308"/>
      <c r="L272" s="309"/>
      <c r="M272" s="310">
        <f t="shared" si="98"/>
        <v>0</v>
      </c>
      <c r="N272" s="368"/>
      <c r="O272" s="369"/>
      <c r="P272" s="313">
        <f t="shared" si="99"/>
        <v>0</v>
      </c>
      <c r="Q272" s="308"/>
      <c r="R272" s="309"/>
      <c r="S272" s="310">
        <f t="shared" si="100"/>
        <v>0</v>
      </c>
      <c r="T272" s="368"/>
      <c r="U272" s="369"/>
      <c r="V272" s="313">
        <f t="shared" si="101"/>
        <v>0</v>
      </c>
      <c r="W272" s="308"/>
      <c r="X272" s="309"/>
      <c r="Y272" s="310">
        <f t="shared" si="102"/>
        <v>0</v>
      </c>
      <c r="Z272" s="368"/>
      <c r="AA272" s="369"/>
      <c r="AB272" s="313">
        <f t="shared" si="103"/>
        <v>0</v>
      </c>
      <c r="AC272" s="308"/>
      <c r="AD272" s="309"/>
      <c r="AE272" s="310">
        <f t="shared" si="104"/>
        <v>0</v>
      </c>
      <c r="AF272" s="368"/>
      <c r="AG272" s="369"/>
      <c r="AH272" s="313">
        <f t="shared" si="105"/>
        <v>0</v>
      </c>
      <c r="AI272" s="308"/>
      <c r="AJ272" s="309"/>
      <c r="AK272" s="310">
        <f t="shared" si="106"/>
        <v>0</v>
      </c>
      <c r="AL272" s="368"/>
      <c r="AM272" s="369"/>
      <c r="AN272" s="313">
        <f t="shared" si="107"/>
        <v>0</v>
      </c>
      <c r="AO272" s="308"/>
      <c r="AP272" s="309"/>
      <c r="AQ272" s="310">
        <f t="shared" si="108"/>
        <v>0</v>
      </c>
      <c r="AR272" s="368"/>
      <c r="AS272" s="369"/>
      <c r="AT272" s="313">
        <f t="shared" si="109"/>
        <v>0</v>
      </c>
      <c r="AU272" s="308"/>
      <c r="AV272" s="309"/>
      <c r="AW272" s="310">
        <f t="shared" si="110"/>
        <v>0</v>
      </c>
      <c r="AX272" s="368"/>
      <c r="AY272" s="369"/>
      <c r="AZ272" s="313">
        <f t="shared" si="111"/>
        <v>0</v>
      </c>
      <c r="BA272" s="308"/>
      <c r="BB272" s="309"/>
      <c r="BC272" s="310">
        <f t="shared" si="112"/>
        <v>0</v>
      </c>
      <c r="BD272" s="368"/>
      <c r="BE272" s="369"/>
      <c r="BF272" s="313">
        <f t="shared" si="113"/>
        <v>0</v>
      </c>
      <c r="BG272" s="308"/>
      <c r="BH272" s="309"/>
      <c r="BI272" s="310">
        <f t="shared" si="114"/>
        <v>0</v>
      </c>
      <c r="BJ272" s="368"/>
      <c r="BK272" s="369"/>
      <c r="BL272" s="313">
        <f t="shared" si="115"/>
        <v>0</v>
      </c>
      <c r="BM272" s="308"/>
      <c r="BN272" s="309"/>
      <c r="BO272" s="310">
        <f t="shared" si="116"/>
        <v>0</v>
      </c>
      <c r="BP272" s="368"/>
      <c r="BQ272" s="369"/>
      <c r="BR272" s="313">
        <f t="shared" si="117"/>
        <v>0</v>
      </c>
      <c r="BS272" s="308"/>
      <c r="BT272" s="309"/>
      <c r="BU272" s="310">
        <f t="shared" si="118"/>
        <v>0</v>
      </c>
      <c r="BV272" s="368"/>
      <c r="BW272" s="369"/>
      <c r="BX272" s="313">
        <f t="shared" si="119"/>
        <v>0</v>
      </c>
      <c r="BY272" s="383"/>
      <c r="BZ272" s="370"/>
      <c r="CA272" s="370"/>
      <c r="CB272" s="370"/>
    </row>
    <row r="273" spans="1:80" s="372" customFormat="1">
      <c r="A273" s="337" t="s">
        <v>407</v>
      </c>
      <c r="B273" s="338" t="s">
        <v>984</v>
      </c>
      <c r="C273" s="337">
        <v>160685</v>
      </c>
      <c r="D273" s="339">
        <v>14</v>
      </c>
      <c r="E273" s="308"/>
      <c r="F273" s="309"/>
      <c r="G273" s="310">
        <f t="shared" si="96"/>
        <v>0</v>
      </c>
      <c r="H273" s="368"/>
      <c r="I273" s="369"/>
      <c r="J273" s="313">
        <f t="shared" si="97"/>
        <v>0</v>
      </c>
      <c r="K273" s="308"/>
      <c r="L273" s="309"/>
      <c r="M273" s="310">
        <f t="shared" si="98"/>
        <v>0</v>
      </c>
      <c r="N273" s="368"/>
      <c r="O273" s="369"/>
      <c r="P273" s="313">
        <f t="shared" si="99"/>
        <v>0</v>
      </c>
      <c r="Q273" s="308"/>
      <c r="R273" s="309"/>
      <c r="S273" s="310">
        <f t="shared" si="100"/>
        <v>0</v>
      </c>
      <c r="T273" s="368"/>
      <c r="U273" s="369"/>
      <c r="V273" s="313">
        <f t="shared" si="101"/>
        <v>0</v>
      </c>
      <c r="W273" s="308"/>
      <c r="X273" s="309"/>
      <c r="Y273" s="310">
        <f t="shared" si="102"/>
        <v>0</v>
      </c>
      <c r="Z273" s="368"/>
      <c r="AA273" s="369"/>
      <c r="AB273" s="313">
        <f t="shared" si="103"/>
        <v>0</v>
      </c>
      <c r="AC273" s="308"/>
      <c r="AD273" s="309"/>
      <c r="AE273" s="310">
        <f t="shared" si="104"/>
        <v>0</v>
      </c>
      <c r="AF273" s="368"/>
      <c r="AG273" s="369"/>
      <c r="AH273" s="313">
        <f t="shared" si="105"/>
        <v>0</v>
      </c>
      <c r="AI273" s="308"/>
      <c r="AJ273" s="309"/>
      <c r="AK273" s="310">
        <f t="shared" si="106"/>
        <v>0</v>
      </c>
      <c r="AL273" s="368"/>
      <c r="AM273" s="369"/>
      <c r="AN273" s="313">
        <f t="shared" si="107"/>
        <v>0</v>
      </c>
      <c r="AO273" s="308"/>
      <c r="AP273" s="309"/>
      <c r="AQ273" s="310">
        <f t="shared" si="108"/>
        <v>0</v>
      </c>
      <c r="AR273" s="368"/>
      <c r="AS273" s="369"/>
      <c r="AT273" s="313">
        <f t="shared" si="109"/>
        <v>0</v>
      </c>
      <c r="AU273" s="308"/>
      <c r="AV273" s="309"/>
      <c r="AW273" s="310">
        <f t="shared" si="110"/>
        <v>0</v>
      </c>
      <c r="AX273" s="368"/>
      <c r="AY273" s="369"/>
      <c r="AZ273" s="313">
        <f t="shared" si="111"/>
        <v>0</v>
      </c>
      <c r="BA273" s="308"/>
      <c r="BB273" s="309"/>
      <c r="BC273" s="310">
        <f t="shared" si="112"/>
        <v>0</v>
      </c>
      <c r="BD273" s="368"/>
      <c r="BE273" s="369"/>
      <c r="BF273" s="313">
        <f t="shared" si="113"/>
        <v>0</v>
      </c>
      <c r="BG273" s="308"/>
      <c r="BH273" s="309"/>
      <c r="BI273" s="310">
        <f t="shared" si="114"/>
        <v>0</v>
      </c>
      <c r="BJ273" s="368"/>
      <c r="BK273" s="369"/>
      <c r="BL273" s="313">
        <f t="shared" si="115"/>
        <v>0</v>
      </c>
      <c r="BM273" s="308"/>
      <c r="BN273" s="309"/>
      <c r="BO273" s="310">
        <f t="shared" si="116"/>
        <v>0</v>
      </c>
      <c r="BP273" s="368"/>
      <c r="BQ273" s="369"/>
      <c r="BR273" s="313">
        <f t="shared" si="117"/>
        <v>0</v>
      </c>
      <c r="BS273" s="308"/>
      <c r="BT273" s="309"/>
      <c r="BU273" s="310">
        <f t="shared" si="118"/>
        <v>0</v>
      </c>
      <c r="BV273" s="368"/>
      <c r="BW273" s="369"/>
      <c r="BX273" s="313">
        <f t="shared" si="119"/>
        <v>0</v>
      </c>
      <c r="BY273" s="383"/>
      <c r="BZ273" s="370"/>
      <c r="CA273" s="370"/>
      <c r="CB273" s="370"/>
    </row>
    <row r="274" spans="1:80" s="372" customFormat="1">
      <c r="A274" s="337" t="s">
        <v>407</v>
      </c>
      <c r="B274" s="338" t="s">
        <v>985</v>
      </c>
      <c r="C274" s="337">
        <v>160694</v>
      </c>
      <c r="D274" s="339">
        <v>14</v>
      </c>
      <c r="E274" s="308"/>
      <c r="F274" s="309"/>
      <c r="G274" s="310">
        <f t="shared" si="96"/>
        <v>0</v>
      </c>
      <c r="H274" s="368"/>
      <c r="I274" s="369"/>
      <c r="J274" s="313">
        <f t="shared" si="97"/>
        <v>0</v>
      </c>
      <c r="K274" s="308"/>
      <c r="L274" s="309"/>
      <c r="M274" s="310">
        <f t="shared" si="98"/>
        <v>0</v>
      </c>
      <c r="N274" s="368"/>
      <c r="O274" s="369"/>
      <c r="P274" s="313">
        <f t="shared" si="99"/>
        <v>0</v>
      </c>
      <c r="Q274" s="308"/>
      <c r="R274" s="309"/>
      <c r="S274" s="310">
        <f t="shared" si="100"/>
        <v>0</v>
      </c>
      <c r="T274" s="368"/>
      <c r="U274" s="369"/>
      <c r="V274" s="313">
        <f t="shared" si="101"/>
        <v>0</v>
      </c>
      <c r="W274" s="308"/>
      <c r="X274" s="309"/>
      <c r="Y274" s="310">
        <f t="shared" si="102"/>
        <v>0</v>
      </c>
      <c r="Z274" s="368"/>
      <c r="AA274" s="369"/>
      <c r="AB274" s="313">
        <f t="shared" si="103"/>
        <v>0</v>
      </c>
      <c r="AC274" s="308"/>
      <c r="AD274" s="309"/>
      <c r="AE274" s="310">
        <f t="shared" si="104"/>
        <v>0</v>
      </c>
      <c r="AF274" s="368"/>
      <c r="AG274" s="369"/>
      <c r="AH274" s="313">
        <f t="shared" si="105"/>
        <v>0</v>
      </c>
      <c r="AI274" s="308"/>
      <c r="AJ274" s="309"/>
      <c r="AK274" s="310">
        <f t="shared" si="106"/>
        <v>0</v>
      </c>
      <c r="AL274" s="368"/>
      <c r="AM274" s="369"/>
      <c r="AN274" s="313">
        <f t="shared" si="107"/>
        <v>0</v>
      </c>
      <c r="AO274" s="308"/>
      <c r="AP274" s="309"/>
      <c r="AQ274" s="310">
        <f t="shared" si="108"/>
        <v>0</v>
      </c>
      <c r="AR274" s="368"/>
      <c r="AS274" s="369"/>
      <c r="AT274" s="313">
        <f t="shared" si="109"/>
        <v>0</v>
      </c>
      <c r="AU274" s="308"/>
      <c r="AV274" s="309"/>
      <c r="AW274" s="310">
        <f t="shared" si="110"/>
        <v>0</v>
      </c>
      <c r="AX274" s="368"/>
      <c r="AY274" s="369"/>
      <c r="AZ274" s="313">
        <f t="shared" si="111"/>
        <v>0</v>
      </c>
      <c r="BA274" s="308"/>
      <c r="BB274" s="309"/>
      <c r="BC274" s="310">
        <f t="shared" si="112"/>
        <v>0</v>
      </c>
      <c r="BD274" s="368"/>
      <c r="BE274" s="369"/>
      <c r="BF274" s="313">
        <f t="shared" si="113"/>
        <v>0</v>
      </c>
      <c r="BG274" s="308"/>
      <c r="BH274" s="309"/>
      <c r="BI274" s="310">
        <f t="shared" si="114"/>
        <v>0</v>
      </c>
      <c r="BJ274" s="368"/>
      <c r="BK274" s="369"/>
      <c r="BL274" s="313">
        <f t="shared" si="115"/>
        <v>0</v>
      </c>
      <c r="BM274" s="308"/>
      <c r="BN274" s="309"/>
      <c r="BO274" s="310">
        <f t="shared" si="116"/>
        <v>0</v>
      </c>
      <c r="BP274" s="368"/>
      <c r="BQ274" s="369"/>
      <c r="BR274" s="313">
        <f t="shared" si="117"/>
        <v>0</v>
      </c>
      <c r="BS274" s="308"/>
      <c r="BT274" s="309"/>
      <c r="BU274" s="310">
        <f t="shared" si="118"/>
        <v>0</v>
      </c>
      <c r="BV274" s="368"/>
      <c r="BW274" s="369"/>
      <c r="BX274" s="313">
        <f t="shared" si="119"/>
        <v>0</v>
      </c>
      <c r="BY274" s="383"/>
      <c r="BZ274" s="370"/>
      <c r="CA274" s="370"/>
      <c r="CB274" s="370"/>
    </row>
    <row r="275" spans="1:80" s="372" customFormat="1">
      <c r="A275" s="337" t="s">
        <v>407</v>
      </c>
      <c r="B275" s="338" t="s">
        <v>986</v>
      </c>
      <c r="C275" s="337">
        <v>159267</v>
      </c>
      <c r="D275" s="339">
        <v>14</v>
      </c>
      <c r="E275" s="308"/>
      <c r="F275" s="309"/>
      <c r="G275" s="310">
        <f t="shared" si="96"/>
        <v>0</v>
      </c>
      <c r="H275" s="368"/>
      <c r="I275" s="369"/>
      <c r="J275" s="313">
        <f t="shared" si="97"/>
        <v>0</v>
      </c>
      <c r="K275" s="308"/>
      <c r="L275" s="309"/>
      <c r="M275" s="310">
        <f t="shared" si="98"/>
        <v>0</v>
      </c>
      <c r="N275" s="368"/>
      <c r="O275" s="369"/>
      <c r="P275" s="313">
        <f t="shared" si="99"/>
        <v>0</v>
      </c>
      <c r="Q275" s="308"/>
      <c r="R275" s="309"/>
      <c r="S275" s="310">
        <f t="shared" si="100"/>
        <v>0</v>
      </c>
      <c r="T275" s="368"/>
      <c r="U275" s="369"/>
      <c r="V275" s="313">
        <f t="shared" si="101"/>
        <v>0</v>
      </c>
      <c r="W275" s="308"/>
      <c r="X275" s="309"/>
      <c r="Y275" s="310">
        <f t="shared" si="102"/>
        <v>0</v>
      </c>
      <c r="Z275" s="368"/>
      <c r="AA275" s="369"/>
      <c r="AB275" s="313">
        <f t="shared" si="103"/>
        <v>0</v>
      </c>
      <c r="AC275" s="308"/>
      <c r="AD275" s="309"/>
      <c r="AE275" s="310">
        <f t="shared" si="104"/>
        <v>0</v>
      </c>
      <c r="AF275" s="368"/>
      <c r="AG275" s="369"/>
      <c r="AH275" s="313">
        <f t="shared" si="105"/>
        <v>0</v>
      </c>
      <c r="AI275" s="308"/>
      <c r="AJ275" s="309"/>
      <c r="AK275" s="310">
        <f t="shared" si="106"/>
        <v>0</v>
      </c>
      <c r="AL275" s="368"/>
      <c r="AM275" s="369"/>
      <c r="AN275" s="313">
        <f t="shared" si="107"/>
        <v>0</v>
      </c>
      <c r="AO275" s="308"/>
      <c r="AP275" s="309"/>
      <c r="AQ275" s="310">
        <f t="shared" si="108"/>
        <v>0</v>
      </c>
      <c r="AR275" s="368"/>
      <c r="AS275" s="369"/>
      <c r="AT275" s="313">
        <f t="shared" si="109"/>
        <v>0</v>
      </c>
      <c r="AU275" s="308"/>
      <c r="AV275" s="309"/>
      <c r="AW275" s="310">
        <f t="shared" si="110"/>
        <v>0</v>
      </c>
      <c r="AX275" s="368"/>
      <c r="AY275" s="369"/>
      <c r="AZ275" s="313">
        <f t="shared" si="111"/>
        <v>0</v>
      </c>
      <c r="BA275" s="308"/>
      <c r="BB275" s="309"/>
      <c r="BC275" s="310">
        <f t="shared" si="112"/>
        <v>0</v>
      </c>
      <c r="BD275" s="368"/>
      <c r="BE275" s="369"/>
      <c r="BF275" s="313">
        <f t="shared" si="113"/>
        <v>0</v>
      </c>
      <c r="BG275" s="308"/>
      <c r="BH275" s="309"/>
      <c r="BI275" s="310">
        <f t="shared" si="114"/>
        <v>0</v>
      </c>
      <c r="BJ275" s="368"/>
      <c r="BK275" s="369"/>
      <c r="BL275" s="313">
        <f t="shared" si="115"/>
        <v>0</v>
      </c>
      <c r="BM275" s="308"/>
      <c r="BN275" s="309"/>
      <c r="BO275" s="310">
        <f t="shared" si="116"/>
        <v>0</v>
      </c>
      <c r="BP275" s="368"/>
      <c r="BQ275" s="369"/>
      <c r="BR275" s="313">
        <f t="shared" si="117"/>
        <v>0</v>
      </c>
      <c r="BS275" s="308"/>
      <c r="BT275" s="309"/>
      <c r="BU275" s="310">
        <f t="shared" si="118"/>
        <v>0</v>
      </c>
      <c r="BV275" s="368"/>
      <c r="BW275" s="369"/>
      <c r="BX275" s="313">
        <f t="shared" si="119"/>
        <v>0</v>
      </c>
      <c r="BY275" s="383"/>
      <c r="BZ275" s="370"/>
      <c r="CA275" s="370"/>
      <c r="CB275" s="370"/>
    </row>
    <row r="276" spans="1:80" s="372" customFormat="1">
      <c r="A276" s="337" t="s">
        <v>407</v>
      </c>
      <c r="B276" s="338" t="s">
        <v>987</v>
      </c>
      <c r="C276" s="337">
        <v>160870</v>
      </c>
      <c r="D276" s="339">
        <v>14</v>
      </c>
      <c r="E276" s="308"/>
      <c r="F276" s="309"/>
      <c r="G276" s="310">
        <f t="shared" si="96"/>
        <v>0</v>
      </c>
      <c r="H276" s="368"/>
      <c r="I276" s="369"/>
      <c r="J276" s="313">
        <f t="shared" si="97"/>
        <v>0</v>
      </c>
      <c r="K276" s="308"/>
      <c r="L276" s="309"/>
      <c r="M276" s="310">
        <f t="shared" si="98"/>
        <v>0</v>
      </c>
      <c r="N276" s="368"/>
      <c r="O276" s="369"/>
      <c r="P276" s="313">
        <f t="shared" si="99"/>
        <v>0</v>
      </c>
      <c r="Q276" s="308"/>
      <c r="R276" s="309"/>
      <c r="S276" s="310">
        <f t="shared" si="100"/>
        <v>0</v>
      </c>
      <c r="T276" s="368"/>
      <c r="U276" s="369"/>
      <c r="V276" s="313">
        <f t="shared" si="101"/>
        <v>0</v>
      </c>
      <c r="W276" s="308"/>
      <c r="X276" s="309"/>
      <c r="Y276" s="310">
        <f t="shared" si="102"/>
        <v>0</v>
      </c>
      <c r="Z276" s="368"/>
      <c r="AA276" s="369"/>
      <c r="AB276" s="313">
        <f t="shared" si="103"/>
        <v>0</v>
      </c>
      <c r="AC276" s="308"/>
      <c r="AD276" s="309"/>
      <c r="AE276" s="310">
        <f t="shared" si="104"/>
        <v>0</v>
      </c>
      <c r="AF276" s="368"/>
      <c r="AG276" s="369"/>
      <c r="AH276" s="313">
        <f t="shared" si="105"/>
        <v>0</v>
      </c>
      <c r="AI276" s="308"/>
      <c r="AJ276" s="309"/>
      <c r="AK276" s="310">
        <f t="shared" si="106"/>
        <v>0</v>
      </c>
      <c r="AL276" s="368"/>
      <c r="AM276" s="369"/>
      <c r="AN276" s="313">
        <f t="shared" si="107"/>
        <v>0</v>
      </c>
      <c r="AO276" s="308"/>
      <c r="AP276" s="309"/>
      <c r="AQ276" s="310">
        <f t="shared" si="108"/>
        <v>0</v>
      </c>
      <c r="AR276" s="368"/>
      <c r="AS276" s="369"/>
      <c r="AT276" s="313">
        <f t="shared" si="109"/>
        <v>0</v>
      </c>
      <c r="AU276" s="308"/>
      <c r="AV276" s="309"/>
      <c r="AW276" s="310">
        <f t="shared" si="110"/>
        <v>0</v>
      </c>
      <c r="AX276" s="368"/>
      <c r="AY276" s="369"/>
      <c r="AZ276" s="313">
        <f t="shared" si="111"/>
        <v>0</v>
      </c>
      <c r="BA276" s="308"/>
      <c r="BB276" s="309"/>
      <c r="BC276" s="310">
        <f t="shared" si="112"/>
        <v>0</v>
      </c>
      <c r="BD276" s="368"/>
      <c r="BE276" s="369"/>
      <c r="BF276" s="313">
        <f t="shared" si="113"/>
        <v>0</v>
      </c>
      <c r="BG276" s="308"/>
      <c r="BH276" s="309"/>
      <c r="BI276" s="310">
        <f t="shared" si="114"/>
        <v>0</v>
      </c>
      <c r="BJ276" s="368"/>
      <c r="BK276" s="369"/>
      <c r="BL276" s="313">
        <f t="shared" si="115"/>
        <v>0</v>
      </c>
      <c r="BM276" s="308"/>
      <c r="BN276" s="309"/>
      <c r="BO276" s="310">
        <f t="shared" si="116"/>
        <v>0</v>
      </c>
      <c r="BP276" s="368"/>
      <c r="BQ276" s="369"/>
      <c r="BR276" s="313">
        <f t="shared" si="117"/>
        <v>0</v>
      </c>
      <c r="BS276" s="308"/>
      <c r="BT276" s="309"/>
      <c r="BU276" s="310">
        <f t="shared" si="118"/>
        <v>0</v>
      </c>
      <c r="BV276" s="368"/>
      <c r="BW276" s="369"/>
      <c r="BX276" s="313">
        <f t="shared" si="119"/>
        <v>0</v>
      </c>
      <c r="BY276" s="383"/>
      <c r="BZ276" s="370"/>
      <c r="CA276" s="370"/>
      <c r="CB276" s="370"/>
    </row>
    <row r="277" spans="1:80" s="372" customFormat="1">
      <c r="A277" s="337" t="s">
        <v>407</v>
      </c>
      <c r="B277" s="338" t="s">
        <v>988</v>
      </c>
      <c r="C277" s="337">
        <v>160913</v>
      </c>
      <c r="D277" s="339">
        <v>14</v>
      </c>
      <c r="E277" s="308"/>
      <c r="F277" s="309"/>
      <c r="G277" s="310">
        <f t="shared" si="96"/>
        <v>0</v>
      </c>
      <c r="H277" s="368"/>
      <c r="I277" s="369"/>
      <c r="J277" s="313">
        <f t="shared" si="97"/>
        <v>0</v>
      </c>
      <c r="K277" s="308"/>
      <c r="L277" s="309"/>
      <c r="M277" s="310">
        <f t="shared" si="98"/>
        <v>0</v>
      </c>
      <c r="N277" s="368"/>
      <c r="O277" s="369"/>
      <c r="P277" s="313">
        <f t="shared" si="99"/>
        <v>0</v>
      </c>
      <c r="Q277" s="308"/>
      <c r="R277" s="309"/>
      <c r="S277" s="310">
        <f t="shared" si="100"/>
        <v>0</v>
      </c>
      <c r="T277" s="368"/>
      <c r="U277" s="369"/>
      <c r="V277" s="313">
        <f t="shared" si="101"/>
        <v>0</v>
      </c>
      <c r="W277" s="308"/>
      <c r="X277" s="309"/>
      <c r="Y277" s="310">
        <f t="shared" si="102"/>
        <v>0</v>
      </c>
      <c r="Z277" s="368"/>
      <c r="AA277" s="369"/>
      <c r="AB277" s="313">
        <f t="shared" si="103"/>
        <v>0</v>
      </c>
      <c r="AC277" s="308"/>
      <c r="AD277" s="309"/>
      <c r="AE277" s="310">
        <f t="shared" si="104"/>
        <v>0</v>
      </c>
      <c r="AF277" s="368"/>
      <c r="AG277" s="369"/>
      <c r="AH277" s="313">
        <f t="shared" si="105"/>
        <v>0</v>
      </c>
      <c r="AI277" s="308"/>
      <c r="AJ277" s="309"/>
      <c r="AK277" s="310">
        <f t="shared" si="106"/>
        <v>0</v>
      </c>
      <c r="AL277" s="368"/>
      <c r="AM277" s="369"/>
      <c r="AN277" s="313">
        <f t="shared" si="107"/>
        <v>0</v>
      </c>
      <c r="AO277" s="308"/>
      <c r="AP277" s="309"/>
      <c r="AQ277" s="310">
        <f t="shared" si="108"/>
        <v>0</v>
      </c>
      <c r="AR277" s="368"/>
      <c r="AS277" s="369"/>
      <c r="AT277" s="313">
        <f t="shared" si="109"/>
        <v>0</v>
      </c>
      <c r="AU277" s="308"/>
      <c r="AV277" s="309"/>
      <c r="AW277" s="310">
        <f t="shared" si="110"/>
        <v>0</v>
      </c>
      <c r="AX277" s="368"/>
      <c r="AY277" s="369"/>
      <c r="AZ277" s="313">
        <f t="shared" si="111"/>
        <v>0</v>
      </c>
      <c r="BA277" s="308"/>
      <c r="BB277" s="309"/>
      <c r="BC277" s="310">
        <f t="shared" si="112"/>
        <v>0</v>
      </c>
      <c r="BD277" s="368"/>
      <c r="BE277" s="369"/>
      <c r="BF277" s="313">
        <f t="shared" si="113"/>
        <v>0</v>
      </c>
      <c r="BG277" s="308"/>
      <c r="BH277" s="309"/>
      <c r="BI277" s="310">
        <f t="shared" si="114"/>
        <v>0</v>
      </c>
      <c r="BJ277" s="368"/>
      <c r="BK277" s="369"/>
      <c r="BL277" s="313">
        <f t="shared" si="115"/>
        <v>0</v>
      </c>
      <c r="BM277" s="308"/>
      <c r="BN277" s="309"/>
      <c r="BO277" s="310">
        <f t="shared" si="116"/>
        <v>0</v>
      </c>
      <c r="BP277" s="368"/>
      <c r="BQ277" s="369"/>
      <c r="BR277" s="313">
        <f t="shared" si="117"/>
        <v>0</v>
      </c>
      <c r="BS277" s="308"/>
      <c r="BT277" s="309"/>
      <c r="BU277" s="310">
        <f t="shared" si="118"/>
        <v>0</v>
      </c>
      <c r="BV277" s="368"/>
      <c r="BW277" s="369"/>
      <c r="BX277" s="313">
        <f t="shared" si="119"/>
        <v>0</v>
      </c>
      <c r="BY277" s="383"/>
      <c r="BZ277" s="370"/>
      <c r="CA277" s="370"/>
      <c r="CB277" s="370"/>
    </row>
    <row r="278" spans="1:80">
      <c r="A278" s="325" t="s">
        <v>443</v>
      </c>
      <c r="B278" s="326" t="s">
        <v>862</v>
      </c>
      <c r="C278" s="325">
        <v>163286</v>
      </c>
      <c r="D278" s="327">
        <v>1</v>
      </c>
      <c r="E278" s="308">
        <v>377</v>
      </c>
      <c r="F278" s="309">
        <v>124307.31830238727</v>
      </c>
      <c r="G278" s="310">
        <f t="shared" si="96"/>
        <v>46863859</v>
      </c>
      <c r="H278" s="328">
        <v>373</v>
      </c>
      <c r="I278" s="329">
        <v>129913.75871313673</v>
      </c>
      <c r="J278" s="313">
        <f t="shared" si="97"/>
        <v>48457832</v>
      </c>
      <c r="K278" s="308">
        <v>307</v>
      </c>
      <c r="L278" s="309">
        <v>87740.723127035832</v>
      </c>
      <c r="M278" s="310">
        <f t="shared" si="98"/>
        <v>26936402</v>
      </c>
      <c r="N278" s="330">
        <v>315</v>
      </c>
      <c r="O278" s="329">
        <v>93273.53333333334</v>
      </c>
      <c r="P278" s="313">
        <f t="shared" si="99"/>
        <v>29381163.000000004</v>
      </c>
      <c r="Q278" s="308">
        <v>233</v>
      </c>
      <c r="R278" s="309">
        <v>76895.502145922743</v>
      </c>
      <c r="S278" s="310">
        <f t="shared" si="100"/>
        <v>17916652</v>
      </c>
      <c r="T278" s="330">
        <v>264</v>
      </c>
      <c r="U278" s="329">
        <v>82733.90151515152</v>
      </c>
      <c r="V278" s="313">
        <f t="shared" si="101"/>
        <v>21841750</v>
      </c>
      <c r="W278" s="308">
        <v>13</v>
      </c>
      <c r="X278" s="309">
        <v>56617.769230769234</v>
      </c>
      <c r="Y278" s="310">
        <f t="shared" si="102"/>
        <v>736031</v>
      </c>
      <c r="Z278" s="330">
        <v>14</v>
      </c>
      <c r="AA278" s="329">
        <v>58507.928571428572</v>
      </c>
      <c r="AB278" s="313">
        <f t="shared" si="103"/>
        <v>819111</v>
      </c>
      <c r="AC278" s="308">
        <v>173</v>
      </c>
      <c r="AD278" s="309">
        <v>56596.98265895954</v>
      </c>
      <c r="AE278" s="310">
        <f t="shared" si="104"/>
        <v>9791278</v>
      </c>
      <c r="AF278" s="330">
        <v>176</v>
      </c>
      <c r="AG278" s="329">
        <v>60738.05113636364</v>
      </c>
      <c r="AH278" s="313">
        <f t="shared" si="105"/>
        <v>10689897</v>
      </c>
      <c r="AI278" s="308"/>
      <c r="AJ278" s="309"/>
      <c r="AK278" s="310">
        <f t="shared" si="106"/>
        <v>0</v>
      </c>
      <c r="AL278" s="311"/>
      <c r="AM278" s="312"/>
      <c r="AN278" s="313">
        <f t="shared" si="107"/>
        <v>0</v>
      </c>
      <c r="AO278" s="308">
        <v>273</v>
      </c>
      <c r="AP278" s="309">
        <v>154872.17216117217</v>
      </c>
      <c r="AQ278" s="310">
        <f t="shared" si="108"/>
        <v>34593580.274599999</v>
      </c>
      <c r="AR278" s="330">
        <v>271</v>
      </c>
      <c r="AS278" s="329">
        <v>168951.68265682657</v>
      </c>
      <c r="AT278" s="313">
        <f t="shared" si="109"/>
        <v>37462028.2892</v>
      </c>
      <c r="AU278" s="308">
        <v>105</v>
      </c>
      <c r="AV278" s="309">
        <v>115626.93333333333</v>
      </c>
      <c r="AW278" s="310">
        <f t="shared" si="110"/>
        <v>9933625.4696000014</v>
      </c>
      <c r="AX278" s="330">
        <v>108</v>
      </c>
      <c r="AY278" s="329">
        <v>121694.10185185185</v>
      </c>
      <c r="AZ278" s="313">
        <f t="shared" si="111"/>
        <v>10753572.3266</v>
      </c>
      <c r="BA278" s="308">
        <v>56</v>
      </c>
      <c r="BB278" s="309">
        <v>87252.821428571435</v>
      </c>
      <c r="BC278" s="310">
        <f t="shared" si="112"/>
        <v>3997854.4756</v>
      </c>
      <c r="BD278" s="330">
        <v>50</v>
      </c>
      <c r="BE278" s="329">
        <v>106480.12</v>
      </c>
      <c r="BF278" s="313">
        <f t="shared" si="113"/>
        <v>4356101.7092000004</v>
      </c>
      <c r="BG278" s="308">
        <v>8</v>
      </c>
      <c r="BH278" s="309">
        <v>66075.5</v>
      </c>
      <c r="BI278" s="310">
        <f t="shared" si="114"/>
        <v>432503.7928</v>
      </c>
      <c r="BJ278" s="330">
        <v>8</v>
      </c>
      <c r="BK278" s="329">
        <v>74532.875</v>
      </c>
      <c r="BL278" s="313">
        <f t="shared" si="115"/>
        <v>487862.38660000003</v>
      </c>
      <c r="BM278" s="308">
        <v>52</v>
      </c>
      <c r="BN278" s="309">
        <v>64019.711538461539</v>
      </c>
      <c r="BO278" s="310">
        <f t="shared" si="116"/>
        <v>2723808.2550000004</v>
      </c>
      <c r="BP278" s="330">
        <v>63</v>
      </c>
      <c r="BQ278" s="329">
        <v>64290.30158730159</v>
      </c>
      <c r="BR278" s="313">
        <f t="shared" si="117"/>
        <v>3313946.4598000003</v>
      </c>
      <c r="BS278" s="308"/>
      <c r="BT278" s="309"/>
      <c r="BU278" s="310">
        <f t="shared" si="118"/>
        <v>0</v>
      </c>
      <c r="BV278" s="311"/>
      <c r="BW278" s="312"/>
      <c r="BX278" s="313">
        <f t="shared" si="119"/>
        <v>0</v>
      </c>
    </row>
    <row r="279" spans="1:80">
      <c r="A279" s="325" t="s">
        <v>443</v>
      </c>
      <c r="B279" s="326" t="s">
        <v>863</v>
      </c>
      <c r="C279" s="325">
        <v>163268</v>
      </c>
      <c r="D279" s="327">
        <v>2</v>
      </c>
      <c r="E279" s="308">
        <v>100</v>
      </c>
      <c r="F279" s="309">
        <v>103942.78</v>
      </c>
      <c r="G279" s="310">
        <f t="shared" si="96"/>
        <v>10394278</v>
      </c>
      <c r="H279" s="328">
        <v>100</v>
      </c>
      <c r="I279" s="329">
        <v>106521</v>
      </c>
      <c r="J279" s="313">
        <f t="shared" si="97"/>
        <v>10652100</v>
      </c>
      <c r="K279" s="308">
        <v>119</v>
      </c>
      <c r="L279" s="309">
        <v>73206.957983193279</v>
      </c>
      <c r="M279" s="310">
        <f t="shared" si="98"/>
        <v>8711628</v>
      </c>
      <c r="N279" s="330">
        <v>124</v>
      </c>
      <c r="O279" s="329">
        <v>79594</v>
      </c>
      <c r="P279" s="313">
        <f t="shared" si="99"/>
        <v>9869656</v>
      </c>
      <c r="Q279" s="308">
        <v>103</v>
      </c>
      <c r="R279" s="309">
        <v>64524.184466019418</v>
      </c>
      <c r="S279" s="310">
        <f t="shared" si="100"/>
        <v>6645991</v>
      </c>
      <c r="T279" s="330">
        <v>99</v>
      </c>
      <c r="U279" s="329">
        <v>66778</v>
      </c>
      <c r="V279" s="313">
        <f t="shared" si="101"/>
        <v>6611022</v>
      </c>
      <c r="W279" s="308">
        <v>12</v>
      </c>
      <c r="X279" s="309">
        <v>45350</v>
      </c>
      <c r="Y279" s="310">
        <f t="shared" si="102"/>
        <v>544200</v>
      </c>
      <c r="Z279" s="330">
        <v>7</v>
      </c>
      <c r="AA279" s="329">
        <v>49105</v>
      </c>
      <c r="AB279" s="313">
        <f t="shared" si="103"/>
        <v>343735</v>
      </c>
      <c r="AC279" s="308">
        <v>55</v>
      </c>
      <c r="AD279" s="309">
        <v>45130.090909090912</v>
      </c>
      <c r="AE279" s="310">
        <f t="shared" si="104"/>
        <v>2482155</v>
      </c>
      <c r="AF279" s="330">
        <v>67</v>
      </c>
      <c r="AG279" s="329">
        <v>53324</v>
      </c>
      <c r="AH279" s="313">
        <f t="shared" si="105"/>
        <v>3572708</v>
      </c>
      <c r="AI279" s="308"/>
      <c r="AJ279" s="309"/>
      <c r="AK279" s="310">
        <f t="shared" si="106"/>
        <v>0</v>
      </c>
      <c r="AL279" s="311"/>
      <c r="AM279" s="312"/>
      <c r="AN279" s="313">
        <f t="shared" si="107"/>
        <v>0</v>
      </c>
      <c r="AO279" s="308">
        <v>40</v>
      </c>
      <c r="AP279" s="309">
        <v>161231.20000000001</v>
      </c>
      <c r="AQ279" s="310">
        <f t="shared" si="108"/>
        <v>5276774.7136000004</v>
      </c>
      <c r="AR279" s="330">
        <v>38</v>
      </c>
      <c r="AS279" s="329">
        <v>171818</v>
      </c>
      <c r="AT279" s="313">
        <f t="shared" si="109"/>
        <v>5342096.5288000004</v>
      </c>
      <c r="AU279" s="308">
        <v>25</v>
      </c>
      <c r="AV279" s="309">
        <v>95038.88</v>
      </c>
      <c r="AW279" s="310">
        <f t="shared" si="110"/>
        <v>1944020.2904000001</v>
      </c>
      <c r="AX279" s="330">
        <v>30</v>
      </c>
      <c r="AY279" s="329">
        <v>96440</v>
      </c>
      <c r="AZ279" s="313">
        <f t="shared" si="111"/>
        <v>2367216.2400000002</v>
      </c>
      <c r="BA279" s="308">
        <v>10</v>
      </c>
      <c r="BB279" s="309">
        <v>84161.8</v>
      </c>
      <c r="BC279" s="310">
        <f t="shared" si="112"/>
        <v>688611.84759999998</v>
      </c>
      <c r="BD279" s="330">
        <v>8</v>
      </c>
      <c r="BE279" s="329">
        <v>79048</v>
      </c>
      <c r="BF279" s="313">
        <f t="shared" si="113"/>
        <v>517416.58880000003</v>
      </c>
      <c r="BG279" s="308">
        <v>5</v>
      </c>
      <c r="BH279" s="309">
        <v>67703</v>
      </c>
      <c r="BI279" s="310">
        <f t="shared" si="114"/>
        <v>276972.973</v>
      </c>
      <c r="BJ279" s="330">
        <v>5</v>
      </c>
      <c r="BK279" s="329">
        <v>69249</v>
      </c>
      <c r="BL279" s="313">
        <f t="shared" si="115"/>
        <v>283297.65899999999</v>
      </c>
      <c r="BM279" s="308">
        <v>4</v>
      </c>
      <c r="BN279" s="309">
        <v>58491.25</v>
      </c>
      <c r="BO279" s="310">
        <f t="shared" si="116"/>
        <v>191430.163</v>
      </c>
      <c r="BP279" s="330">
        <v>5</v>
      </c>
      <c r="BQ279" s="329">
        <v>65557</v>
      </c>
      <c r="BR279" s="313">
        <f t="shared" si="117"/>
        <v>268193.68700000003</v>
      </c>
      <c r="BS279" s="308"/>
      <c r="BT279" s="309"/>
      <c r="BU279" s="310">
        <f t="shared" si="118"/>
        <v>0</v>
      </c>
      <c r="BV279" s="311"/>
      <c r="BW279" s="312"/>
      <c r="BX279" s="313">
        <f t="shared" si="119"/>
        <v>0</v>
      </c>
    </row>
    <row r="280" spans="1:80">
      <c r="A280" s="325" t="s">
        <v>443</v>
      </c>
      <c r="B280" s="419" t="s">
        <v>867</v>
      </c>
      <c r="C280" s="420">
        <v>163453</v>
      </c>
      <c r="D280" s="421">
        <v>3</v>
      </c>
      <c r="E280" s="308">
        <v>29</v>
      </c>
      <c r="F280" s="309">
        <v>92836.241379310348</v>
      </c>
      <c r="G280" s="310">
        <f t="shared" si="96"/>
        <v>2692251</v>
      </c>
      <c r="H280" s="328">
        <v>28</v>
      </c>
      <c r="I280" s="329">
        <v>96847.46428571429</v>
      </c>
      <c r="J280" s="313">
        <f t="shared" si="97"/>
        <v>2711729</v>
      </c>
      <c r="K280" s="308">
        <v>90</v>
      </c>
      <c r="L280" s="309">
        <v>75795.788888888885</v>
      </c>
      <c r="M280" s="310">
        <f t="shared" si="98"/>
        <v>6821621</v>
      </c>
      <c r="N280" s="330">
        <v>88</v>
      </c>
      <c r="O280" s="329">
        <v>79963.931818181823</v>
      </c>
      <c r="P280" s="313">
        <f t="shared" si="99"/>
        <v>7036826</v>
      </c>
      <c r="Q280" s="308">
        <v>119</v>
      </c>
      <c r="R280" s="309">
        <v>64811.403361344535</v>
      </c>
      <c r="S280" s="310">
        <f t="shared" si="100"/>
        <v>7712557</v>
      </c>
      <c r="T280" s="330">
        <v>109</v>
      </c>
      <c r="U280" s="329">
        <v>66819.486238532103</v>
      </c>
      <c r="V280" s="313">
        <f t="shared" si="101"/>
        <v>7283323.9999999991</v>
      </c>
      <c r="W280" s="308">
        <v>12</v>
      </c>
      <c r="X280" s="309">
        <v>51476.5</v>
      </c>
      <c r="Y280" s="310">
        <f t="shared" si="102"/>
        <v>617718</v>
      </c>
      <c r="Z280" s="330">
        <v>6</v>
      </c>
      <c r="AA280" s="329">
        <v>52189.833333333336</v>
      </c>
      <c r="AB280" s="313">
        <f t="shared" si="103"/>
        <v>313139</v>
      </c>
      <c r="AC280" s="308">
        <v>135</v>
      </c>
      <c r="AD280" s="309">
        <v>41844.392592592594</v>
      </c>
      <c r="AE280" s="310">
        <f t="shared" si="104"/>
        <v>5648993</v>
      </c>
      <c r="AF280" s="330">
        <v>155</v>
      </c>
      <c r="AG280" s="329">
        <v>44115.180645161294</v>
      </c>
      <c r="AH280" s="313">
        <f t="shared" si="105"/>
        <v>6837853.0000000009</v>
      </c>
      <c r="AI280" s="308"/>
      <c r="AJ280" s="309"/>
      <c r="AK280" s="310">
        <f t="shared" si="106"/>
        <v>0</v>
      </c>
      <c r="AL280" s="311"/>
      <c r="AM280" s="312"/>
      <c r="AN280" s="313">
        <f t="shared" si="107"/>
        <v>0</v>
      </c>
      <c r="AO280" s="308">
        <v>16</v>
      </c>
      <c r="AP280" s="309">
        <v>115060.25</v>
      </c>
      <c r="AQ280" s="310">
        <f t="shared" si="108"/>
        <v>1506276.7448</v>
      </c>
      <c r="AR280" s="330">
        <v>21</v>
      </c>
      <c r="AS280" s="329">
        <v>121140.14285714286</v>
      </c>
      <c r="AT280" s="313">
        <f t="shared" si="109"/>
        <v>2081454.1626000002</v>
      </c>
      <c r="AU280" s="308">
        <v>17</v>
      </c>
      <c r="AV280" s="309">
        <v>102329</v>
      </c>
      <c r="AW280" s="310">
        <f t="shared" si="110"/>
        <v>1423334.9926</v>
      </c>
      <c r="AX280" s="330">
        <v>18</v>
      </c>
      <c r="AY280" s="329">
        <v>103906.55555555556</v>
      </c>
      <c r="AZ280" s="313">
        <f t="shared" si="111"/>
        <v>1530294.1876000001</v>
      </c>
      <c r="BA280" s="308">
        <v>4</v>
      </c>
      <c r="BB280" s="309">
        <v>85975.75</v>
      </c>
      <c r="BC280" s="310">
        <f t="shared" si="112"/>
        <v>281381.43460000004</v>
      </c>
      <c r="BD280" s="330">
        <v>7</v>
      </c>
      <c r="BE280" s="329">
        <v>84676.571428571435</v>
      </c>
      <c r="BF280" s="313">
        <f t="shared" si="113"/>
        <v>484976.59520000004</v>
      </c>
      <c r="BG280" s="308">
        <v>0</v>
      </c>
      <c r="BH280" s="309">
        <v>0</v>
      </c>
      <c r="BI280" s="310">
        <f t="shared" si="114"/>
        <v>0</v>
      </c>
      <c r="BJ280" s="330"/>
      <c r="BK280" s="331"/>
      <c r="BL280" s="313">
        <f t="shared" si="115"/>
        <v>0</v>
      </c>
      <c r="BM280" s="308">
        <v>3</v>
      </c>
      <c r="BN280" s="309">
        <v>66147.666666666672</v>
      </c>
      <c r="BO280" s="310">
        <f t="shared" si="116"/>
        <v>162366.0626</v>
      </c>
      <c r="BP280" s="330">
        <v>4</v>
      </c>
      <c r="BQ280" s="329">
        <v>44429.25</v>
      </c>
      <c r="BR280" s="313">
        <f t="shared" si="117"/>
        <v>145408.04940000002</v>
      </c>
      <c r="BS280" s="308"/>
      <c r="BT280" s="309"/>
      <c r="BU280" s="310">
        <f t="shared" si="118"/>
        <v>0</v>
      </c>
      <c r="BV280" s="311"/>
      <c r="BW280" s="312"/>
      <c r="BX280" s="313">
        <f t="shared" si="119"/>
        <v>0</v>
      </c>
    </row>
    <row r="281" spans="1:80">
      <c r="A281" s="325" t="s">
        <v>443</v>
      </c>
      <c r="B281" s="326" t="s">
        <v>864</v>
      </c>
      <c r="C281" s="325">
        <v>164076</v>
      </c>
      <c r="D281" s="325">
        <v>3</v>
      </c>
      <c r="E281" s="308">
        <v>132</v>
      </c>
      <c r="F281" s="309">
        <v>87998.409090909088</v>
      </c>
      <c r="G281" s="310">
        <f t="shared" si="96"/>
        <v>11615790</v>
      </c>
      <c r="H281" s="328">
        <v>146</v>
      </c>
      <c r="I281" s="329">
        <v>90289.57534246576</v>
      </c>
      <c r="J281" s="313">
        <f t="shared" si="97"/>
        <v>13182278</v>
      </c>
      <c r="K281" s="308">
        <v>137</v>
      </c>
      <c r="L281" s="309">
        <v>70968.948905109486</v>
      </c>
      <c r="M281" s="310">
        <f t="shared" si="98"/>
        <v>9722746</v>
      </c>
      <c r="N281" s="330">
        <v>153</v>
      </c>
      <c r="O281" s="329">
        <v>73082.973856209152</v>
      </c>
      <c r="P281" s="313">
        <f t="shared" si="99"/>
        <v>11181695</v>
      </c>
      <c r="Q281" s="308">
        <v>242</v>
      </c>
      <c r="R281" s="309">
        <v>59166.17768595041</v>
      </c>
      <c r="S281" s="310">
        <f t="shared" si="100"/>
        <v>14318215</v>
      </c>
      <c r="T281" s="330">
        <v>266</v>
      </c>
      <c r="U281" s="329">
        <v>61063.42105263158</v>
      </c>
      <c r="V281" s="313">
        <f t="shared" si="101"/>
        <v>16242870</v>
      </c>
      <c r="W281" s="308">
        <v>27</v>
      </c>
      <c r="X281" s="309">
        <v>55915.296296296299</v>
      </c>
      <c r="Y281" s="310">
        <f t="shared" si="102"/>
        <v>1509713</v>
      </c>
      <c r="Z281" s="330">
        <v>21</v>
      </c>
      <c r="AA281" s="329">
        <v>49037.047619047618</v>
      </c>
      <c r="AB281" s="313">
        <f t="shared" si="103"/>
        <v>1029778</v>
      </c>
      <c r="AC281" s="308">
        <v>144</v>
      </c>
      <c r="AD281" s="309">
        <v>37614.493055555555</v>
      </c>
      <c r="AE281" s="310">
        <f t="shared" si="104"/>
        <v>5416487</v>
      </c>
      <c r="AF281" s="330">
        <v>158</v>
      </c>
      <c r="AG281" s="329">
        <v>39635.531645569623</v>
      </c>
      <c r="AH281" s="313">
        <f t="shared" si="105"/>
        <v>6262414</v>
      </c>
      <c r="AI281" s="308"/>
      <c r="AJ281" s="309"/>
      <c r="AK281" s="310">
        <f t="shared" si="106"/>
        <v>0</v>
      </c>
      <c r="AL281" s="311"/>
      <c r="AM281" s="312"/>
      <c r="AN281" s="313">
        <f t="shared" si="107"/>
        <v>0</v>
      </c>
      <c r="AO281" s="308">
        <v>33</v>
      </c>
      <c r="AP281" s="309">
        <v>108089.9696969697</v>
      </c>
      <c r="AQ281" s="310">
        <f t="shared" si="108"/>
        <v>2918494.0358000002</v>
      </c>
      <c r="AR281" s="330">
        <v>31</v>
      </c>
      <c r="AS281" s="329">
        <v>111643.51612903226</v>
      </c>
      <c r="AT281" s="313">
        <f t="shared" si="109"/>
        <v>2831748.4717999999</v>
      </c>
      <c r="AU281" s="308">
        <v>10</v>
      </c>
      <c r="AV281" s="309">
        <v>98398.2</v>
      </c>
      <c r="AW281" s="310">
        <f t="shared" si="110"/>
        <v>805094.07240000006</v>
      </c>
      <c r="AX281" s="330">
        <v>11</v>
      </c>
      <c r="AY281" s="329">
        <v>106166.72727272728</v>
      </c>
      <c r="AZ281" s="313">
        <f t="shared" si="111"/>
        <v>955521.77880000009</v>
      </c>
      <c r="BA281" s="308">
        <v>2</v>
      </c>
      <c r="BB281" s="309">
        <v>80824.5</v>
      </c>
      <c r="BC281" s="310">
        <f t="shared" si="112"/>
        <v>132261.21180000002</v>
      </c>
      <c r="BD281" s="330">
        <v>2</v>
      </c>
      <c r="BE281" s="329">
        <v>71908</v>
      </c>
      <c r="BF281" s="313">
        <f t="shared" si="113"/>
        <v>117670.2512</v>
      </c>
      <c r="BG281" s="308">
        <v>1</v>
      </c>
      <c r="BH281" s="309">
        <v>42000</v>
      </c>
      <c r="BI281" s="310">
        <f t="shared" si="114"/>
        <v>34364.400000000001</v>
      </c>
      <c r="BJ281" s="330"/>
      <c r="BK281" s="331"/>
      <c r="BL281" s="313">
        <f t="shared" si="115"/>
        <v>0</v>
      </c>
      <c r="BM281" s="308">
        <v>0</v>
      </c>
      <c r="BN281" s="309">
        <v>0</v>
      </c>
      <c r="BO281" s="310">
        <f t="shared" si="116"/>
        <v>0</v>
      </c>
      <c r="BP281" s="330"/>
      <c r="BQ281" s="331"/>
      <c r="BR281" s="313">
        <f t="shared" si="117"/>
        <v>0</v>
      </c>
      <c r="BS281" s="308"/>
      <c r="BT281" s="309"/>
      <c r="BU281" s="310">
        <f t="shared" si="118"/>
        <v>0</v>
      </c>
      <c r="BV281" s="311"/>
      <c r="BW281" s="312"/>
      <c r="BX281" s="313">
        <f t="shared" si="119"/>
        <v>0</v>
      </c>
    </row>
    <row r="282" spans="1:80">
      <c r="A282" s="325" t="s">
        <v>443</v>
      </c>
      <c r="B282" s="326" t="s">
        <v>865</v>
      </c>
      <c r="C282" s="325">
        <v>162007</v>
      </c>
      <c r="D282" s="327">
        <v>4</v>
      </c>
      <c r="E282" s="308">
        <v>27</v>
      </c>
      <c r="F282" s="309">
        <v>86963.074074074073</v>
      </c>
      <c r="G282" s="310">
        <f t="shared" si="96"/>
        <v>2348003</v>
      </c>
      <c r="H282" s="328">
        <v>27</v>
      </c>
      <c r="I282" s="329">
        <v>89698.629629629635</v>
      </c>
      <c r="J282" s="313">
        <f t="shared" si="97"/>
        <v>2421863</v>
      </c>
      <c r="K282" s="308">
        <v>33</v>
      </c>
      <c r="L282" s="309">
        <v>65127.181818181816</v>
      </c>
      <c r="M282" s="310">
        <f t="shared" si="98"/>
        <v>2149197</v>
      </c>
      <c r="N282" s="330">
        <v>27</v>
      </c>
      <c r="O282" s="329">
        <v>71691.037037037036</v>
      </c>
      <c r="P282" s="313">
        <f t="shared" si="99"/>
        <v>1935658</v>
      </c>
      <c r="Q282" s="308">
        <v>85</v>
      </c>
      <c r="R282" s="309">
        <v>59210.564705882352</v>
      </c>
      <c r="S282" s="310">
        <f t="shared" si="100"/>
        <v>5032898</v>
      </c>
      <c r="T282" s="330">
        <v>80</v>
      </c>
      <c r="U282" s="329">
        <v>62084.074999999997</v>
      </c>
      <c r="V282" s="313">
        <f t="shared" si="101"/>
        <v>4966726</v>
      </c>
      <c r="W282" s="308">
        <v>3</v>
      </c>
      <c r="X282" s="309">
        <v>58635</v>
      </c>
      <c r="Y282" s="310">
        <f t="shared" si="102"/>
        <v>175905</v>
      </c>
      <c r="Z282" s="330">
        <v>3</v>
      </c>
      <c r="AA282" s="329">
        <v>62025.333333333336</v>
      </c>
      <c r="AB282" s="313">
        <f t="shared" si="103"/>
        <v>186076</v>
      </c>
      <c r="AC282" s="308">
        <v>52</v>
      </c>
      <c r="AD282" s="309">
        <v>52359.192307692305</v>
      </c>
      <c r="AE282" s="310">
        <f t="shared" si="104"/>
        <v>2722678</v>
      </c>
      <c r="AF282" s="330">
        <v>67</v>
      </c>
      <c r="AG282" s="329">
        <v>54996.044776119401</v>
      </c>
      <c r="AH282" s="313">
        <f t="shared" si="105"/>
        <v>3684735</v>
      </c>
      <c r="AI282" s="308"/>
      <c r="AJ282" s="309"/>
      <c r="AK282" s="310">
        <f t="shared" si="106"/>
        <v>0</v>
      </c>
      <c r="AL282" s="311"/>
      <c r="AM282" s="312"/>
      <c r="AN282" s="313">
        <f t="shared" si="107"/>
        <v>0</v>
      </c>
      <c r="AO282" s="308">
        <v>6</v>
      </c>
      <c r="AP282" s="309">
        <v>97563.666666666672</v>
      </c>
      <c r="AQ282" s="310">
        <f t="shared" si="108"/>
        <v>478959.55240000004</v>
      </c>
      <c r="AR282" s="330">
        <v>5</v>
      </c>
      <c r="AS282" s="329">
        <v>111881.2</v>
      </c>
      <c r="AT282" s="313">
        <f t="shared" si="109"/>
        <v>457705.98920000001</v>
      </c>
      <c r="AU282" s="308">
        <v>5</v>
      </c>
      <c r="AV282" s="309">
        <v>83215.199999999997</v>
      </c>
      <c r="AW282" s="310">
        <f t="shared" si="110"/>
        <v>340433.38320000004</v>
      </c>
      <c r="AX282" s="330">
        <v>4</v>
      </c>
      <c r="AY282" s="329">
        <v>85786.5</v>
      </c>
      <c r="AZ282" s="313">
        <f t="shared" si="111"/>
        <v>280762.05720000004</v>
      </c>
      <c r="BA282" s="308">
        <v>4</v>
      </c>
      <c r="BB282" s="309">
        <v>81052</v>
      </c>
      <c r="BC282" s="310">
        <f t="shared" si="112"/>
        <v>265266.98560000001</v>
      </c>
      <c r="BD282" s="330">
        <v>5</v>
      </c>
      <c r="BE282" s="329">
        <v>88939.8</v>
      </c>
      <c r="BF282" s="313">
        <f t="shared" si="113"/>
        <v>363852.7218</v>
      </c>
      <c r="BG282" s="308">
        <v>0</v>
      </c>
      <c r="BH282" s="309">
        <v>0</v>
      </c>
      <c r="BI282" s="310">
        <f t="shared" si="114"/>
        <v>0</v>
      </c>
      <c r="BJ282" s="330"/>
      <c r="BK282" s="331"/>
      <c r="BL282" s="313">
        <f t="shared" si="115"/>
        <v>0</v>
      </c>
      <c r="BM282" s="308">
        <v>1</v>
      </c>
      <c r="BN282" s="309">
        <v>76888</v>
      </c>
      <c r="BO282" s="310">
        <f t="shared" si="116"/>
        <v>62909.761600000005</v>
      </c>
      <c r="BP282" s="330">
        <v>1</v>
      </c>
      <c r="BQ282" s="329">
        <v>81201</v>
      </c>
      <c r="BR282" s="313">
        <f t="shared" si="117"/>
        <v>66438.658200000005</v>
      </c>
      <c r="BS282" s="308"/>
      <c r="BT282" s="309"/>
      <c r="BU282" s="310">
        <f t="shared" si="118"/>
        <v>0</v>
      </c>
      <c r="BV282" s="311"/>
      <c r="BW282" s="312"/>
      <c r="BX282" s="313">
        <f t="shared" si="119"/>
        <v>0</v>
      </c>
    </row>
    <row r="283" spans="1:80">
      <c r="A283" s="325" t="s">
        <v>443</v>
      </c>
      <c r="B283" s="326" t="s">
        <v>871</v>
      </c>
      <c r="C283" s="325">
        <v>162283</v>
      </c>
      <c r="D283" s="327">
        <v>4</v>
      </c>
      <c r="E283" s="308">
        <v>18</v>
      </c>
      <c r="F283" s="309">
        <v>87990.666666666672</v>
      </c>
      <c r="G283" s="310">
        <f t="shared" si="96"/>
        <v>1583832</v>
      </c>
      <c r="H283" s="381">
        <v>17</v>
      </c>
      <c r="I283" s="329">
        <v>89406.352941176476</v>
      </c>
      <c r="J283" s="313">
        <f t="shared" si="97"/>
        <v>1519908</v>
      </c>
      <c r="K283" s="308">
        <v>23</v>
      </c>
      <c r="L283" s="309">
        <v>63601.217391304344</v>
      </c>
      <c r="M283" s="310">
        <f t="shared" si="98"/>
        <v>1462828</v>
      </c>
      <c r="N283" s="330">
        <v>23</v>
      </c>
      <c r="O283" s="329">
        <v>67538.913043478256</v>
      </c>
      <c r="P283" s="313">
        <f t="shared" si="99"/>
        <v>1553395</v>
      </c>
      <c r="Q283" s="308">
        <v>68</v>
      </c>
      <c r="R283" s="309">
        <v>58675.75</v>
      </c>
      <c r="S283" s="310">
        <f t="shared" si="100"/>
        <v>3989951</v>
      </c>
      <c r="T283" s="330">
        <v>92</v>
      </c>
      <c r="U283" s="329">
        <v>60408.467391304344</v>
      </c>
      <c r="V283" s="313">
        <f t="shared" si="101"/>
        <v>5557579</v>
      </c>
      <c r="W283" s="308">
        <v>2</v>
      </c>
      <c r="X283" s="309">
        <v>50007</v>
      </c>
      <c r="Y283" s="310">
        <f t="shared" si="102"/>
        <v>100014</v>
      </c>
      <c r="Z283" s="330">
        <v>2</v>
      </c>
      <c r="AA283" s="329">
        <v>52909.5</v>
      </c>
      <c r="AB283" s="313">
        <f t="shared" si="103"/>
        <v>105819</v>
      </c>
      <c r="AC283" s="308">
        <v>22</v>
      </c>
      <c r="AD283" s="309">
        <v>46552.181818181816</v>
      </c>
      <c r="AE283" s="310">
        <f t="shared" si="104"/>
        <v>1024148</v>
      </c>
      <c r="AF283" s="330">
        <v>13</v>
      </c>
      <c r="AG283" s="329">
        <v>47282.846153846156</v>
      </c>
      <c r="AH283" s="313">
        <f t="shared" si="105"/>
        <v>614677</v>
      </c>
      <c r="AI283" s="308"/>
      <c r="AJ283" s="309"/>
      <c r="AK283" s="310">
        <f t="shared" si="106"/>
        <v>0</v>
      </c>
      <c r="AL283" s="311"/>
      <c r="AM283" s="312"/>
      <c r="AN283" s="313">
        <f t="shared" si="107"/>
        <v>0</v>
      </c>
      <c r="AO283" s="308">
        <v>1</v>
      </c>
      <c r="AP283" s="309">
        <v>129145</v>
      </c>
      <c r="AQ283" s="310">
        <f t="shared" si="108"/>
        <v>105666.439</v>
      </c>
      <c r="AR283" s="330">
        <v>2</v>
      </c>
      <c r="AS283" s="329">
        <v>106308.5</v>
      </c>
      <c r="AT283" s="313">
        <f t="shared" si="109"/>
        <v>173963.22940000001</v>
      </c>
      <c r="AU283" s="308">
        <v>2</v>
      </c>
      <c r="AV283" s="309">
        <v>86183.5</v>
      </c>
      <c r="AW283" s="310">
        <f t="shared" si="110"/>
        <v>141030.67939999999</v>
      </c>
      <c r="AX283" s="330">
        <v>2</v>
      </c>
      <c r="AY283" s="329">
        <v>89793</v>
      </c>
      <c r="AZ283" s="313">
        <f t="shared" si="111"/>
        <v>146937.26519999999</v>
      </c>
      <c r="BA283" s="308">
        <v>5</v>
      </c>
      <c r="BB283" s="309">
        <v>75463.600000000006</v>
      </c>
      <c r="BC283" s="310">
        <f t="shared" si="112"/>
        <v>308721.58760000003</v>
      </c>
      <c r="BD283" s="330">
        <v>11</v>
      </c>
      <c r="BE283" s="329">
        <v>79538.818181818177</v>
      </c>
      <c r="BF283" s="313">
        <f t="shared" si="113"/>
        <v>715865.27140000009</v>
      </c>
      <c r="BG283" s="308">
        <v>0</v>
      </c>
      <c r="BH283" s="309">
        <v>0</v>
      </c>
      <c r="BI283" s="310">
        <f t="shared" si="114"/>
        <v>0</v>
      </c>
      <c r="BJ283" s="330"/>
      <c r="BK283" s="331"/>
      <c r="BL283" s="313">
        <f t="shared" si="115"/>
        <v>0</v>
      </c>
      <c r="BM283" s="308">
        <v>2</v>
      </c>
      <c r="BN283" s="309">
        <v>69250</v>
      </c>
      <c r="BO283" s="310">
        <f t="shared" si="116"/>
        <v>113320.70000000001</v>
      </c>
      <c r="BP283" s="330"/>
      <c r="BQ283" s="331"/>
      <c r="BR283" s="313">
        <f t="shared" si="117"/>
        <v>0</v>
      </c>
      <c r="BS283" s="308"/>
      <c r="BT283" s="309"/>
      <c r="BU283" s="310">
        <f t="shared" si="118"/>
        <v>0</v>
      </c>
      <c r="BV283" s="311"/>
      <c r="BW283" s="312"/>
      <c r="BX283" s="313">
        <f t="shared" si="119"/>
        <v>0</v>
      </c>
    </row>
    <row r="284" spans="1:80">
      <c r="A284" s="325" t="s">
        <v>443</v>
      </c>
      <c r="B284" s="326" t="s">
        <v>866</v>
      </c>
      <c r="C284" s="325">
        <v>162584</v>
      </c>
      <c r="D284" s="327">
        <v>4</v>
      </c>
      <c r="E284" s="308">
        <v>78</v>
      </c>
      <c r="F284" s="309">
        <v>81708.5</v>
      </c>
      <c r="G284" s="310">
        <f t="shared" si="96"/>
        <v>6373263</v>
      </c>
      <c r="H284" s="328">
        <v>78</v>
      </c>
      <c r="I284" s="329">
        <v>85020.666666666672</v>
      </c>
      <c r="J284" s="313">
        <f t="shared" si="97"/>
        <v>6631612</v>
      </c>
      <c r="K284" s="308">
        <v>57</v>
      </c>
      <c r="L284" s="309">
        <v>65479.26315789474</v>
      </c>
      <c r="M284" s="310">
        <f t="shared" si="98"/>
        <v>3732318</v>
      </c>
      <c r="N284" s="330">
        <v>58</v>
      </c>
      <c r="O284" s="329">
        <v>68797.086206896551</v>
      </c>
      <c r="P284" s="313">
        <f t="shared" si="99"/>
        <v>3990231</v>
      </c>
      <c r="Q284" s="308">
        <v>58</v>
      </c>
      <c r="R284" s="309">
        <v>57784.793103448275</v>
      </c>
      <c r="S284" s="310">
        <f t="shared" si="100"/>
        <v>3351518</v>
      </c>
      <c r="T284" s="330">
        <v>63</v>
      </c>
      <c r="U284" s="329">
        <v>61420.603174603173</v>
      </c>
      <c r="V284" s="313">
        <f t="shared" si="101"/>
        <v>3869498</v>
      </c>
      <c r="W284" s="308">
        <v>7</v>
      </c>
      <c r="X284" s="309">
        <v>50165</v>
      </c>
      <c r="Y284" s="310">
        <f t="shared" si="102"/>
        <v>351155</v>
      </c>
      <c r="Z284" s="330">
        <v>10</v>
      </c>
      <c r="AA284" s="329">
        <v>50884.5</v>
      </c>
      <c r="AB284" s="313">
        <f t="shared" si="103"/>
        <v>508845</v>
      </c>
      <c r="AC284" s="308">
        <v>24</v>
      </c>
      <c r="AD284" s="309">
        <v>36882.458333333336</v>
      </c>
      <c r="AE284" s="310">
        <f t="shared" si="104"/>
        <v>885179</v>
      </c>
      <c r="AF284" s="330">
        <v>33</v>
      </c>
      <c r="AG284" s="329">
        <v>40474.121212121216</v>
      </c>
      <c r="AH284" s="313">
        <f t="shared" si="105"/>
        <v>1335646</v>
      </c>
      <c r="AI284" s="308"/>
      <c r="AJ284" s="309"/>
      <c r="AK284" s="310">
        <f t="shared" si="106"/>
        <v>0</v>
      </c>
      <c r="AL284" s="311"/>
      <c r="AM284" s="312"/>
      <c r="AN284" s="313">
        <f t="shared" si="107"/>
        <v>0</v>
      </c>
      <c r="AO284" s="308">
        <v>0</v>
      </c>
      <c r="AP284" s="309"/>
      <c r="AQ284" s="310">
        <f t="shared" si="108"/>
        <v>0</v>
      </c>
      <c r="AR284" s="330"/>
      <c r="AS284" s="331"/>
      <c r="AT284" s="313">
        <f t="shared" si="109"/>
        <v>0</v>
      </c>
      <c r="AU284" s="308"/>
      <c r="AV284" s="309"/>
      <c r="AW284" s="310">
        <f t="shared" si="110"/>
        <v>0</v>
      </c>
      <c r="AX284" s="330"/>
      <c r="AY284" s="331"/>
      <c r="AZ284" s="313">
        <f t="shared" si="111"/>
        <v>0</v>
      </c>
      <c r="BA284" s="308"/>
      <c r="BB284" s="309"/>
      <c r="BC284" s="310">
        <f t="shared" si="112"/>
        <v>0</v>
      </c>
      <c r="BD284" s="330"/>
      <c r="BE284" s="331"/>
      <c r="BF284" s="313">
        <f t="shared" si="113"/>
        <v>0</v>
      </c>
      <c r="BG284" s="308">
        <v>0</v>
      </c>
      <c r="BH284" s="309"/>
      <c r="BI284" s="310">
        <f t="shared" si="114"/>
        <v>0</v>
      </c>
      <c r="BJ284" s="330"/>
      <c r="BK284" s="331"/>
      <c r="BL284" s="313">
        <f t="shared" si="115"/>
        <v>0</v>
      </c>
      <c r="BM284" s="308">
        <v>9</v>
      </c>
      <c r="BN284" s="309">
        <v>39697.777777777781</v>
      </c>
      <c r="BO284" s="310">
        <f t="shared" si="116"/>
        <v>292326.49599999998</v>
      </c>
      <c r="BP284" s="330"/>
      <c r="BQ284" s="331"/>
      <c r="BR284" s="313">
        <f t="shared" si="117"/>
        <v>0</v>
      </c>
      <c r="BS284" s="308"/>
      <c r="BT284" s="309"/>
      <c r="BU284" s="310">
        <f t="shared" si="118"/>
        <v>0</v>
      </c>
      <c r="BV284" s="311"/>
      <c r="BW284" s="312"/>
      <c r="BX284" s="313">
        <f t="shared" si="119"/>
        <v>0</v>
      </c>
    </row>
    <row r="285" spans="1:80">
      <c r="A285" s="325" t="s">
        <v>443</v>
      </c>
      <c r="B285" s="326" t="s">
        <v>868</v>
      </c>
      <c r="C285" s="325">
        <v>163851</v>
      </c>
      <c r="D285" s="327">
        <v>4</v>
      </c>
      <c r="E285" s="308">
        <v>79</v>
      </c>
      <c r="F285" s="309">
        <v>83438.253164556969</v>
      </c>
      <c r="G285" s="310">
        <f t="shared" si="96"/>
        <v>6591622.0000000009</v>
      </c>
      <c r="H285" s="328">
        <v>75</v>
      </c>
      <c r="I285" s="329">
        <v>86211.36</v>
      </c>
      <c r="J285" s="313">
        <f t="shared" si="97"/>
        <v>6465852</v>
      </c>
      <c r="K285" s="308">
        <v>98</v>
      </c>
      <c r="L285" s="309">
        <v>65599.673469387752</v>
      </c>
      <c r="M285" s="310">
        <f t="shared" si="98"/>
        <v>6428768</v>
      </c>
      <c r="N285" s="330">
        <v>99</v>
      </c>
      <c r="O285" s="329">
        <v>68491.555555555562</v>
      </c>
      <c r="P285" s="313">
        <f t="shared" si="99"/>
        <v>6780664.0000000009</v>
      </c>
      <c r="Q285" s="308">
        <v>106</v>
      </c>
      <c r="R285" s="309">
        <v>60248.330188679247</v>
      </c>
      <c r="S285" s="310">
        <f t="shared" si="100"/>
        <v>6386323</v>
      </c>
      <c r="T285" s="330">
        <v>119</v>
      </c>
      <c r="U285" s="329">
        <v>63674.89075630252</v>
      </c>
      <c r="V285" s="313">
        <f t="shared" si="101"/>
        <v>7577312</v>
      </c>
      <c r="W285" s="308">
        <v>12</v>
      </c>
      <c r="X285" s="309">
        <v>58835.666666666664</v>
      </c>
      <c r="Y285" s="310">
        <f t="shared" si="102"/>
        <v>706028</v>
      </c>
      <c r="Z285" s="330">
        <v>8</v>
      </c>
      <c r="AA285" s="329">
        <v>56041.875</v>
      </c>
      <c r="AB285" s="313">
        <f t="shared" si="103"/>
        <v>448335</v>
      </c>
      <c r="AC285" s="308">
        <v>66</v>
      </c>
      <c r="AD285" s="309">
        <v>43223.272727272728</v>
      </c>
      <c r="AE285" s="310">
        <f t="shared" si="104"/>
        <v>2852736</v>
      </c>
      <c r="AF285" s="330">
        <v>73</v>
      </c>
      <c r="AG285" s="329">
        <v>43452.493150684932</v>
      </c>
      <c r="AH285" s="313">
        <f t="shared" si="105"/>
        <v>3172032</v>
      </c>
      <c r="AI285" s="308"/>
      <c r="AJ285" s="309"/>
      <c r="AK285" s="310">
        <f t="shared" si="106"/>
        <v>0</v>
      </c>
      <c r="AL285" s="311"/>
      <c r="AM285" s="312"/>
      <c r="AN285" s="313">
        <f t="shared" si="107"/>
        <v>0</v>
      </c>
      <c r="AO285" s="308">
        <v>1</v>
      </c>
      <c r="AP285" s="309">
        <v>99323</v>
      </c>
      <c r="AQ285" s="310">
        <f t="shared" si="108"/>
        <v>81266.078600000008</v>
      </c>
      <c r="AR285" s="330">
        <v>3</v>
      </c>
      <c r="AS285" s="329">
        <v>115033</v>
      </c>
      <c r="AT285" s="313">
        <f t="shared" si="109"/>
        <v>282360.00180000003</v>
      </c>
      <c r="AU285" s="308"/>
      <c r="AV285" s="309"/>
      <c r="AW285" s="310">
        <f t="shared" si="110"/>
        <v>0</v>
      </c>
      <c r="AX285" s="330"/>
      <c r="AY285" s="331"/>
      <c r="AZ285" s="313">
        <f t="shared" si="111"/>
        <v>0</v>
      </c>
      <c r="BA285" s="308"/>
      <c r="BB285" s="309"/>
      <c r="BC285" s="310">
        <f t="shared" si="112"/>
        <v>0</v>
      </c>
      <c r="BD285" s="330"/>
      <c r="BE285" s="331"/>
      <c r="BF285" s="313">
        <f t="shared" si="113"/>
        <v>0</v>
      </c>
      <c r="BG285" s="308"/>
      <c r="BH285" s="309"/>
      <c r="BI285" s="310">
        <f t="shared" si="114"/>
        <v>0</v>
      </c>
      <c r="BJ285" s="330"/>
      <c r="BK285" s="331"/>
      <c r="BL285" s="313">
        <f t="shared" si="115"/>
        <v>0</v>
      </c>
      <c r="BM285" s="308">
        <v>1</v>
      </c>
      <c r="BN285" s="309">
        <v>52275</v>
      </c>
      <c r="BO285" s="310">
        <f t="shared" si="116"/>
        <v>42771.404999999999</v>
      </c>
      <c r="BP285" s="330">
        <v>2</v>
      </c>
      <c r="BQ285" s="329">
        <v>49188.5</v>
      </c>
      <c r="BR285" s="313">
        <f t="shared" si="117"/>
        <v>80492.061400000006</v>
      </c>
      <c r="BS285" s="308"/>
      <c r="BT285" s="309"/>
      <c r="BU285" s="310">
        <f t="shared" si="118"/>
        <v>0</v>
      </c>
      <c r="BV285" s="311"/>
      <c r="BW285" s="312"/>
      <c r="BX285" s="313">
        <f t="shared" si="119"/>
        <v>0</v>
      </c>
    </row>
    <row r="286" spans="1:80">
      <c r="A286" s="325" t="s">
        <v>443</v>
      </c>
      <c r="B286" s="326" t="s">
        <v>869</v>
      </c>
      <c r="C286" s="325">
        <v>161873</v>
      </c>
      <c r="D286" s="327">
        <v>4</v>
      </c>
      <c r="E286" s="308">
        <v>49</v>
      </c>
      <c r="F286" s="309">
        <v>120897.91836734694</v>
      </c>
      <c r="G286" s="310">
        <f t="shared" si="96"/>
        <v>5923998</v>
      </c>
      <c r="H286" s="328">
        <v>49</v>
      </c>
      <c r="I286" s="329">
        <v>130355.40816326531</v>
      </c>
      <c r="J286" s="313">
        <f t="shared" si="97"/>
        <v>6387415</v>
      </c>
      <c r="K286" s="308">
        <v>49</v>
      </c>
      <c r="L286" s="309">
        <v>90436.469387755104</v>
      </c>
      <c r="M286" s="310">
        <f t="shared" si="98"/>
        <v>4431387</v>
      </c>
      <c r="N286" s="330">
        <v>52</v>
      </c>
      <c r="O286" s="329">
        <v>97601.403846153844</v>
      </c>
      <c r="P286" s="313">
        <f t="shared" si="99"/>
        <v>5075273</v>
      </c>
      <c r="Q286" s="308">
        <v>45</v>
      </c>
      <c r="R286" s="309">
        <v>74361.088888888888</v>
      </c>
      <c r="S286" s="310">
        <f t="shared" si="100"/>
        <v>3346249</v>
      </c>
      <c r="T286" s="330">
        <v>43</v>
      </c>
      <c r="U286" s="329">
        <v>80003.860465116275</v>
      </c>
      <c r="V286" s="313">
        <f t="shared" si="101"/>
        <v>3440166</v>
      </c>
      <c r="W286" s="308">
        <v>3</v>
      </c>
      <c r="X286" s="309">
        <v>53758.333333333336</v>
      </c>
      <c r="Y286" s="310">
        <f t="shared" si="102"/>
        <v>161275</v>
      </c>
      <c r="Z286" s="330">
        <v>4</v>
      </c>
      <c r="AA286" s="329">
        <v>63958.5</v>
      </c>
      <c r="AB286" s="313">
        <f t="shared" si="103"/>
        <v>255834</v>
      </c>
      <c r="AC286" s="308">
        <v>5</v>
      </c>
      <c r="AD286" s="309">
        <v>61071.199999999997</v>
      </c>
      <c r="AE286" s="310">
        <f t="shared" si="104"/>
        <v>305356</v>
      </c>
      <c r="AF286" s="330">
        <v>7</v>
      </c>
      <c r="AG286" s="329">
        <v>55755.285714285717</v>
      </c>
      <c r="AH286" s="313">
        <f t="shared" si="105"/>
        <v>390287</v>
      </c>
      <c r="AI286" s="308"/>
      <c r="AJ286" s="309"/>
      <c r="AK286" s="310">
        <f t="shared" si="106"/>
        <v>0</v>
      </c>
      <c r="AL286" s="311"/>
      <c r="AM286" s="312"/>
      <c r="AN286" s="313">
        <f t="shared" si="107"/>
        <v>0</v>
      </c>
      <c r="AO286" s="308">
        <v>7</v>
      </c>
      <c r="AP286" s="309">
        <v>120778.57142857143</v>
      </c>
      <c r="AQ286" s="310">
        <f t="shared" si="108"/>
        <v>691747.19000000006</v>
      </c>
      <c r="AR286" s="330">
        <v>7</v>
      </c>
      <c r="AS286" s="329">
        <v>127516.71428571429</v>
      </c>
      <c r="AT286" s="313">
        <f t="shared" si="109"/>
        <v>730339.22940000007</v>
      </c>
      <c r="AU286" s="308">
        <v>3</v>
      </c>
      <c r="AV286" s="309">
        <v>127953</v>
      </c>
      <c r="AW286" s="310">
        <f t="shared" si="110"/>
        <v>314073.4338</v>
      </c>
      <c r="AX286" s="330">
        <v>3</v>
      </c>
      <c r="AY286" s="329">
        <v>92914.666666666672</v>
      </c>
      <c r="AZ286" s="313">
        <f t="shared" si="111"/>
        <v>228068.34080000001</v>
      </c>
      <c r="BA286" s="308">
        <v>0</v>
      </c>
      <c r="BB286" s="309">
        <v>0</v>
      </c>
      <c r="BC286" s="310">
        <f t="shared" si="112"/>
        <v>0</v>
      </c>
      <c r="BD286" s="330"/>
      <c r="BE286" s="331"/>
      <c r="BF286" s="313">
        <f t="shared" si="113"/>
        <v>0</v>
      </c>
      <c r="BG286" s="308">
        <v>5</v>
      </c>
      <c r="BH286" s="309">
        <v>49435</v>
      </c>
      <c r="BI286" s="310">
        <f t="shared" si="114"/>
        <v>202238.58500000002</v>
      </c>
      <c r="BJ286" s="330">
        <v>5</v>
      </c>
      <c r="BK286" s="329">
        <v>51824</v>
      </c>
      <c r="BL286" s="313">
        <f t="shared" si="115"/>
        <v>212011.984</v>
      </c>
      <c r="BM286" s="308">
        <v>0</v>
      </c>
      <c r="BN286" s="309">
        <v>0</v>
      </c>
      <c r="BO286" s="310">
        <f t="shared" si="116"/>
        <v>0</v>
      </c>
      <c r="BP286" s="330"/>
      <c r="BQ286" s="331"/>
      <c r="BR286" s="313">
        <f t="shared" si="117"/>
        <v>0</v>
      </c>
      <c r="BS286" s="308"/>
      <c r="BT286" s="309"/>
      <c r="BU286" s="310">
        <f t="shared" si="118"/>
        <v>0</v>
      </c>
      <c r="BV286" s="311"/>
      <c r="BW286" s="312"/>
      <c r="BX286" s="313">
        <f t="shared" si="119"/>
        <v>0</v>
      </c>
    </row>
    <row r="287" spans="1:80">
      <c r="A287" s="325" t="s">
        <v>443</v>
      </c>
      <c r="B287" s="326" t="s">
        <v>870</v>
      </c>
      <c r="C287" s="325">
        <v>163338</v>
      </c>
      <c r="D287" s="327">
        <v>4</v>
      </c>
      <c r="E287" s="308">
        <v>18</v>
      </c>
      <c r="F287" s="309">
        <v>77706.611111111109</v>
      </c>
      <c r="G287" s="310">
        <f t="shared" si="96"/>
        <v>1398719</v>
      </c>
      <c r="H287" s="328">
        <v>18</v>
      </c>
      <c r="I287" s="329">
        <v>80848.222222222219</v>
      </c>
      <c r="J287" s="313">
        <f t="shared" si="97"/>
        <v>1455268</v>
      </c>
      <c r="K287" s="308">
        <v>32</v>
      </c>
      <c r="L287" s="309">
        <v>65254.25</v>
      </c>
      <c r="M287" s="310">
        <f t="shared" si="98"/>
        <v>2088136</v>
      </c>
      <c r="N287" s="330">
        <v>38</v>
      </c>
      <c r="O287" s="329">
        <v>67340.210526315786</v>
      </c>
      <c r="P287" s="313">
        <f t="shared" si="99"/>
        <v>2558928</v>
      </c>
      <c r="Q287" s="308">
        <v>31</v>
      </c>
      <c r="R287" s="309">
        <v>60086.645161290326</v>
      </c>
      <c r="S287" s="310">
        <f t="shared" si="100"/>
        <v>1862686</v>
      </c>
      <c r="T287" s="330">
        <v>28</v>
      </c>
      <c r="U287" s="329">
        <v>63076.964285714283</v>
      </c>
      <c r="V287" s="313">
        <f t="shared" si="101"/>
        <v>1766155</v>
      </c>
      <c r="W287" s="308">
        <v>1</v>
      </c>
      <c r="X287" s="309">
        <v>65734</v>
      </c>
      <c r="Y287" s="310">
        <f t="shared" si="102"/>
        <v>65734</v>
      </c>
      <c r="Z287" s="330">
        <v>2</v>
      </c>
      <c r="AA287" s="329">
        <v>61847.5</v>
      </c>
      <c r="AB287" s="313">
        <f t="shared" si="103"/>
        <v>123695</v>
      </c>
      <c r="AC287" s="308">
        <v>50</v>
      </c>
      <c r="AD287" s="309">
        <v>48602.5</v>
      </c>
      <c r="AE287" s="310">
        <f t="shared" si="104"/>
        <v>2430125</v>
      </c>
      <c r="AF287" s="330">
        <v>49</v>
      </c>
      <c r="AG287" s="329">
        <v>47735.530612244896</v>
      </c>
      <c r="AH287" s="313">
        <f t="shared" si="105"/>
        <v>2339041</v>
      </c>
      <c r="AI287" s="308"/>
      <c r="AJ287" s="309"/>
      <c r="AK287" s="310">
        <f t="shared" si="106"/>
        <v>0</v>
      </c>
      <c r="AL287" s="311"/>
      <c r="AM287" s="312"/>
      <c r="AN287" s="313">
        <f t="shared" si="107"/>
        <v>0</v>
      </c>
      <c r="AO287" s="308">
        <v>15</v>
      </c>
      <c r="AP287" s="309">
        <v>97474.4</v>
      </c>
      <c r="AQ287" s="310">
        <f t="shared" si="108"/>
        <v>1196303.3112000001</v>
      </c>
      <c r="AR287" s="330">
        <v>15</v>
      </c>
      <c r="AS287" s="329">
        <v>97566.933333333334</v>
      </c>
      <c r="AT287" s="313">
        <f t="shared" si="109"/>
        <v>1197438.9728000001</v>
      </c>
      <c r="AU287" s="308">
        <v>9</v>
      </c>
      <c r="AV287" s="309">
        <v>93321.222222222219</v>
      </c>
      <c r="AW287" s="310">
        <f t="shared" si="110"/>
        <v>687198.8162</v>
      </c>
      <c r="AX287" s="330">
        <v>10</v>
      </c>
      <c r="AY287" s="329">
        <v>94340</v>
      </c>
      <c r="AZ287" s="313">
        <f t="shared" si="111"/>
        <v>771889.88</v>
      </c>
      <c r="BA287" s="308">
        <v>3</v>
      </c>
      <c r="BB287" s="309">
        <v>63685.333333333336</v>
      </c>
      <c r="BC287" s="310">
        <f t="shared" si="112"/>
        <v>156322.01920000001</v>
      </c>
      <c r="BD287" s="330">
        <v>2</v>
      </c>
      <c r="BE287" s="329">
        <v>67322</v>
      </c>
      <c r="BF287" s="313">
        <f t="shared" si="113"/>
        <v>110165.72080000001</v>
      </c>
      <c r="BG287" s="308">
        <v>2</v>
      </c>
      <c r="BH287" s="309">
        <v>69951</v>
      </c>
      <c r="BI287" s="310">
        <f t="shared" si="114"/>
        <v>114467.81640000001</v>
      </c>
      <c r="BJ287" s="330">
        <v>2</v>
      </c>
      <c r="BK287" s="329">
        <v>73083.5</v>
      </c>
      <c r="BL287" s="313">
        <f t="shared" si="115"/>
        <v>119593.83940000001</v>
      </c>
      <c r="BM287" s="308">
        <v>8</v>
      </c>
      <c r="BN287" s="309">
        <v>66526.5</v>
      </c>
      <c r="BO287" s="310">
        <f t="shared" si="116"/>
        <v>435455.85840000003</v>
      </c>
      <c r="BP287" s="330">
        <v>9</v>
      </c>
      <c r="BQ287" s="329">
        <v>68157.666666666672</v>
      </c>
      <c r="BR287" s="313">
        <f t="shared" si="117"/>
        <v>501899.42580000003</v>
      </c>
      <c r="BS287" s="308"/>
      <c r="BT287" s="309"/>
      <c r="BU287" s="310">
        <f t="shared" si="118"/>
        <v>0</v>
      </c>
      <c r="BV287" s="311"/>
      <c r="BW287" s="312"/>
      <c r="BX287" s="313">
        <f t="shared" si="119"/>
        <v>0</v>
      </c>
    </row>
    <row r="288" spans="1:80">
      <c r="A288" s="325" t="s">
        <v>443</v>
      </c>
      <c r="B288" s="326" t="s">
        <v>872</v>
      </c>
      <c r="C288" s="325">
        <v>163912</v>
      </c>
      <c r="D288" s="327">
        <v>6</v>
      </c>
      <c r="E288" s="308">
        <v>42</v>
      </c>
      <c r="F288" s="309">
        <v>86541.309523809527</v>
      </c>
      <c r="G288" s="310">
        <f t="shared" si="96"/>
        <v>3634735</v>
      </c>
      <c r="H288" s="328">
        <v>41</v>
      </c>
      <c r="I288" s="486">
        <v>85009</v>
      </c>
      <c r="J288" s="313">
        <f t="shared" si="97"/>
        <v>3485369</v>
      </c>
      <c r="K288" s="308">
        <v>38</v>
      </c>
      <c r="L288" s="309">
        <v>63715.57894736842</v>
      </c>
      <c r="M288" s="310">
        <f t="shared" si="98"/>
        <v>2421192</v>
      </c>
      <c r="N288" s="330">
        <v>43</v>
      </c>
      <c r="O288" s="329">
        <v>65083.325581395351</v>
      </c>
      <c r="P288" s="313">
        <f t="shared" si="99"/>
        <v>2798583</v>
      </c>
      <c r="Q288" s="308">
        <v>58</v>
      </c>
      <c r="R288" s="309">
        <v>51404.086206896551</v>
      </c>
      <c r="S288" s="310">
        <f t="shared" si="100"/>
        <v>2981437</v>
      </c>
      <c r="T288" s="330">
        <v>61</v>
      </c>
      <c r="U288" s="329">
        <v>52263.245901639348</v>
      </c>
      <c r="V288" s="313">
        <f t="shared" si="101"/>
        <v>3188058</v>
      </c>
      <c r="W288" s="308">
        <v>14</v>
      </c>
      <c r="X288" s="309">
        <v>43761.428571428572</v>
      </c>
      <c r="Y288" s="310">
        <f t="shared" si="102"/>
        <v>612660</v>
      </c>
      <c r="Z288" s="330">
        <v>9</v>
      </c>
      <c r="AA288" s="329">
        <v>29489.444444444445</v>
      </c>
      <c r="AB288" s="313">
        <f t="shared" si="103"/>
        <v>265405</v>
      </c>
      <c r="AC288" s="308"/>
      <c r="AD288" s="309"/>
      <c r="AE288" s="310">
        <f t="shared" si="104"/>
        <v>0</v>
      </c>
      <c r="AF288" s="330"/>
      <c r="AG288" s="331"/>
      <c r="AH288" s="313">
        <f t="shared" si="105"/>
        <v>0</v>
      </c>
      <c r="AI288" s="308"/>
      <c r="AJ288" s="309"/>
      <c r="AK288" s="310">
        <f t="shared" si="106"/>
        <v>0</v>
      </c>
      <c r="AL288" s="311"/>
      <c r="AM288" s="312"/>
      <c r="AN288" s="313">
        <f t="shared" si="107"/>
        <v>0</v>
      </c>
      <c r="AO288" s="308"/>
      <c r="AP288" s="309"/>
      <c r="AQ288" s="310">
        <f t="shared" si="108"/>
        <v>0</v>
      </c>
      <c r="AR288" s="330"/>
      <c r="AS288" s="331"/>
      <c r="AT288" s="313">
        <f t="shared" si="109"/>
        <v>0</v>
      </c>
      <c r="AU288" s="308"/>
      <c r="AV288" s="309"/>
      <c r="AW288" s="310">
        <f t="shared" si="110"/>
        <v>0</v>
      </c>
      <c r="AX288" s="330"/>
      <c r="AY288" s="331"/>
      <c r="AZ288" s="313">
        <f t="shared" si="111"/>
        <v>0</v>
      </c>
      <c r="BA288" s="308"/>
      <c r="BB288" s="309"/>
      <c r="BC288" s="310">
        <f t="shared" si="112"/>
        <v>0</v>
      </c>
      <c r="BD288" s="330"/>
      <c r="BE288" s="331"/>
      <c r="BF288" s="313">
        <f t="shared" si="113"/>
        <v>0</v>
      </c>
      <c r="BG288" s="308"/>
      <c r="BH288" s="309"/>
      <c r="BI288" s="310">
        <f t="shared" si="114"/>
        <v>0</v>
      </c>
      <c r="BJ288" s="330"/>
      <c r="BK288" s="331"/>
      <c r="BL288" s="313">
        <f t="shared" si="115"/>
        <v>0</v>
      </c>
      <c r="BM288" s="308"/>
      <c r="BN288" s="309"/>
      <c r="BO288" s="310">
        <f t="shared" si="116"/>
        <v>0</v>
      </c>
      <c r="BP288" s="330"/>
      <c r="BQ288" s="331"/>
      <c r="BR288" s="313">
        <f t="shared" si="117"/>
        <v>0</v>
      </c>
      <c r="BS288" s="308"/>
      <c r="BT288" s="309"/>
      <c r="BU288" s="310">
        <f t="shared" si="118"/>
        <v>0</v>
      </c>
      <c r="BV288" s="311"/>
      <c r="BW288" s="312"/>
      <c r="BX288" s="313">
        <f t="shared" si="119"/>
        <v>0</v>
      </c>
    </row>
    <row r="289" spans="1:76">
      <c r="A289" s="325" t="s">
        <v>443</v>
      </c>
      <c r="B289" s="326" t="s">
        <v>873</v>
      </c>
      <c r="C289" s="325">
        <v>161767</v>
      </c>
      <c r="D289" s="327">
        <v>8</v>
      </c>
      <c r="E289" s="308">
        <v>69</v>
      </c>
      <c r="F289" s="309">
        <v>84096.869565217392</v>
      </c>
      <c r="G289" s="310">
        <f t="shared" si="96"/>
        <v>5802684</v>
      </c>
      <c r="H289" s="328">
        <v>71</v>
      </c>
      <c r="I289" s="329">
        <v>71935.112676056335</v>
      </c>
      <c r="J289" s="313">
        <f t="shared" si="97"/>
        <v>5107393</v>
      </c>
      <c r="K289" s="308">
        <v>83</v>
      </c>
      <c r="L289" s="309">
        <v>65567.578313253005</v>
      </c>
      <c r="M289" s="310">
        <f t="shared" si="98"/>
        <v>5442108.9999999991</v>
      </c>
      <c r="N289" s="330">
        <v>78</v>
      </c>
      <c r="O289" s="329">
        <v>68062.717948717953</v>
      </c>
      <c r="P289" s="313">
        <f t="shared" si="99"/>
        <v>5308892</v>
      </c>
      <c r="Q289" s="308">
        <v>72</v>
      </c>
      <c r="R289" s="309">
        <v>56342.916666666664</v>
      </c>
      <c r="S289" s="310">
        <f t="shared" si="100"/>
        <v>4056690</v>
      </c>
      <c r="T289" s="330">
        <v>77</v>
      </c>
      <c r="U289" s="329">
        <v>58877.870129870127</v>
      </c>
      <c r="V289" s="313">
        <f t="shared" si="101"/>
        <v>4533596</v>
      </c>
      <c r="W289" s="308">
        <v>22</v>
      </c>
      <c r="X289" s="309">
        <v>49546.545454545456</v>
      </c>
      <c r="Y289" s="310">
        <f t="shared" si="102"/>
        <v>1090024</v>
      </c>
      <c r="Z289" s="330">
        <v>26</v>
      </c>
      <c r="AA289" s="329">
        <v>51649.115384615383</v>
      </c>
      <c r="AB289" s="313">
        <f t="shared" si="103"/>
        <v>1342877</v>
      </c>
      <c r="AC289" s="308">
        <v>0</v>
      </c>
      <c r="AD289" s="309">
        <v>0</v>
      </c>
      <c r="AE289" s="310">
        <f t="shared" si="104"/>
        <v>0</v>
      </c>
      <c r="AF289" s="330"/>
      <c r="AG289" s="331"/>
      <c r="AH289" s="313">
        <f t="shared" si="105"/>
        <v>0</v>
      </c>
      <c r="AI289" s="308"/>
      <c r="AJ289" s="309"/>
      <c r="AK289" s="310">
        <f t="shared" si="106"/>
        <v>0</v>
      </c>
      <c r="AL289" s="311"/>
      <c r="AM289" s="312"/>
      <c r="AN289" s="313">
        <f t="shared" si="107"/>
        <v>0</v>
      </c>
      <c r="AO289" s="308">
        <v>1</v>
      </c>
      <c r="AP289" s="309">
        <v>93220</v>
      </c>
      <c r="AQ289" s="310">
        <f t="shared" si="108"/>
        <v>76272.604000000007</v>
      </c>
      <c r="AR289" s="330">
        <v>1</v>
      </c>
      <c r="AS289" s="329">
        <v>113007</v>
      </c>
      <c r="AT289" s="313">
        <f t="shared" si="109"/>
        <v>92462.327400000009</v>
      </c>
      <c r="AU289" s="308">
        <v>5</v>
      </c>
      <c r="AV289" s="309">
        <v>81091.600000000006</v>
      </c>
      <c r="AW289" s="310">
        <f t="shared" si="110"/>
        <v>331745.73560000001</v>
      </c>
      <c r="AX289" s="330">
        <v>6</v>
      </c>
      <c r="AY289" s="329">
        <v>81190</v>
      </c>
      <c r="AZ289" s="313">
        <f t="shared" si="111"/>
        <v>398577.94800000003</v>
      </c>
      <c r="BA289" s="308">
        <v>5</v>
      </c>
      <c r="BB289" s="309">
        <v>63005.4</v>
      </c>
      <c r="BC289" s="310">
        <f t="shared" si="112"/>
        <v>257755.0914</v>
      </c>
      <c r="BD289" s="330">
        <v>4</v>
      </c>
      <c r="BE289" s="329">
        <v>68475</v>
      </c>
      <c r="BF289" s="313">
        <f t="shared" si="113"/>
        <v>224104.98</v>
      </c>
      <c r="BG289" s="308">
        <v>0</v>
      </c>
      <c r="BH289" s="309">
        <v>0</v>
      </c>
      <c r="BI289" s="310">
        <f t="shared" si="114"/>
        <v>0</v>
      </c>
      <c r="BJ289" s="330"/>
      <c r="BK289" s="331"/>
      <c r="BL289" s="313">
        <f t="shared" si="115"/>
        <v>0</v>
      </c>
      <c r="BM289" s="308">
        <v>0</v>
      </c>
      <c r="BN289" s="309">
        <v>0</v>
      </c>
      <c r="BO289" s="310">
        <f t="shared" si="116"/>
        <v>0</v>
      </c>
      <c r="BP289" s="330"/>
      <c r="BQ289" s="331"/>
      <c r="BR289" s="313">
        <f t="shared" si="117"/>
        <v>0</v>
      </c>
      <c r="BS289" s="308"/>
      <c r="BT289" s="309"/>
      <c r="BU289" s="310">
        <f t="shared" si="118"/>
        <v>0</v>
      </c>
      <c r="BV289" s="311"/>
      <c r="BW289" s="312"/>
      <c r="BX289" s="313">
        <f t="shared" si="119"/>
        <v>0</v>
      </c>
    </row>
    <row r="290" spans="1:76">
      <c r="A290" s="325" t="s">
        <v>443</v>
      </c>
      <c r="B290" s="326" t="s">
        <v>874</v>
      </c>
      <c r="C290" s="325">
        <v>434672</v>
      </c>
      <c r="D290" s="327">
        <v>8</v>
      </c>
      <c r="E290" s="308">
        <v>47</v>
      </c>
      <c r="F290" s="309">
        <v>80157.382978723399</v>
      </c>
      <c r="G290" s="310">
        <f t="shared" si="96"/>
        <v>3767396.9999999995</v>
      </c>
      <c r="H290" s="328">
        <v>49</v>
      </c>
      <c r="I290" s="329">
        <v>80951.489795918373</v>
      </c>
      <c r="J290" s="313">
        <f t="shared" si="97"/>
        <v>3966623.0000000005</v>
      </c>
      <c r="K290" s="308">
        <v>80</v>
      </c>
      <c r="L290" s="309">
        <v>63742.462500000001</v>
      </c>
      <c r="M290" s="310">
        <f t="shared" si="98"/>
        <v>5099397</v>
      </c>
      <c r="N290" s="330">
        <v>79</v>
      </c>
      <c r="O290" s="329">
        <v>64412.405063291139</v>
      </c>
      <c r="P290" s="313">
        <f t="shared" si="99"/>
        <v>5088580</v>
      </c>
      <c r="Q290" s="308">
        <v>164</v>
      </c>
      <c r="R290" s="309">
        <v>52329.92682926829</v>
      </c>
      <c r="S290" s="310">
        <f t="shared" si="100"/>
        <v>8582108</v>
      </c>
      <c r="T290" s="330">
        <v>168</v>
      </c>
      <c r="U290" s="329">
        <v>52977.654761904763</v>
      </c>
      <c r="V290" s="313">
        <f t="shared" si="101"/>
        <v>8900246</v>
      </c>
      <c r="W290" s="308">
        <v>23</v>
      </c>
      <c r="X290" s="309">
        <v>43128.869565217392</v>
      </c>
      <c r="Y290" s="310">
        <f t="shared" si="102"/>
        <v>991964</v>
      </c>
      <c r="Z290" s="330">
        <v>28</v>
      </c>
      <c r="AA290" s="329">
        <v>43873.214285714283</v>
      </c>
      <c r="AB290" s="313">
        <f t="shared" si="103"/>
        <v>1228450</v>
      </c>
      <c r="AC290" s="308">
        <v>0</v>
      </c>
      <c r="AD290" s="309">
        <v>0</v>
      </c>
      <c r="AE290" s="310">
        <f t="shared" si="104"/>
        <v>0</v>
      </c>
      <c r="AF290" s="330"/>
      <c r="AG290" s="331"/>
      <c r="AH290" s="313">
        <f t="shared" si="105"/>
        <v>0</v>
      </c>
      <c r="AI290" s="308"/>
      <c r="AJ290" s="309"/>
      <c r="AK290" s="310">
        <f t="shared" si="106"/>
        <v>0</v>
      </c>
      <c r="AL290" s="311"/>
      <c r="AM290" s="312"/>
      <c r="AN290" s="313">
        <f t="shared" si="107"/>
        <v>0</v>
      </c>
      <c r="AO290" s="308">
        <v>14</v>
      </c>
      <c r="AP290" s="309">
        <v>94491.78571428571</v>
      </c>
      <c r="AQ290" s="310">
        <f t="shared" si="108"/>
        <v>1082384.507</v>
      </c>
      <c r="AR290" s="330">
        <v>13</v>
      </c>
      <c r="AS290" s="329">
        <v>97165.307692307688</v>
      </c>
      <c r="AT290" s="313">
        <f t="shared" si="109"/>
        <v>1033508.5118000001</v>
      </c>
      <c r="AU290" s="308">
        <v>9</v>
      </c>
      <c r="AV290" s="309">
        <v>78121.444444444438</v>
      </c>
      <c r="AW290" s="310">
        <f t="shared" si="110"/>
        <v>575270.69260000007</v>
      </c>
      <c r="AX290" s="330">
        <v>14</v>
      </c>
      <c r="AY290" s="329">
        <v>75105.357142857145</v>
      </c>
      <c r="AZ290" s="313">
        <f t="shared" si="111"/>
        <v>860316.84500000009</v>
      </c>
      <c r="BA290" s="308">
        <v>23</v>
      </c>
      <c r="BB290" s="309">
        <v>66637.34782608696</v>
      </c>
      <c r="BC290" s="310">
        <f t="shared" si="112"/>
        <v>1254021.5938000001</v>
      </c>
      <c r="BD290" s="330">
        <v>21</v>
      </c>
      <c r="BE290" s="329">
        <v>67254.523809523816</v>
      </c>
      <c r="BF290" s="313">
        <f t="shared" si="113"/>
        <v>1155580.6790000002</v>
      </c>
      <c r="BG290" s="308">
        <v>12</v>
      </c>
      <c r="BH290" s="309">
        <v>54034.833333333336</v>
      </c>
      <c r="BI290" s="310">
        <f t="shared" si="114"/>
        <v>530535.60759999999</v>
      </c>
      <c r="BJ290" s="330">
        <v>12</v>
      </c>
      <c r="BK290" s="329">
        <v>54225.333333333336</v>
      </c>
      <c r="BL290" s="313">
        <f t="shared" si="115"/>
        <v>532406.01280000003</v>
      </c>
      <c r="BM290" s="308">
        <v>0</v>
      </c>
      <c r="BN290" s="309">
        <v>0</v>
      </c>
      <c r="BO290" s="310">
        <f t="shared" si="116"/>
        <v>0</v>
      </c>
      <c r="BP290" s="330"/>
      <c r="BQ290" s="331"/>
      <c r="BR290" s="313">
        <f t="shared" si="117"/>
        <v>0</v>
      </c>
      <c r="BS290" s="308"/>
      <c r="BT290" s="309"/>
      <c r="BU290" s="310">
        <f t="shared" si="118"/>
        <v>0</v>
      </c>
      <c r="BV290" s="311"/>
      <c r="BW290" s="312"/>
      <c r="BX290" s="313">
        <f t="shared" si="119"/>
        <v>0</v>
      </c>
    </row>
    <row r="291" spans="1:76">
      <c r="A291" s="325" t="s">
        <v>443</v>
      </c>
      <c r="B291" s="326" t="s">
        <v>875</v>
      </c>
      <c r="C291" s="325">
        <v>163426</v>
      </c>
      <c r="D291" s="327">
        <v>8</v>
      </c>
      <c r="E291" s="308">
        <v>282</v>
      </c>
      <c r="F291" s="309">
        <v>81825.390070921989</v>
      </c>
      <c r="G291" s="310">
        <f t="shared" si="96"/>
        <v>23074760</v>
      </c>
      <c r="H291" s="328">
        <v>287</v>
      </c>
      <c r="I291" s="329">
        <v>86354.86411149826</v>
      </c>
      <c r="J291" s="313">
        <f t="shared" si="97"/>
        <v>24783846</v>
      </c>
      <c r="K291" s="308">
        <v>119</v>
      </c>
      <c r="L291" s="309">
        <v>65139.756302521011</v>
      </c>
      <c r="M291" s="310">
        <f t="shared" si="98"/>
        <v>7751631</v>
      </c>
      <c r="N291" s="330">
        <v>128</v>
      </c>
      <c r="O291" s="329">
        <v>69198.6796875</v>
      </c>
      <c r="P291" s="313">
        <f t="shared" si="99"/>
        <v>8857431</v>
      </c>
      <c r="Q291" s="308">
        <v>91</v>
      </c>
      <c r="R291" s="309">
        <v>56471.934065934067</v>
      </c>
      <c r="S291" s="310">
        <f t="shared" si="100"/>
        <v>5138946</v>
      </c>
      <c r="T291" s="330">
        <v>92</v>
      </c>
      <c r="U291" s="329">
        <v>60230.858695652176</v>
      </c>
      <c r="V291" s="313">
        <f t="shared" si="101"/>
        <v>5541239</v>
      </c>
      <c r="W291" s="308">
        <v>7</v>
      </c>
      <c r="X291" s="309">
        <v>48610.714285714283</v>
      </c>
      <c r="Y291" s="310">
        <f t="shared" si="102"/>
        <v>340275</v>
      </c>
      <c r="Z291" s="330">
        <v>9</v>
      </c>
      <c r="AA291" s="329">
        <v>55324.444444444445</v>
      </c>
      <c r="AB291" s="313">
        <f t="shared" si="103"/>
        <v>497920</v>
      </c>
      <c r="AC291" s="308">
        <v>0</v>
      </c>
      <c r="AD291" s="309">
        <v>0</v>
      </c>
      <c r="AE291" s="310">
        <f t="shared" si="104"/>
        <v>0</v>
      </c>
      <c r="AF291" s="330"/>
      <c r="AG291" s="331"/>
      <c r="AH291" s="313">
        <f t="shared" si="105"/>
        <v>0</v>
      </c>
      <c r="AI291" s="308"/>
      <c r="AJ291" s="309"/>
      <c r="AK291" s="310">
        <f t="shared" si="106"/>
        <v>0</v>
      </c>
      <c r="AL291" s="311"/>
      <c r="AM291" s="312"/>
      <c r="AN291" s="313">
        <f t="shared" si="107"/>
        <v>0</v>
      </c>
      <c r="AO291" s="308"/>
      <c r="AP291" s="309"/>
      <c r="AQ291" s="310">
        <f t="shared" si="108"/>
        <v>0</v>
      </c>
      <c r="AR291" s="330"/>
      <c r="AS291" s="331"/>
      <c r="AT291" s="313">
        <f t="shared" si="109"/>
        <v>0</v>
      </c>
      <c r="AU291" s="308"/>
      <c r="AV291" s="309"/>
      <c r="AW291" s="310">
        <f t="shared" si="110"/>
        <v>0</v>
      </c>
      <c r="AX291" s="330"/>
      <c r="AY291" s="331"/>
      <c r="AZ291" s="313">
        <f t="shared" si="111"/>
        <v>0</v>
      </c>
      <c r="BA291" s="308"/>
      <c r="BB291" s="309"/>
      <c r="BC291" s="310">
        <f t="shared" si="112"/>
        <v>0</v>
      </c>
      <c r="BD291" s="330"/>
      <c r="BE291" s="331"/>
      <c r="BF291" s="313">
        <f t="shared" si="113"/>
        <v>0</v>
      </c>
      <c r="BG291" s="308"/>
      <c r="BH291" s="309"/>
      <c r="BI291" s="310">
        <f t="shared" si="114"/>
        <v>0</v>
      </c>
      <c r="BJ291" s="330"/>
      <c r="BK291" s="331"/>
      <c r="BL291" s="313">
        <f t="shared" si="115"/>
        <v>0</v>
      </c>
      <c r="BM291" s="308"/>
      <c r="BN291" s="309"/>
      <c r="BO291" s="310">
        <f t="shared" si="116"/>
        <v>0</v>
      </c>
      <c r="BP291" s="330"/>
      <c r="BQ291" s="331"/>
      <c r="BR291" s="313">
        <f t="shared" si="117"/>
        <v>0</v>
      </c>
      <c r="BS291" s="308"/>
      <c r="BT291" s="309"/>
      <c r="BU291" s="310">
        <f t="shared" si="118"/>
        <v>0</v>
      </c>
      <c r="BV291" s="311"/>
      <c r="BW291" s="312"/>
      <c r="BX291" s="313">
        <f t="shared" si="119"/>
        <v>0</v>
      </c>
    </row>
    <row r="292" spans="1:76">
      <c r="A292" s="325" t="s">
        <v>443</v>
      </c>
      <c r="B292" s="326" t="s">
        <v>876</v>
      </c>
      <c r="C292" s="325">
        <v>163657</v>
      </c>
      <c r="D292" s="327">
        <v>8</v>
      </c>
      <c r="E292" s="308">
        <v>86</v>
      </c>
      <c r="F292" s="309">
        <v>68457.872093023252</v>
      </c>
      <c r="G292" s="310">
        <f t="shared" si="96"/>
        <v>5887377</v>
      </c>
      <c r="H292" s="328">
        <v>77</v>
      </c>
      <c r="I292" s="329">
        <v>70878.2987012987</v>
      </c>
      <c r="J292" s="313">
        <f t="shared" si="97"/>
        <v>5457629</v>
      </c>
      <c r="K292" s="308">
        <v>106</v>
      </c>
      <c r="L292" s="309">
        <v>55472.650943396227</v>
      </c>
      <c r="M292" s="310">
        <f t="shared" si="98"/>
        <v>5880101</v>
      </c>
      <c r="N292" s="330">
        <v>105</v>
      </c>
      <c r="O292" s="329">
        <v>56693.085714285713</v>
      </c>
      <c r="P292" s="313">
        <f t="shared" si="99"/>
        <v>5952774</v>
      </c>
      <c r="Q292" s="308">
        <v>33</v>
      </c>
      <c r="R292" s="309">
        <v>46241.242424242424</v>
      </c>
      <c r="S292" s="310">
        <f t="shared" si="100"/>
        <v>1525961</v>
      </c>
      <c r="T292" s="330">
        <v>33</v>
      </c>
      <c r="U292" s="329">
        <v>47306.272727272728</v>
      </c>
      <c r="V292" s="313">
        <f t="shared" si="101"/>
        <v>1561107</v>
      </c>
      <c r="W292" s="308">
        <v>2</v>
      </c>
      <c r="X292" s="309">
        <v>40211</v>
      </c>
      <c r="Y292" s="310">
        <f t="shared" si="102"/>
        <v>80422</v>
      </c>
      <c r="Z292" s="330">
        <v>0</v>
      </c>
      <c r="AA292" s="331"/>
      <c r="AB292" s="313">
        <f t="shared" si="103"/>
        <v>0</v>
      </c>
      <c r="AC292" s="308">
        <v>0</v>
      </c>
      <c r="AD292" s="309">
        <v>0</v>
      </c>
      <c r="AE292" s="310">
        <f t="shared" si="104"/>
        <v>0</v>
      </c>
      <c r="AF292" s="330"/>
      <c r="AG292" s="331"/>
      <c r="AH292" s="313">
        <f t="shared" si="105"/>
        <v>0</v>
      </c>
      <c r="AI292" s="308"/>
      <c r="AJ292" s="309"/>
      <c r="AK292" s="310">
        <f t="shared" si="106"/>
        <v>0</v>
      </c>
      <c r="AL292" s="311"/>
      <c r="AM292" s="312"/>
      <c r="AN292" s="313">
        <f t="shared" si="107"/>
        <v>0</v>
      </c>
      <c r="AO292" s="308">
        <v>3</v>
      </c>
      <c r="AP292" s="309">
        <v>96288</v>
      </c>
      <c r="AQ292" s="310">
        <f t="shared" si="108"/>
        <v>236348.52480000001</v>
      </c>
      <c r="AR292" s="330">
        <v>3</v>
      </c>
      <c r="AS292" s="329">
        <v>93050.666666666672</v>
      </c>
      <c r="AT292" s="313">
        <f t="shared" si="109"/>
        <v>228402.16640000002</v>
      </c>
      <c r="AU292" s="308">
        <v>6</v>
      </c>
      <c r="AV292" s="309">
        <v>63980.666666666664</v>
      </c>
      <c r="AW292" s="310">
        <f t="shared" si="110"/>
        <v>314093.88880000002</v>
      </c>
      <c r="AX292" s="330">
        <v>3</v>
      </c>
      <c r="AY292" s="329">
        <v>69765.333333333328</v>
      </c>
      <c r="AZ292" s="313">
        <f t="shared" si="111"/>
        <v>171245.9872</v>
      </c>
      <c r="BA292" s="308">
        <v>2</v>
      </c>
      <c r="BB292" s="309">
        <v>58075</v>
      </c>
      <c r="BC292" s="310">
        <f t="shared" si="112"/>
        <v>95033.930000000008</v>
      </c>
      <c r="BD292" s="330"/>
      <c r="BE292" s="331"/>
      <c r="BF292" s="313">
        <f t="shared" si="113"/>
        <v>0</v>
      </c>
      <c r="BG292" s="308">
        <v>0</v>
      </c>
      <c r="BH292" s="309">
        <v>0</v>
      </c>
      <c r="BI292" s="310">
        <f t="shared" si="114"/>
        <v>0</v>
      </c>
      <c r="BJ292" s="330">
        <v>1</v>
      </c>
      <c r="BK292" s="329">
        <v>45910</v>
      </c>
      <c r="BL292" s="313">
        <f t="shared" si="115"/>
        <v>37563.562000000005</v>
      </c>
      <c r="BM292" s="308">
        <v>0</v>
      </c>
      <c r="BN292" s="309">
        <v>0</v>
      </c>
      <c r="BO292" s="310">
        <f t="shared" si="116"/>
        <v>0</v>
      </c>
      <c r="BP292" s="330"/>
      <c r="BQ292" s="331"/>
      <c r="BR292" s="313">
        <f t="shared" si="117"/>
        <v>0</v>
      </c>
      <c r="BS292" s="308"/>
      <c r="BT292" s="309"/>
      <c r="BU292" s="310">
        <f t="shared" si="118"/>
        <v>0</v>
      </c>
      <c r="BV292" s="311"/>
      <c r="BW292" s="312"/>
      <c r="BX292" s="313">
        <f t="shared" si="119"/>
        <v>0</v>
      </c>
    </row>
    <row r="293" spans="1:76">
      <c r="A293" s="325" t="s">
        <v>443</v>
      </c>
      <c r="B293" s="326" t="s">
        <v>882</v>
      </c>
      <c r="C293" s="325">
        <v>161688</v>
      </c>
      <c r="D293" s="327">
        <v>9</v>
      </c>
      <c r="E293" s="308">
        <v>31</v>
      </c>
      <c r="F293" s="309">
        <v>61443.387096774197</v>
      </c>
      <c r="G293" s="310">
        <f t="shared" si="96"/>
        <v>1904745</v>
      </c>
      <c r="H293" s="328">
        <v>28</v>
      </c>
      <c r="I293" s="329">
        <v>62714</v>
      </c>
      <c r="J293" s="313">
        <f t="shared" si="97"/>
        <v>1755992</v>
      </c>
      <c r="K293" s="308">
        <v>24</v>
      </c>
      <c r="L293" s="309">
        <v>47794.291666666664</v>
      </c>
      <c r="M293" s="310">
        <f t="shared" si="98"/>
        <v>1147063</v>
      </c>
      <c r="N293" s="330">
        <v>23</v>
      </c>
      <c r="O293" s="329">
        <v>48533.739130434784</v>
      </c>
      <c r="P293" s="313">
        <f t="shared" si="99"/>
        <v>1116276</v>
      </c>
      <c r="Q293" s="308">
        <v>23</v>
      </c>
      <c r="R293" s="309">
        <v>40443.869565217392</v>
      </c>
      <c r="S293" s="310">
        <f t="shared" si="100"/>
        <v>930209</v>
      </c>
      <c r="T293" s="330">
        <v>25</v>
      </c>
      <c r="U293" s="329">
        <v>41802.199999999997</v>
      </c>
      <c r="V293" s="313">
        <f t="shared" si="101"/>
        <v>1045054.9999999999</v>
      </c>
      <c r="W293" s="308">
        <v>6</v>
      </c>
      <c r="X293" s="309">
        <v>35930.833333333336</v>
      </c>
      <c r="Y293" s="310">
        <f t="shared" si="102"/>
        <v>215585</v>
      </c>
      <c r="Z293" s="330">
        <v>4</v>
      </c>
      <c r="AA293" s="329">
        <v>37458.75</v>
      </c>
      <c r="AB293" s="313">
        <f t="shared" si="103"/>
        <v>149835</v>
      </c>
      <c r="AC293" s="308">
        <v>0</v>
      </c>
      <c r="AD293" s="309">
        <v>0</v>
      </c>
      <c r="AE293" s="310">
        <f t="shared" si="104"/>
        <v>0</v>
      </c>
      <c r="AF293" s="330"/>
      <c r="AG293" s="331"/>
      <c r="AH293" s="313">
        <f t="shared" si="105"/>
        <v>0</v>
      </c>
      <c r="AI293" s="308"/>
      <c r="AJ293" s="309"/>
      <c r="AK293" s="310">
        <f t="shared" si="106"/>
        <v>0</v>
      </c>
      <c r="AL293" s="311"/>
      <c r="AM293" s="312"/>
      <c r="AN293" s="313">
        <f t="shared" si="107"/>
        <v>0</v>
      </c>
      <c r="AO293" s="308">
        <v>9</v>
      </c>
      <c r="AP293" s="309">
        <v>75904.111111111109</v>
      </c>
      <c r="AQ293" s="310">
        <f t="shared" si="108"/>
        <v>558942.69339999999</v>
      </c>
      <c r="AR293" s="330">
        <v>9</v>
      </c>
      <c r="AS293" s="329">
        <v>75638.222222222219</v>
      </c>
      <c r="AT293" s="313">
        <f t="shared" si="109"/>
        <v>556984.74080000003</v>
      </c>
      <c r="AU293" s="308">
        <v>6</v>
      </c>
      <c r="AV293" s="309">
        <v>57935.666666666664</v>
      </c>
      <c r="AW293" s="310">
        <f t="shared" si="110"/>
        <v>284417.77480000001</v>
      </c>
      <c r="AX293" s="330">
        <v>6</v>
      </c>
      <c r="AY293" s="329">
        <v>61013</v>
      </c>
      <c r="AZ293" s="313">
        <f t="shared" si="111"/>
        <v>299525.0196</v>
      </c>
      <c r="BA293" s="308">
        <v>9</v>
      </c>
      <c r="BB293" s="309">
        <v>53469.222222222219</v>
      </c>
      <c r="BC293" s="310">
        <f t="shared" si="112"/>
        <v>393736.65860000002</v>
      </c>
      <c r="BD293" s="330">
        <v>10</v>
      </c>
      <c r="BE293" s="329">
        <v>55351.199999999997</v>
      </c>
      <c r="BF293" s="313">
        <f t="shared" si="113"/>
        <v>452883.5184</v>
      </c>
      <c r="BG293" s="308">
        <v>6</v>
      </c>
      <c r="BH293" s="309">
        <v>45165.333333333336</v>
      </c>
      <c r="BI293" s="310">
        <f t="shared" si="114"/>
        <v>221725.6544</v>
      </c>
      <c r="BJ293" s="330">
        <v>6</v>
      </c>
      <c r="BK293" s="329">
        <v>48060</v>
      </c>
      <c r="BL293" s="313">
        <f t="shared" si="115"/>
        <v>235936.152</v>
      </c>
      <c r="BM293" s="308">
        <v>0</v>
      </c>
      <c r="BN293" s="309">
        <v>0</v>
      </c>
      <c r="BO293" s="310">
        <f t="shared" si="116"/>
        <v>0</v>
      </c>
      <c r="BP293" s="330"/>
      <c r="BQ293" s="331"/>
      <c r="BR293" s="313">
        <f t="shared" si="117"/>
        <v>0</v>
      </c>
      <c r="BS293" s="308"/>
      <c r="BT293" s="309"/>
      <c r="BU293" s="310">
        <f t="shared" si="118"/>
        <v>0</v>
      </c>
      <c r="BV293" s="311"/>
      <c r="BW293" s="312"/>
      <c r="BX293" s="313">
        <f t="shared" si="119"/>
        <v>0</v>
      </c>
    </row>
    <row r="294" spans="1:76">
      <c r="A294" s="325" t="s">
        <v>443</v>
      </c>
      <c r="B294" s="326" t="s">
        <v>877</v>
      </c>
      <c r="C294" s="325">
        <v>161864</v>
      </c>
      <c r="D294" s="327">
        <v>9</v>
      </c>
      <c r="E294" s="308">
        <v>28</v>
      </c>
      <c r="F294" s="309">
        <v>74016.928571428565</v>
      </c>
      <c r="G294" s="310">
        <f t="shared" si="96"/>
        <v>2072473.9999999998</v>
      </c>
      <c r="H294" s="328">
        <v>24</v>
      </c>
      <c r="I294" s="329">
        <v>77072.041666666672</v>
      </c>
      <c r="J294" s="313">
        <f t="shared" si="97"/>
        <v>1849729</v>
      </c>
      <c r="K294" s="308">
        <v>24</v>
      </c>
      <c r="L294" s="309">
        <v>60479.875</v>
      </c>
      <c r="M294" s="310">
        <f t="shared" si="98"/>
        <v>1451517</v>
      </c>
      <c r="N294" s="330">
        <v>26</v>
      </c>
      <c r="O294" s="329">
        <v>62574.5</v>
      </c>
      <c r="P294" s="313">
        <f t="shared" si="99"/>
        <v>1626937</v>
      </c>
      <c r="Q294" s="308">
        <v>77</v>
      </c>
      <c r="R294" s="309">
        <v>53045.415584415583</v>
      </c>
      <c r="S294" s="310">
        <f t="shared" si="100"/>
        <v>4084497</v>
      </c>
      <c r="T294" s="330">
        <v>76</v>
      </c>
      <c r="U294" s="329">
        <v>54798.184210526313</v>
      </c>
      <c r="V294" s="313">
        <f t="shared" si="101"/>
        <v>4164662</v>
      </c>
      <c r="W294" s="308">
        <v>7</v>
      </c>
      <c r="X294" s="309">
        <v>46280.285714285717</v>
      </c>
      <c r="Y294" s="310">
        <f t="shared" si="102"/>
        <v>323962</v>
      </c>
      <c r="Z294" s="330">
        <v>6</v>
      </c>
      <c r="AA294" s="329">
        <v>44640.333333333336</v>
      </c>
      <c r="AB294" s="313">
        <f t="shared" si="103"/>
        <v>267842</v>
      </c>
      <c r="AC294" s="308">
        <v>0</v>
      </c>
      <c r="AD294" s="309">
        <v>0</v>
      </c>
      <c r="AE294" s="310">
        <f t="shared" si="104"/>
        <v>0</v>
      </c>
      <c r="AF294" s="330">
        <v>1</v>
      </c>
      <c r="AG294" s="329">
        <v>78999</v>
      </c>
      <c r="AH294" s="313">
        <f t="shared" si="105"/>
        <v>78999</v>
      </c>
      <c r="AI294" s="308"/>
      <c r="AJ294" s="309"/>
      <c r="AK294" s="310">
        <f t="shared" si="106"/>
        <v>0</v>
      </c>
      <c r="AL294" s="311"/>
      <c r="AM294" s="312"/>
      <c r="AN294" s="313">
        <f t="shared" si="107"/>
        <v>0</v>
      </c>
      <c r="AO294" s="308"/>
      <c r="AP294" s="309"/>
      <c r="AQ294" s="310">
        <f t="shared" si="108"/>
        <v>0</v>
      </c>
      <c r="AR294" s="330"/>
      <c r="AS294" s="331"/>
      <c r="AT294" s="313">
        <f t="shared" si="109"/>
        <v>0</v>
      </c>
      <c r="AU294" s="308"/>
      <c r="AV294" s="309"/>
      <c r="AW294" s="310">
        <f t="shared" si="110"/>
        <v>0</v>
      </c>
      <c r="AX294" s="330"/>
      <c r="AY294" s="331"/>
      <c r="AZ294" s="313">
        <f t="shared" si="111"/>
        <v>0</v>
      </c>
      <c r="BA294" s="308"/>
      <c r="BB294" s="309"/>
      <c r="BC294" s="310">
        <f t="shared" si="112"/>
        <v>0</v>
      </c>
      <c r="BD294" s="330"/>
      <c r="BE294" s="331"/>
      <c r="BF294" s="313">
        <f t="shared" si="113"/>
        <v>0</v>
      </c>
      <c r="BG294" s="308"/>
      <c r="BH294" s="309"/>
      <c r="BI294" s="310">
        <f t="shared" si="114"/>
        <v>0</v>
      </c>
      <c r="BJ294" s="330"/>
      <c r="BK294" s="331"/>
      <c r="BL294" s="313">
        <f t="shared" si="115"/>
        <v>0</v>
      </c>
      <c r="BM294" s="308"/>
      <c r="BN294" s="309"/>
      <c r="BO294" s="310">
        <f t="shared" si="116"/>
        <v>0</v>
      </c>
      <c r="BP294" s="330"/>
      <c r="BQ294" s="331"/>
      <c r="BR294" s="313">
        <f t="shared" si="117"/>
        <v>0</v>
      </c>
      <c r="BS294" s="308"/>
      <c r="BT294" s="309"/>
      <c r="BU294" s="310">
        <f t="shared" si="118"/>
        <v>0</v>
      </c>
      <c r="BV294" s="311"/>
      <c r="BW294" s="312"/>
      <c r="BX294" s="313">
        <f t="shared" si="119"/>
        <v>0</v>
      </c>
    </row>
    <row r="295" spans="1:76">
      <c r="A295" s="325" t="s">
        <v>443</v>
      </c>
      <c r="B295" s="326" t="s">
        <v>878</v>
      </c>
      <c r="C295" s="325">
        <v>162122</v>
      </c>
      <c r="D295" s="327">
        <v>9</v>
      </c>
      <c r="E295" s="308">
        <v>64</v>
      </c>
      <c r="F295" s="309">
        <v>80789.515625</v>
      </c>
      <c r="G295" s="310">
        <f t="shared" si="96"/>
        <v>5170529</v>
      </c>
      <c r="H295" s="328">
        <v>68</v>
      </c>
      <c r="I295" s="329">
        <v>81072.294117647063</v>
      </c>
      <c r="J295" s="313">
        <f t="shared" si="97"/>
        <v>5512916</v>
      </c>
      <c r="K295" s="308">
        <v>13</v>
      </c>
      <c r="L295" s="309">
        <v>64789.846153846156</v>
      </c>
      <c r="M295" s="310">
        <f t="shared" si="98"/>
        <v>842268</v>
      </c>
      <c r="N295" s="330">
        <v>12</v>
      </c>
      <c r="O295" s="329">
        <v>63351.333333333336</v>
      </c>
      <c r="P295" s="313">
        <f t="shared" si="99"/>
        <v>760216</v>
      </c>
      <c r="Q295" s="308">
        <v>20</v>
      </c>
      <c r="R295" s="309">
        <v>60440.55</v>
      </c>
      <c r="S295" s="310">
        <f t="shared" si="100"/>
        <v>1208811</v>
      </c>
      <c r="T295" s="330">
        <v>13</v>
      </c>
      <c r="U295" s="329">
        <v>60383</v>
      </c>
      <c r="V295" s="313">
        <f t="shared" si="101"/>
        <v>784979</v>
      </c>
      <c r="W295" s="308">
        <v>3</v>
      </c>
      <c r="X295" s="309">
        <v>46183</v>
      </c>
      <c r="Y295" s="310">
        <f t="shared" si="102"/>
        <v>138549</v>
      </c>
      <c r="Z295" s="330">
        <v>4</v>
      </c>
      <c r="AA295" s="329">
        <v>46856.5</v>
      </c>
      <c r="AB295" s="313">
        <f t="shared" si="103"/>
        <v>187426</v>
      </c>
      <c r="AC295" s="308">
        <v>0</v>
      </c>
      <c r="AD295" s="309">
        <v>0</v>
      </c>
      <c r="AE295" s="310">
        <f t="shared" si="104"/>
        <v>0</v>
      </c>
      <c r="AF295" s="330"/>
      <c r="AG295" s="331"/>
      <c r="AH295" s="313">
        <f t="shared" si="105"/>
        <v>0</v>
      </c>
      <c r="AI295" s="308"/>
      <c r="AJ295" s="309"/>
      <c r="AK295" s="310">
        <f t="shared" si="106"/>
        <v>0</v>
      </c>
      <c r="AL295" s="311"/>
      <c r="AM295" s="312"/>
      <c r="AN295" s="313">
        <f t="shared" si="107"/>
        <v>0</v>
      </c>
      <c r="AO295" s="308">
        <v>19</v>
      </c>
      <c r="AP295" s="309">
        <v>99701</v>
      </c>
      <c r="AQ295" s="310">
        <f t="shared" si="108"/>
        <v>1549931.8058</v>
      </c>
      <c r="AR295" s="330">
        <v>17</v>
      </c>
      <c r="AS295" s="329">
        <v>101533.05882352941</v>
      </c>
      <c r="AT295" s="313">
        <f t="shared" si="109"/>
        <v>1412263.9284000001</v>
      </c>
      <c r="AU295" s="308">
        <v>3</v>
      </c>
      <c r="AV295" s="309">
        <v>69755.666666666672</v>
      </c>
      <c r="AW295" s="310">
        <f t="shared" si="110"/>
        <v>171222.25940000001</v>
      </c>
      <c r="AX295" s="330">
        <v>4</v>
      </c>
      <c r="AY295" s="329">
        <v>74618.75</v>
      </c>
      <c r="AZ295" s="313">
        <f t="shared" si="111"/>
        <v>244212.24500000002</v>
      </c>
      <c r="BA295" s="308">
        <v>5</v>
      </c>
      <c r="BB295" s="309">
        <v>70286</v>
      </c>
      <c r="BC295" s="310">
        <f t="shared" si="112"/>
        <v>287540.02600000001</v>
      </c>
      <c r="BD295" s="330">
        <v>1</v>
      </c>
      <c r="BE295" s="329">
        <v>68453</v>
      </c>
      <c r="BF295" s="313">
        <f t="shared" si="113"/>
        <v>56008.244600000005</v>
      </c>
      <c r="BG295" s="308">
        <v>0</v>
      </c>
      <c r="BH295" s="309">
        <v>0</v>
      </c>
      <c r="BI295" s="310">
        <f t="shared" si="114"/>
        <v>0</v>
      </c>
      <c r="BJ295" s="330"/>
      <c r="BK295" s="331"/>
      <c r="BL295" s="313">
        <f t="shared" si="115"/>
        <v>0</v>
      </c>
      <c r="BM295" s="308">
        <v>0</v>
      </c>
      <c r="BN295" s="309">
        <v>0</v>
      </c>
      <c r="BO295" s="310">
        <f t="shared" si="116"/>
        <v>0</v>
      </c>
      <c r="BP295" s="330"/>
      <c r="BQ295" s="331"/>
      <c r="BR295" s="313">
        <f t="shared" si="117"/>
        <v>0</v>
      </c>
      <c r="BS295" s="308"/>
      <c r="BT295" s="309"/>
      <c r="BU295" s="310">
        <f t="shared" si="118"/>
        <v>0</v>
      </c>
      <c r="BV295" s="311"/>
      <c r="BW295" s="312"/>
      <c r="BX295" s="313">
        <f t="shared" si="119"/>
        <v>0</v>
      </c>
    </row>
    <row r="296" spans="1:76">
      <c r="A296" s="325" t="s">
        <v>443</v>
      </c>
      <c r="B296" s="326" t="s">
        <v>879</v>
      </c>
      <c r="C296" s="325">
        <v>162557</v>
      </c>
      <c r="D296" s="327">
        <v>9</v>
      </c>
      <c r="E296" s="308">
        <v>21</v>
      </c>
      <c r="F296" s="309">
        <v>79087.761904761908</v>
      </c>
      <c r="G296" s="310">
        <f t="shared" si="96"/>
        <v>1660843</v>
      </c>
      <c r="H296" s="328">
        <v>21</v>
      </c>
      <c r="I296" s="329">
        <v>80313.428571428565</v>
      </c>
      <c r="J296" s="313">
        <f t="shared" si="97"/>
        <v>1686581.9999999998</v>
      </c>
      <c r="K296" s="308">
        <v>20</v>
      </c>
      <c r="L296" s="309">
        <v>69899.3</v>
      </c>
      <c r="M296" s="310">
        <f t="shared" si="98"/>
        <v>1397986</v>
      </c>
      <c r="N296" s="330">
        <v>23</v>
      </c>
      <c r="O296" s="329">
        <v>68943.260869565216</v>
      </c>
      <c r="P296" s="313">
        <f t="shared" si="99"/>
        <v>1585695</v>
      </c>
      <c r="Q296" s="308">
        <v>42</v>
      </c>
      <c r="R296" s="309">
        <v>56534.071428571428</v>
      </c>
      <c r="S296" s="310">
        <f t="shared" si="100"/>
        <v>2374431</v>
      </c>
      <c r="T296" s="330">
        <v>43</v>
      </c>
      <c r="U296" s="329">
        <v>52483.953488372092</v>
      </c>
      <c r="V296" s="313">
        <f t="shared" si="101"/>
        <v>2256810</v>
      </c>
      <c r="W296" s="308">
        <v>0</v>
      </c>
      <c r="X296" s="309">
        <v>0</v>
      </c>
      <c r="Y296" s="310">
        <f t="shared" si="102"/>
        <v>0</v>
      </c>
      <c r="Z296" s="330"/>
      <c r="AA296" s="331"/>
      <c r="AB296" s="313">
        <f t="shared" si="103"/>
        <v>0</v>
      </c>
      <c r="AC296" s="308">
        <v>0</v>
      </c>
      <c r="AD296" s="309">
        <v>0</v>
      </c>
      <c r="AE296" s="310">
        <f t="shared" si="104"/>
        <v>0</v>
      </c>
      <c r="AF296" s="330"/>
      <c r="AG296" s="331"/>
      <c r="AH296" s="313">
        <f t="shared" si="105"/>
        <v>0</v>
      </c>
      <c r="AI296" s="308"/>
      <c r="AJ296" s="309"/>
      <c r="AK296" s="310">
        <f t="shared" si="106"/>
        <v>0</v>
      </c>
      <c r="AL296" s="311"/>
      <c r="AM296" s="312"/>
      <c r="AN296" s="313">
        <f t="shared" si="107"/>
        <v>0</v>
      </c>
      <c r="AO296" s="308">
        <v>2</v>
      </c>
      <c r="AP296" s="309">
        <v>98846.5</v>
      </c>
      <c r="AQ296" s="310">
        <f t="shared" si="108"/>
        <v>161752.41260000001</v>
      </c>
      <c r="AR296" s="330">
        <v>3</v>
      </c>
      <c r="AS296" s="329">
        <v>99277</v>
      </c>
      <c r="AT296" s="313">
        <f t="shared" si="109"/>
        <v>243685.3242</v>
      </c>
      <c r="AU296" s="308">
        <v>2</v>
      </c>
      <c r="AV296" s="309">
        <v>88737.5</v>
      </c>
      <c r="AW296" s="310">
        <f t="shared" si="110"/>
        <v>145210.04500000001</v>
      </c>
      <c r="AX296" s="330">
        <v>1</v>
      </c>
      <c r="AY296" s="329">
        <v>90037</v>
      </c>
      <c r="AZ296" s="313">
        <f t="shared" si="111"/>
        <v>73668.273400000005</v>
      </c>
      <c r="BA296" s="308">
        <v>1</v>
      </c>
      <c r="BB296" s="309">
        <v>63094</v>
      </c>
      <c r="BC296" s="310">
        <f t="shared" si="112"/>
        <v>51623.510800000004</v>
      </c>
      <c r="BD296" s="330">
        <v>1</v>
      </c>
      <c r="BE296" s="329">
        <v>66293</v>
      </c>
      <c r="BF296" s="313">
        <f t="shared" si="113"/>
        <v>54240.9326</v>
      </c>
      <c r="BG296" s="308">
        <v>0</v>
      </c>
      <c r="BH296" s="309">
        <v>0</v>
      </c>
      <c r="BI296" s="310">
        <f t="shared" si="114"/>
        <v>0</v>
      </c>
      <c r="BJ296" s="330"/>
      <c r="BK296" s="331"/>
      <c r="BL296" s="313">
        <f t="shared" si="115"/>
        <v>0</v>
      </c>
      <c r="BM296" s="308">
        <v>0</v>
      </c>
      <c r="BN296" s="309">
        <v>0</v>
      </c>
      <c r="BO296" s="310">
        <f t="shared" si="116"/>
        <v>0</v>
      </c>
      <c r="BP296" s="330"/>
      <c r="BQ296" s="331"/>
      <c r="BR296" s="313">
        <f t="shared" si="117"/>
        <v>0</v>
      </c>
      <c r="BS296" s="308"/>
      <c r="BT296" s="309"/>
      <c r="BU296" s="310">
        <f t="shared" si="118"/>
        <v>0</v>
      </c>
      <c r="BV296" s="311"/>
      <c r="BW296" s="312"/>
      <c r="BX296" s="313">
        <f t="shared" si="119"/>
        <v>0</v>
      </c>
    </row>
    <row r="297" spans="1:76">
      <c r="A297" s="325" t="s">
        <v>443</v>
      </c>
      <c r="B297" s="326" t="s">
        <v>887</v>
      </c>
      <c r="C297" s="325">
        <v>162690</v>
      </c>
      <c r="D297" s="327">
        <v>9</v>
      </c>
      <c r="E297" s="308">
        <v>15</v>
      </c>
      <c r="F297" s="309">
        <v>71079.733333333337</v>
      </c>
      <c r="G297" s="310">
        <f t="shared" si="96"/>
        <v>1066196</v>
      </c>
      <c r="H297" s="328">
        <v>13</v>
      </c>
      <c r="I297" s="329">
        <v>74538.923076923078</v>
      </c>
      <c r="J297" s="313">
        <f t="shared" si="97"/>
        <v>969006</v>
      </c>
      <c r="K297" s="308">
        <v>6</v>
      </c>
      <c r="L297" s="309">
        <v>56361.833333333336</v>
      </c>
      <c r="M297" s="310">
        <f t="shared" si="98"/>
        <v>338171</v>
      </c>
      <c r="N297" s="330">
        <v>6</v>
      </c>
      <c r="O297" s="329">
        <v>59410.166666666664</v>
      </c>
      <c r="P297" s="313">
        <f t="shared" si="99"/>
        <v>356461</v>
      </c>
      <c r="Q297" s="308">
        <v>19</v>
      </c>
      <c r="R297" s="309">
        <v>48898.315789473687</v>
      </c>
      <c r="S297" s="310">
        <f t="shared" si="100"/>
        <v>929068</v>
      </c>
      <c r="T297" s="330">
        <v>25</v>
      </c>
      <c r="U297" s="329">
        <v>51418</v>
      </c>
      <c r="V297" s="313">
        <f t="shared" si="101"/>
        <v>1285450</v>
      </c>
      <c r="W297" s="308">
        <v>18</v>
      </c>
      <c r="X297" s="309">
        <v>46257.333333333336</v>
      </c>
      <c r="Y297" s="310">
        <f t="shared" si="102"/>
        <v>832632</v>
      </c>
      <c r="Z297" s="330">
        <v>15</v>
      </c>
      <c r="AA297" s="329">
        <v>46986.533333333333</v>
      </c>
      <c r="AB297" s="313">
        <f t="shared" si="103"/>
        <v>704798</v>
      </c>
      <c r="AC297" s="308">
        <v>0</v>
      </c>
      <c r="AD297" s="309">
        <v>0</v>
      </c>
      <c r="AE297" s="310">
        <f t="shared" si="104"/>
        <v>0</v>
      </c>
      <c r="AF297" s="330"/>
      <c r="AG297" s="331"/>
      <c r="AH297" s="313">
        <f t="shared" si="105"/>
        <v>0</v>
      </c>
      <c r="AI297" s="308"/>
      <c r="AJ297" s="309"/>
      <c r="AK297" s="310">
        <f t="shared" si="106"/>
        <v>0</v>
      </c>
      <c r="AL297" s="311"/>
      <c r="AM297" s="312"/>
      <c r="AN297" s="313">
        <f t="shared" si="107"/>
        <v>0</v>
      </c>
      <c r="AO297" s="308">
        <v>4</v>
      </c>
      <c r="AP297" s="309">
        <v>86875.25</v>
      </c>
      <c r="AQ297" s="310">
        <f t="shared" si="108"/>
        <v>284325.31820000004</v>
      </c>
      <c r="AR297" s="330">
        <v>4</v>
      </c>
      <c r="AS297" s="329">
        <v>84257.25</v>
      </c>
      <c r="AT297" s="313">
        <f t="shared" si="109"/>
        <v>275757.12780000002</v>
      </c>
      <c r="AU297" s="308">
        <v>1</v>
      </c>
      <c r="AV297" s="309">
        <v>57074</v>
      </c>
      <c r="AW297" s="310">
        <f t="shared" si="110"/>
        <v>46697.946800000005</v>
      </c>
      <c r="AX297" s="330">
        <v>1</v>
      </c>
      <c r="AY297" s="329">
        <v>60673</v>
      </c>
      <c r="AZ297" s="313">
        <f t="shared" si="111"/>
        <v>49642.6486</v>
      </c>
      <c r="BA297" s="308">
        <v>2</v>
      </c>
      <c r="BB297" s="309">
        <v>54486.5</v>
      </c>
      <c r="BC297" s="310">
        <f t="shared" si="112"/>
        <v>89161.708599999998</v>
      </c>
      <c r="BD297" s="330">
        <v>2</v>
      </c>
      <c r="BE297" s="329">
        <v>57405.5</v>
      </c>
      <c r="BF297" s="313">
        <f t="shared" si="113"/>
        <v>93938.36020000001</v>
      </c>
      <c r="BG297" s="308">
        <v>7</v>
      </c>
      <c r="BH297" s="309">
        <v>50143.428571428572</v>
      </c>
      <c r="BI297" s="310">
        <f t="shared" si="114"/>
        <v>287191.47279999999</v>
      </c>
      <c r="BJ297" s="330">
        <v>5</v>
      </c>
      <c r="BK297" s="329">
        <v>52696.4</v>
      </c>
      <c r="BL297" s="313">
        <f t="shared" si="115"/>
        <v>215580.9724</v>
      </c>
      <c r="BM297" s="308">
        <v>0</v>
      </c>
      <c r="BN297" s="309">
        <v>0</v>
      </c>
      <c r="BO297" s="310">
        <f t="shared" si="116"/>
        <v>0</v>
      </c>
      <c r="BP297" s="330"/>
      <c r="BQ297" s="331"/>
      <c r="BR297" s="313">
        <f t="shared" si="117"/>
        <v>0</v>
      </c>
      <c r="BS297" s="308"/>
      <c r="BT297" s="309"/>
      <c r="BU297" s="310">
        <f t="shared" si="118"/>
        <v>0</v>
      </c>
      <c r="BV297" s="311"/>
      <c r="BW297" s="312"/>
      <c r="BX297" s="313">
        <f t="shared" si="119"/>
        <v>0</v>
      </c>
    </row>
    <row r="298" spans="1:76">
      <c r="A298" s="325" t="s">
        <v>443</v>
      </c>
      <c r="B298" s="326" t="s">
        <v>880</v>
      </c>
      <c r="C298" s="325">
        <v>162706</v>
      </c>
      <c r="D298" s="327">
        <v>9</v>
      </c>
      <c r="E298" s="308">
        <v>16</v>
      </c>
      <c r="F298" s="309">
        <v>80480.25</v>
      </c>
      <c r="G298" s="310">
        <f t="shared" si="96"/>
        <v>1287684</v>
      </c>
      <c r="H298" s="328">
        <v>17</v>
      </c>
      <c r="I298" s="329">
        <v>83520.176470588238</v>
      </c>
      <c r="J298" s="313">
        <f t="shared" si="97"/>
        <v>1419843</v>
      </c>
      <c r="K298" s="308">
        <v>20</v>
      </c>
      <c r="L298" s="309">
        <v>67334.45</v>
      </c>
      <c r="M298" s="310">
        <f t="shared" si="98"/>
        <v>1346689</v>
      </c>
      <c r="N298" s="330">
        <v>20</v>
      </c>
      <c r="O298" s="329">
        <v>67531.3</v>
      </c>
      <c r="P298" s="313">
        <f t="shared" si="99"/>
        <v>1350626</v>
      </c>
      <c r="Q298" s="308">
        <v>20</v>
      </c>
      <c r="R298" s="309">
        <v>53538.8</v>
      </c>
      <c r="S298" s="310">
        <f t="shared" si="100"/>
        <v>1070776</v>
      </c>
      <c r="T298" s="330">
        <v>21</v>
      </c>
      <c r="U298" s="329">
        <v>54621.142857142855</v>
      </c>
      <c r="V298" s="313">
        <f t="shared" si="101"/>
        <v>1147044</v>
      </c>
      <c r="W298" s="308">
        <v>41</v>
      </c>
      <c r="X298" s="309">
        <v>44690.609756097561</v>
      </c>
      <c r="Y298" s="310">
        <f t="shared" si="102"/>
        <v>1832315</v>
      </c>
      <c r="Z298" s="330">
        <v>2</v>
      </c>
      <c r="AA298" s="329">
        <v>49523</v>
      </c>
      <c r="AB298" s="313">
        <f t="shared" si="103"/>
        <v>99046</v>
      </c>
      <c r="AC298" s="308">
        <v>0</v>
      </c>
      <c r="AD298" s="309">
        <v>0</v>
      </c>
      <c r="AE298" s="310">
        <f t="shared" si="104"/>
        <v>0</v>
      </c>
      <c r="AF298" s="330"/>
      <c r="AG298" s="331"/>
      <c r="AH298" s="313">
        <f t="shared" si="105"/>
        <v>0</v>
      </c>
      <c r="AI298" s="308"/>
      <c r="AJ298" s="309"/>
      <c r="AK298" s="310">
        <f t="shared" si="106"/>
        <v>0</v>
      </c>
      <c r="AL298" s="311"/>
      <c r="AM298" s="312"/>
      <c r="AN298" s="313">
        <f t="shared" si="107"/>
        <v>0</v>
      </c>
      <c r="AO298" s="308">
        <v>0</v>
      </c>
      <c r="AP298" s="309">
        <v>0</v>
      </c>
      <c r="AQ298" s="310">
        <f t="shared" si="108"/>
        <v>0</v>
      </c>
      <c r="AR298" s="330"/>
      <c r="AS298" s="331"/>
      <c r="AT298" s="313">
        <f t="shared" si="109"/>
        <v>0</v>
      </c>
      <c r="AU298" s="308">
        <v>1</v>
      </c>
      <c r="AV298" s="309">
        <v>85759</v>
      </c>
      <c r="AW298" s="310">
        <f t="shared" si="110"/>
        <v>70168.013800000001</v>
      </c>
      <c r="AX298" s="330">
        <v>1</v>
      </c>
      <c r="AY298" s="329">
        <v>88332</v>
      </c>
      <c r="AZ298" s="313">
        <f t="shared" si="111"/>
        <v>72273.242400000003</v>
      </c>
      <c r="BA298" s="308">
        <v>2</v>
      </c>
      <c r="BB298" s="309">
        <v>78097</v>
      </c>
      <c r="BC298" s="310">
        <f t="shared" si="112"/>
        <v>127797.9308</v>
      </c>
      <c r="BD298" s="330"/>
      <c r="BE298" s="331"/>
      <c r="BF298" s="313">
        <f t="shared" si="113"/>
        <v>0</v>
      </c>
      <c r="BG298" s="308">
        <v>0</v>
      </c>
      <c r="BH298" s="309">
        <v>0</v>
      </c>
      <c r="BI298" s="310">
        <f t="shared" si="114"/>
        <v>0</v>
      </c>
      <c r="BJ298" s="330"/>
      <c r="BK298" s="331"/>
      <c r="BL298" s="313">
        <f t="shared" si="115"/>
        <v>0</v>
      </c>
      <c r="BM298" s="308">
        <v>0</v>
      </c>
      <c r="BN298" s="309">
        <v>0</v>
      </c>
      <c r="BO298" s="310">
        <f t="shared" si="116"/>
        <v>0</v>
      </c>
      <c r="BP298" s="330">
        <v>1</v>
      </c>
      <c r="BQ298" s="329">
        <v>52000</v>
      </c>
      <c r="BR298" s="313">
        <f t="shared" si="117"/>
        <v>42546.400000000001</v>
      </c>
      <c r="BS298" s="308"/>
      <c r="BT298" s="309"/>
      <c r="BU298" s="310">
        <f t="shared" si="118"/>
        <v>0</v>
      </c>
      <c r="BV298" s="311"/>
      <c r="BW298" s="312"/>
      <c r="BX298" s="313">
        <f t="shared" si="119"/>
        <v>0</v>
      </c>
    </row>
    <row r="299" spans="1:76">
      <c r="A299" s="325" t="s">
        <v>443</v>
      </c>
      <c r="B299" s="326" t="s">
        <v>881</v>
      </c>
      <c r="C299" s="325">
        <v>162779</v>
      </c>
      <c r="D299" s="327">
        <v>9</v>
      </c>
      <c r="E299" s="308">
        <v>30</v>
      </c>
      <c r="F299" s="309">
        <v>80234.366666666669</v>
      </c>
      <c r="G299" s="310">
        <f t="shared" si="96"/>
        <v>2407031</v>
      </c>
      <c r="H299" s="328">
        <v>29</v>
      </c>
      <c r="I299" s="329">
        <v>83652.758620689652</v>
      </c>
      <c r="J299" s="313">
        <f t="shared" si="97"/>
        <v>2425930</v>
      </c>
      <c r="K299" s="308">
        <v>27</v>
      </c>
      <c r="L299" s="309">
        <v>66190.703703703708</v>
      </c>
      <c r="M299" s="310">
        <f t="shared" si="98"/>
        <v>1787149</v>
      </c>
      <c r="N299" s="330">
        <v>28</v>
      </c>
      <c r="O299" s="329">
        <v>68111.178571428565</v>
      </c>
      <c r="P299" s="313">
        <f t="shared" si="99"/>
        <v>1907112.9999999998</v>
      </c>
      <c r="Q299" s="308">
        <v>38</v>
      </c>
      <c r="R299" s="309">
        <v>55520.289473684214</v>
      </c>
      <c r="S299" s="310">
        <f t="shared" si="100"/>
        <v>2109771</v>
      </c>
      <c r="T299" s="330">
        <v>39</v>
      </c>
      <c r="U299" s="329">
        <v>58505.615384615383</v>
      </c>
      <c r="V299" s="313">
        <f t="shared" si="101"/>
        <v>2281719</v>
      </c>
      <c r="W299" s="308">
        <v>22</v>
      </c>
      <c r="X299" s="309">
        <v>49757.727272727272</v>
      </c>
      <c r="Y299" s="310">
        <f t="shared" si="102"/>
        <v>1094670</v>
      </c>
      <c r="Z299" s="330">
        <v>24</v>
      </c>
      <c r="AA299" s="329">
        <v>51678.458333333336</v>
      </c>
      <c r="AB299" s="313">
        <f t="shared" si="103"/>
        <v>1240283</v>
      </c>
      <c r="AC299" s="308">
        <v>1</v>
      </c>
      <c r="AD299" s="309">
        <v>49249</v>
      </c>
      <c r="AE299" s="310">
        <f t="shared" si="104"/>
        <v>49249</v>
      </c>
      <c r="AF299" s="330">
        <v>1</v>
      </c>
      <c r="AG299" s="329">
        <v>51980</v>
      </c>
      <c r="AH299" s="313">
        <f t="shared" si="105"/>
        <v>51980</v>
      </c>
      <c r="AI299" s="308"/>
      <c r="AJ299" s="309"/>
      <c r="AK299" s="310">
        <f t="shared" si="106"/>
        <v>0</v>
      </c>
      <c r="AL299" s="311"/>
      <c r="AM299" s="312"/>
      <c r="AN299" s="313">
        <f t="shared" si="107"/>
        <v>0</v>
      </c>
      <c r="AO299" s="308">
        <v>14</v>
      </c>
      <c r="AP299" s="309">
        <v>99987.5</v>
      </c>
      <c r="AQ299" s="310">
        <f t="shared" si="108"/>
        <v>1145336.8149999999</v>
      </c>
      <c r="AR299" s="330">
        <v>15</v>
      </c>
      <c r="AS299" s="329">
        <v>101956.8</v>
      </c>
      <c r="AT299" s="313">
        <f t="shared" si="109"/>
        <v>1251315.8064000001</v>
      </c>
      <c r="AU299" s="308">
        <v>4</v>
      </c>
      <c r="AV299" s="309">
        <v>79830.5</v>
      </c>
      <c r="AW299" s="310">
        <f t="shared" si="110"/>
        <v>261269.2604</v>
      </c>
      <c r="AX299" s="330">
        <v>5</v>
      </c>
      <c r="AY299" s="329">
        <v>86388.2</v>
      </c>
      <c r="AZ299" s="313">
        <f t="shared" si="111"/>
        <v>353414.1262</v>
      </c>
      <c r="BA299" s="308">
        <v>3</v>
      </c>
      <c r="BB299" s="309">
        <v>72098.666666666672</v>
      </c>
      <c r="BC299" s="310">
        <f t="shared" si="112"/>
        <v>176973.3872</v>
      </c>
      <c r="BD299" s="330">
        <v>5</v>
      </c>
      <c r="BE299" s="329">
        <v>73537.2</v>
      </c>
      <c r="BF299" s="313">
        <f t="shared" si="113"/>
        <v>300840.68520000001</v>
      </c>
      <c r="BG299" s="308">
        <v>1</v>
      </c>
      <c r="BH299" s="309">
        <v>57746</v>
      </c>
      <c r="BI299" s="310">
        <f t="shared" si="114"/>
        <v>47247.777200000004</v>
      </c>
      <c r="BJ299" s="330">
        <v>1</v>
      </c>
      <c r="BK299" s="329">
        <v>72461</v>
      </c>
      <c r="BL299" s="313">
        <f t="shared" si="115"/>
        <v>59287.590200000006</v>
      </c>
      <c r="BM299" s="308">
        <v>1</v>
      </c>
      <c r="BN299" s="309">
        <v>50442</v>
      </c>
      <c r="BO299" s="310">
        <f t="shared" si="116"/>
        <v>41271.644400000005</v>
      </c>
      <c r="BP299" s="330">
        <v>1</v>
      </c>
      <c r="BQ299" s="329">
        <v>53424</v>
      </c>
      <c r="BR299" s="313">
        <f t="shared" si="117"/>
        <v>43711.516800000005</v>
      </c>
      <c r="BS299" s="308"/>
      <c r="BT299" s="309"/>
      <c r="BU299" s="310">
        <f t="shared" si="118"/>
        <v>0</v>
      </c>
      <c r="BV299" s="311"/>
      <c r="BW299" s="312"/>
      <c r="BX299" s="313">
        <f t="shared" si="119"/>
        <v>0</v>
      </c>
    </row>
    <row r="300" spans="1:76">
      <c r="A300" s="325" t="s">
        <v>443</v>
      </c>
      <c r="B300" s="422" t="s">
        <v>883</v>
      </c>
      <c r="C300" s="325">
        <v>405872</v>
      </c>
      <c r="D300" s="325">
        <v>10</v>
      </c>
      <c r="E300" s="308">
        <v>5</v>
      </c>
      <c r="F300" s="309">
        <v>69472.800000000003</v>
      </c>
      <c r="G300" s="310">
        <f t="shared" si="96"/>
        <v>347364</v>
      </c>
      <c r="H300" s="328">
        <v>6</v>
      </c>
      <c r="I300" s="329">
        <v>70012</v>
      </c>
      <c r="J300" s="313">
        <f t="shared" si="97"/>
        <v>420072</v>
      </c>
      <c r="K300" s="308">
        <v>16</v>
      </c>
      <c r="L300" s="309">
        <v>56985.1875</v>
      </c>
      <c r="M300" s="310">
        <f t="shared" si="98"/>
        <v>911763</v>
      </c>
      <c r="N300" s="330">
        <v>16</v>
      </c>
      <c r="O300" s="329">
        <v>62048.25</v>
      </c>
      <c r="P300" s="313">
        <f t="shared" si="99"/>
        <v>992772</v>
      </c>
      <c r="Q300" s="308">
        <v>25</v>
      </c>
      <c r="R300" s="309">
        <v>50972.800000000003</v>
      </c>
      <c r="S300" s="310">
        <f t="shared" si="100"/>
        <v>1274320</v>
      </c>
      <c r="T300" s="330">
        <v>27</v>
      </c>
      <c r="U300" s="329">
        <v>52786.777777777781</v>
      </c>
      <c r="V300" s="313">
        <f t="shared" si="101"/>
        <v>1425243</v>
      </c>
      <c r="W300" s="308">
        <v>7</v>
      </c>
      <c r="X300" s="309">
        <v>39609.142857142855</v>
      </c>
      <c r="Y300" s="310">
        <f t="shared" si="102"/>
        <v>277264</v>
      </c>
      <c r="Z300" s="330">
        <v>12</v>
      </c>
      <c r="AA300" s="329">
        <v>41382</v>
      </c>
      <c r="AB300" s="313">
        <f t="shared" si="103"/>
        <v>496584</v>
      </c>
      <c r="AC300" s="308">
        <v>0</v>
      </c>
      <c r="AD300" s="309">
        <v>0</v>
      </c>
      <c r="AE300" s="310">
        <f t="shared" si="104"/>
        <v>0</v>
      </c>
      <c r="AF300" s="330"/>
      <c r="AG300" s="331"/>
      <c r="AH300" s="313">
        <f t="shared" si="105"/>
        <v>0</v>
      </c>
      <c r="AI300" s="308"/>
      <c r="AJ300" s="309"/>
      <c r="AK300" s="310">
        <f t="shared" si="106"/>
        <v>0</v>
      </c>
      <c r="AL300" s="311"/>
      <c r="AM300" s="312"/>
      <c r="AN300" s="313">
        <f t="shared" si="107"/>
        <v>0</v>
      </c>
      <c r="AO300" s="308">
        <v>2</v>
      </c>
      <c r="AP300" s="309">
        <v>86737.5</v>
      </c>
      <c r="AQ300" s="310">
        <f t="shared" si="108"/>
        <v>141937.245</v>
      </c>
      <c r="AR300" s="330">
        <v>3</v>
      </c>
      <c r="AS300" s="329">
        <v>90214.666666666672</v>
      </c>
      <c r="AT300" s="313">
        <f t="shared" si="109"/>
        <v>221440.92080000002</v>
      </c>
      <c r="AU300" s="308">
        <v>3</v>
      </c>
      <c r="AV300" s="309">
        <v>80348.333333333328</v>
      </c>
      <c r="AW300" s="310">
        <f t="shared" si="110"/>
        <v>197223.019</v>
      </c>
      <c r="AX300" s="330">
        <v>1</v>
      </c>
      <c r="AY300" s="329">
        <v>86140</v>
      </c>
      <c r="AZ300" s="313">
        <f t="shared" si="111"/>
        <v>70479.748000000007</v>
      </c>
      <c r="BA300" s="308">
        <v>2</v>
      </c>
      <c r="BB300" s="309">
        <v>54135.5</v>
      </c>
      <c r="BC300" s="310">
        <f t="shared" si="112"/>
        <v>88587.332200000004</v>
      </c>
      <c r="BD300" s="330">
        <v>2</v>
      </c>
      <c r="BE300" s="329">
        <v>57284.5</v>
      </c>
      <c r="BF300" s="313">
        <f t="shared" si="113"/>
        <v>93740.355800000005</v>
      </c>
      <c r="BG300" s="308">
        <v>1</v>
      </c>
      <c r="BH300" s="309">
        <v>48000</v>
      </c>
      <c r="BI300" s="310">
        <f t="shared" si="114"/>
        <v>39273.599999999999</v>
      </c>
      <c r="BJ300" s="330">
        <v>1</v>
      </c>
      <c r="BK300" s="329">
        <v>50823</v>
      </c>
      <c r="BL300" s="313">
        <f t="shared" si="115"/>
        <v>41583.378600000004</v>
      </c>
      <c r="BM300" s="308">
        <v>0</v>
      </c>
      <c r="BN300" s="309">
        <v>0</v>
      </c>
      <c r="BO300" s="310">
        <f t="shared" si="116"/>
        <v>0</v>
      </c>
      <c r="BP300" s="330"/>
      <c r="BQ300" s="331"/>
      <c r="BR300" s="313">
        <f t="shared" si="117"/>
        <v>0</v>
      </c>
      <c r="BS300" s="308"/>
      <c r="BT300" s="309"/>
      <c r="BU300" s="310">
        <f t="shared" si="118"/>
        <v>0</v>
      </c>
      <c r="BV300" s="311"/>
      <c r="BW300" s="312"/>
      <c r="BX300" s="313">
        <f t="shared" si="119"/>
        <v>0</v>
      </c>
    </row>
    <row r="301" spans="1:76">
      <c r="A301" s="325" t="s">
        <v>443</v>
      </c>
      <c r="B301" s="326" t="s">
        <v>884</v>
      </c>
      <c r="C301" s="325">
        <v>162104</v>
      </c>
      <c r="D301" s="327">
        <v>10</v>
      </c>
      <c r="E301" s="308">
        <v>12</v>
      </c>
      <c r="F301" s="309">
        <v>72723.916666666672</v>
      </c>
      <c r="G301" s="310">
        <f t="shared" si="96"/>
        <v>872687</v>
      </c>
      <c r="H301" s="328">
        <v>11</v>
      </c>
      <c r="I301" s="329">
        <v>75419.090909090912</v>
      </c>
      <c r="J301" s="313">
        <f t="shared" si="97"/>
        <v>829610</v>
      </c>
      <c r="K301" s="308">
        <v>11</v>
      </c>
      <c r="L301" s="309">
        <v>62143.181818181816</v>
      </c>
      <c r="M301" s="310">
        <f t="shared" si="98"/>
        <v>683575</v>
      </c>
      <c r="N301" s="330">
        <v>12</v>
      </c>
      <c r="O301" s="329">
        <v>63694.583333333336</v>
      </c>
      <c r="P301" s="313">
        <f t="shared" si="99"/>
        <v>764335</v>
      </c>
      <c r="Q301" s="308">
        <v>15</v>
      </c>
      <c r="R301" s="309">
        <v>49026.133333333331</v>
      </c>
      <c r="S301" s="310">
        <f t="shared" si="100"/>
        <v>735392</v>
      </c>
      <c r="T301" s="330">
        <v>15</v>
      </c>
      <c r="U301" s="329">
        <v>51261.533333333333</v>
      </c>
      <c r="V301" s="313">
        <f t="shared" si="101"/>
        <v>768923</v>
      </c>
      <c r="W301" s="308">
        <v>2</v>
      </c>
      <c r="X301" s="309">
        <v>43572.5</v>
      </c>
      <c r="Y301" s="310">
        <f t="shared" si="102"/>
        <v>87145</v>
      </c>
      <c r="Z301" s="330">
        <v>3</v>
      </c>
      <c r="AA301" s="329">
        <v>45431</v>
      </c>
      <c r="AB301" s="313">
        <f t="shared" si="103"/>
        <v>136293</v>
      </c>
      <c r="AC301" s="308">
        <v>0</v>
      </c>
      <c r="AD301" s="309">
        <v>0</v>
      </c>
      <c r="AE301" s="310">
        <f t="shared" si="104"/>
        <v>0</v>
      </c>
      <c r="AF301" s="330"/>
      <c r="AG301" s="331"/>
      <c r="AH301" s="313">
        <f t="shared" si="105"/>
        <v>0</v>
      </c>
      <c r="AI301" s="308"/>
      <c r="AJ301" s="309"/>
      <c r="AK301" s="310">
        <f t="shared" si="106"/>
        <v>0</v>
      </c>
      <c r="AL301" s="311"/>
      <c r="AM301" s="312"/>
      <c r="AN301" s="313">
        <f t="shared" si="107"/>
        <v>0</v>
      </c>
      <c r="AO301" s="308">
        <v>1</v>
      </c>
      <c r="AP301" s="309">
        <v>78202</v>
      </c>
      <c r="AQ301" s="310">
        <f t="shared" si="108"/>
        <v>63984.876400000001</v>
      </c>
      <c r="AR301" s="330">
        <v>1</v>
      </c>
      <c r="AS301" s="329">
        <v>80548</v>
      </c>
      <c r="AT301" s="313">
        <f t="shared" si="109"/>
        <v>65904.373600000006</v>
      </c>
      <c r="AU301" s="308">
        <v>1</v>
      </c>
      <c r="AV301" s="309">
        <v>70380</v>
      </c>
      <c r="AW301" s="310">
        <f t="shared" si="110"/>
        <v>57584.916000000005</v>
      </c>
      <c r="AX301" s="330">
        <v>1</v>
      </c>
      <c r="AY301" s="329">
        <v>74160</v>
      </c>
      <c r="AZ301" s="313">
        <f t="shared" si="111"/>
        <v>60677.712</v>
      </c>
      <c r="BA301" s="308">
        <v>0</v>
      </c>
      <c r="BB301" s="309">
        <v>0</v>
      </c>
      <c r="BC301" s="310">
        <f t="shared" si="112"/>
        <v>0</v>
      </c>
      <c r="BD301" s="330"/>
      <c r="BE301" s="331"/>
      <c r="BF301" s="313">
        <f t="shared" si="113"/>
        <v>0</v>
      </c>
      <c r="BG301" s="308">
        <v>2</v>
      </c>
      <c r="BH301" s="309">
        <v>52111</v>
      </c>
      <c r="BI301" s="310">
        <f t="shared" si="114"/>
        <v>85274.440400000007</v>
      </c>
      <c r="BJ301" s="330">
        <v>2</v>
      </c>
      <c r="BK301" s="329">
        <v>53674</v>
      </c>
      <c r="BL301" s="313">
        <f t="shared" si="115"/>
        <v>87832.133600000001</v>
      </c>
      <c r="BM301" s="308">
        <v>0</v>
      </c>
      <c r="BN301" s="309">
        <v>0</v>
      </c>
      <c r="BO301" s="310">
        <f t="shared" si="116"/>
        <v>0</v>
      </c>
      <c r="BP301" s="330"/>
      <c r="BQ301" s="331"/>
      <c r="BR301" s="313">
        <f t="shared" si="117"/>
        <v>0</v>
      </c>
      <c r="BS301" s="308"/>
      <c r="BT301" s="309"/>
      <c r="BU301" s="310">
        <f t="shared" si="118"/>
        <v>0</v>
      </c>
      <c r="BV301" s="311"/>
      <c r="BW301" s="312"/>
      <c r="BX301" s="313">
        <f t="shared" si="119"/>
        <v>0</v>
      </c>
    </row>
    <row r="302" spans="1:76">
      <c r="A302" s="325" t="s">
        <v>443</v>
      </c>
      <c r="B302" s="326" t="s">
        <v>885</v>
      </c>
      <c r="C302" s="325">
        <v>162168</v>
      </c>
      <c r="D302" s="327">
        <v>10</v>
      </c>
      <c r="E302" s="308">
        <v>11</v>
      </c>
      <c r="F302" s="309">
        <v>74582.818181818177</v>
      </c>
      <c r="G302" s="310">
        <f t="shared" si="96"/>
        <v>820411</v>
      </c>
      <c r="H302" s="328">
        <v>12</v>
      </c>
      <c r="I302" s="329">
        <v>74413.333333333328</v>
      </c>
      <c r="J302" s="313">
        <f t="shared" si="97"/>
        <v>892960</v>
      </c>
      <c r="K302" s="308">
        <v>21</v>
      </c>
      <c r="L302" s="309">
        <v>65090.428571428572</v>
      </c>
      <c r="M302" s="310">
        <f t="shared" si="98"/>
        <v>1366899</v>
      </c>
      <c r="N302" s="330">
        <v>18</v>
      </c>
      <c r="O302" s="329">
        <v>67883.388888888891</v>
      </c>
      <c r="P302" s="313">
        <f t="shared" si="99"/>
        <v>1221901</v>
      </c>
      <c r="Q302" s="308">
        <v>11</v>
      </c>
      <c r="R302" s="309">
        <v>55558.63636363636</v>
      </c>
      <c r="S302" s="310">
        <f t="shared" si="100"/>
        <v>611145</v>
      </c>
      <c r="T302" s="330">
        <v>13</v>
      </c>
      <c r="U302" s="329">
        <v>57153.384615384617</v>
      </c>
      <c r="V302" s="313">
        <f t="shared" si="101"/>
        <v>742994</v>
      </c>
      <c r="W302" s="308">
        <v>5</v>
      </c>
      <c r="X302" s="309">
        <v>51726.6</v>
      </c>
      <c r="Y302" s="310">
        <f t="shared" si="102"/>
        <v>258633</v>
      </c>
      <c r="Z302" s="330">
        <v>7</v>
      </c>
      <c r="AA302" s="329">
        <v>53671.142857142855</v>
      </c>
      <c r="AB302" s="313">
        <f t="shared" si="103"/>
        <v>375698</v>
      </c>
      <c r="AC302" s="308">
        <v>2</v>
      </c>
      <c r="AD302" s="309">
        <v>42323</v>
      </c>
      <c r="AE302" s="310">
        <f t="shared" si="104"/>
        <v>84646</v>
      </c>
      <c r="AF302" s="330">
        <v>1</v>
      </c>
      <c r="AG302" s="329">
        <v>35849</v>
      </c>
      <c r="AH302" s="313">
        <f t="shared" si="105"/>
        <v>35849</v>
      </c>
      <c r="AI302" s="308"/>
      <c r="AJ302" s="309"/>
      <c r="AK302" s="310">
        <f t="shared" si="106"/>
        <v>0</v>
      </c>
      <c r="AL302" s="311"/>
      <c r="AM302" s="312"/>
      <c r="AN302" s="313">
        <f t="shared" si="107"/>
        <v>0</v>
      </c>
      <c r="AO302" s="308">
        <v>2</v>
      </c>
      <c r="AP302" s="309">
        <v>91453.5</v>
      </c>
      <c r="AQ302" s="310">
        <f t="shared" si="108"/>
        <v>149654.5074</v>
      </c>
      <c r="AR302" s="330">
        <v>2</v>
      </c>
      <c r="AS302" s="329">
        <v>93753.5</v>
      </c>
      <c r="AT302" s="313">
        <f t="shared" si="109"/>
        <v>153418.2274</v>
      </c>
      <c r="AU302" s="308">
        <v>1</v>
      </c>
      <c r="AV302" s="309">
        <v>69778</v>
      </c>
      <c r="AW302" s="310">
        <f t="shared" si="110"/>
        <v>57092.359600000003</v>
      </c>
      <c r="AX302" s="330">
        <v>1</v>
      </c>
      <c r="AY302" s="329">
        <v>71872</v>
      </c>
      <c r="AZ302" s="313">
        <f t="shared" si="111"/>
        <v>58805.670400000003</v>
      </c>
      <c r="BA302" s="308">
        <v>1</v>
      </c>
      <c r="BB302" s="309">
        <v>79595</v>
      </c>
      <c r="BC302" s="310">
        <f t="shared" si="112"/>
        <v>65124.629000000001</v>
      </c>
      <c r="BD302" s="330">
        <v>2</v>
      </c>
      <c r="BE302" s="329">
        <v>77615</v>
      </c>
      <c r="BF302" s="313">
        <f t="shared" si="113"/>
        <v>127009.186</v>
      </c>
      <c r="BG302" s="308">
        <v>2</v>
      </c>
      <c r="BH302" s="309">
        <v>58439.5</v>
      </c>
      <c r="BI302" s="310">
        <f t="shared" si="114"/>
        <v>95630.397800000006</v>
      </c>
      <c r="BJ302" s="330">
        <v>1</v>
      </c>
      <c r="BK302" s="329">
        <v>50077</v>
      </c>
      <c r="BL302" s="313">
        <f t="shared" si="115"/>
        <v>40973.001400000001</v>
      </c>
      <c r="BM302" s="308">
        <v>0</v>
      </c>
      <c r="BN302" s="309">
        <v>0</v>
      </c>
      <c r="BO302" s="310">
        <f t="shared" si="116"/>
        <v>0</v>
      </c>
      <c r="BP302" s="330"/>
      <c r="BQ302" s="331"/>
      <c r="BR302" s="313">
        <f t="shared" si="117"/>
        <v>0</v>
      </c>
      <c r="BS302" s="308"/>
      <c r="BT302" s="309"/>
      <c r="BU302" s="310">
        <f t="shared" si="118"/>
        <v>0</v>
      </c>
      <c r="BV302" s="311"/>
      <c r="BW302" s="312"/>
      <c r="BX302" s="313">
        <f t="shared" si="119"/>
        <v>0</v>
      </c>
    </row>
    <row r="303" spans="1:76">
      <c r="A303" s="325" t="s">
        <v>443</v>
      </c>
      <c r="B303" s="326" t="s">
        <v>886</v>
      </c>
      <c r="C303" s="325">
        <v>162609</v>
      </c>
      <c r="D303" s="325">
        <v>10</v>
      </c>
      <c r="E303" s="308">
        <v>12</v>
      </c>
      <c r="F303" s="309">
        <v>57442.333333333336</v>
      </c>
      <c r="G303" s="310">
        <f t="shared" si="96"/>
        <v>689308</v>
      </c>
      <c r="H303" s="328">
        <v>12</v>
      </c>
      <c r="I303" s="329">
        <v>64792</v>
      </c>
      <c r="J303" s="313">
        <f t="shared" si="97"/>
        <v>777504</v>
      </c>
      <c r="K303" s="308">
        <v>4</v>
      </c>
      <c r="L303" s="309">
        <v>49532.75</v>
      </c>
      <c r="M303" s="310">
        <f t="shared" si="98"/>
        <v>198131</v>
      </c>
      <c r="N303" s="330">
        <v>4</v>
      </c>
      <c r="O303" s="329">
        <v>53165</v>
      </c>
      <c r="P303" s="313">
        <f t="shared" si="99"/>
        <v>212660</v>
      </c>
      <c r="Q303" s="308">
        <v>1</v>
      </c>
      <c r="R303" s="309">
        <v>46568</v>
      </c>
      <c r="S303" s="310">
        <f t="shared" si="100"/>
        <v>46568</v>
      </c>
      <c r="T303" s="330">
        <v>1</v>
      </c>
      <c r="U303" s="329">
        <v>50018</v>
      </c>
      <c r="V303" s="313">
        <f t="shared" si="101"/>
        <v>50018</v>
      </c>
      <c r="W303" s="308">
        <v>0</v>
      </c>
      <c r="X303" s="309">
        <v>0</v>
      </c>
      <c r="Y303" s="310">
        <f t="shared" si="102"/>
        <v>0</v>
      </c>
      <c r="Z303" s="330"/>
      <c r="AA303" s="331"/>
      <c r="AB303" s="313">
        <f t="shared" si="103"/>
        <v>0</v>
      </c>
      <c r="AC303" s="308">
        <v>0</v>
      </c>
      <c r="AD303" s="309">
        <v>0</v>
      </c>
      <c r="AE303" s="310">
        <f t="shared" si="104"/>
        <v>0</v>
      </c>
      <c r="AF303" s="330"/>
      <c r="AG303" s="312"/>
      <c r="AH303" s="313">
        <f t="shared" si="105"/>
        <v>0</v>
      </c>
      <c r="AI303" s="308"/>
      <c r="AJ303" s="309"/>
      <c r="AK303" s="310">
        <f t="shared" si="106"/>
        <v>0</v>
      </c>
      <c r="AL303" s="311"/>
      <c r="AM303" s="312"/>
      <c r="AN303" s="313">
        <f t="shared" si="107"/>
        <v>0</v>
      </c>
      <c r="AO303" s="308"/>
      <c r="AP303" s="309"/>
      <c r="AQ303" s="310">
        <f t="shared" si="108"/>
        <v>0</v>
      </c>
      <c r="AR303" s="330"/>
      <c r="AS303" s="331"/>
      <c r="AT303" s="313">
        <f t="shared" si="109"/>
        <v>0</v>
      </c>
      <c r="AU303" s="308"/>
      <c r="AV303" s="309"/>
      <c r="AW303" s="310">
        <f t="shared" si="110"/>
        <v>0</v>
      </c>
      <c r="AX303" s="330"/>
      <c r="AY303" s="331"/>
      <c r="AZ303" s="313">
        <f t="shared" si="111"/>
        <v>0</v>
      </c>
      <c r="BA303" s="308"/>
      <c r="BB303" s="309"/>
      <c r="BC303" s="310">
        <f t="shared" si="112"/>
        <v>0</v>
      </c>
      <c r="BD303" s="330"/>
      <c r="BE303" s="331"/>
      <c r="BF303" s="313">
        <f t="shared" si="113"/>
        <v>0</v>
      </c>
      <c r="BG303" s="308"/>
      <c r="BH303" s="309"/>
      <c r="BI303" s="310">
        <f t="shared" si="114"/>
        <v>0</v>
      </c>
      <c r="BJ303" s="330"/>
      <c r="BK303" s="331"/>
      <c r="BL303" s="313">
        <f t="shared" si="115"/>
        <v>0</v>
      </c>
      <c r="BM303" s="308"/>
      <c r="BN303" s="309"/>
      <c r="BO303" s="310">
        <f t="shared" si="116"/>
        <v>0</v>
      </c>
      <c r="BP303" s="330"/>
      <c r="BQ303" s="331"/>
      <c r="BR303" s="313">
        <f t="shared" si="117"/>
        <v>0</v>
      </c>
      <c r="BS303" s="308"/>
      <c r="BT303" s="309"/>
      <c r="BU303" s="310">
        <f t="shared" si="118"/>
        <v>0</v>
      </c>
      <c r="BV303" s="311"/>
      <c r="BW303" s="312"/>
      <c r="BX303" s="313">
        <f t="shared" si="119"/>
        <v>0</v>
      </c>
    </row>
    <row r="304" spans="1:76">
      <c r="A304" s="325" t="s">
        <v>443</v>
      </c>
      <c r="B304" s="422" t="s">
        <v>888</v>
      </c>
      <c r="C304" s="325">
        <v>164313</v>
      </c>
      <c r="D304" s="325">
        <v>10</v>
      </c>
      <c r="E304" s="308">
        <v>6</v>
      </c>
      <c r="F304" s="309">
        <v>80958.5</v>
      </c>
      <c r="G304" s="310">
        <f t="shared" si="96"/>
        <v>485751</v>
      </c>
      <c r="H304" s="328">
        <v>6</v>
      </c>
      <c r="I304" s="329">
        <v>82010.833333333328</v>
      </c>
      <c r="J304" s="313">
        <f t="shared" si="97"/>
        <v>492065</v>
      </c>
      <c r="K304" s="308">
        <v>7</v>
      </c>
      <c r="L304" s="309">
        <v>63674.571428571428</v>
      </c>
      <c r="M304" s="310">
        <f t="shared" si="98"/>
        <v>445722</v>
      </c>
      <c r="N304" s="330">
        <v>6</v>
      </c>
      <c r="O304" s="329">
        <v>64024.666666666664</v>
      </c>
      <c r="P304" s="313">
        <f t="shared" si="99"/>
        <v>384148</v>
      </c>
      <c r="Q304" s="308">
        <v>15</v>
      </c>
      <c r="R304" s="309">
        <v>55102.73333333333</v>
      </c>
      <c r="S304" s="310">
        <f t="shared" si="100"/>
        <v>826541</v>
      </c>
      <c r="T304" s="330">
        <v>17</v>
      </c>
      <c r="U304" s="329">
        <v>55531.705882352944</v>
      </c>
      <c r="V304" s="313">
        <f t="shared" si="101"/>
        <v>944039</v>
      </c>
      <c r="W304" s="308">
        <v>20</v>
      </c>
      <c r="X304" s="309">
        <v>44953.4</v>
      </c>
      <c r="Y304" s="310">
        <f t="shared" si="102"/>
        <v>899068</v>
      </c>
      <c r="Z304" s="330">
        <v>21</v>
      </c>
      <c r="AA304" s="329">
        <v>46857.952380952382</v>
      </c>
      <c r="AB304" s="313">
        <f t="shared" si="103"/>
        <v>984017</v>
      </c>
      <c r="AC304" s="308">
        <v>0</v>
      </c>
      <c r="AD304" s="309">
        <v>0</v>
      </c>
      <c r="AE304" s="310">
        <f t="shared" si="104"/>
        <v>0</v>
      </c>
      <c r="AF304" s="330"/>
      <c r="AG304" s="312"/>
      <c r="AH304" s="313">
        <f t="shared" si="105"/>
        <v>0</v>
      </c>
      <c r="AI304" s="308"/>
      <c r="AJ304" s="309"/>
      <c r="AK304" s="310">
        <f t="shared" si="106"/>
        <v>0</v>
      </c>
      <c r="AL304" s="311"/>
      <c r="AM304" s="312"/>
      <c r="AN304" s="313">
        <f t="shared" si="107"/>
        <v>0</v>
      </c>
      <c r="AO304" s="308">
        <v>3</v>
      </c>
      <c r="AP304" s="309">
        <v>85099</v>
      </c>
      <c r="AQ304" s="310">
        <f t="shared" si="108"/>
        <v>208884.00540000002</v>
      </c>
      <c r="AR304" s="330">
        <v>4</v>
      </c>
      <c r="AS304" s="329">
        <v>88738.5</v>
      </c>
      <c r="AT304" s="313">
        <f t="shared" si="109"/>
        <v>290423.3628</v>
      </c>
      <c r="AU304" s="308">
        <v>5</v>
      </c>
      <c r="AV304" s="309">
        <v>78041.600000000006</v>
      </c>
      <c r="AW304" s="310">
        <f t="shared" si="110"/>
        <v>319268.18560000003</v>
      </c>
      <c r="AX304" s="330">
        <v>4</v>
      </c>
      <c r="AY304" s="329">
        <v>80042.5</v>
      </c>
      <c r="AZ304" s="313">
        <f t="shared" si="111"/>
        <v>261963.09400000001</v>
      </c>
      <c r="BA304" s="308">
        <v>1</v>
      </c>
      <c r="BB304" s="309">
        <v>70000</v>
      </c>
      <c r="BC304" s="310">
        <f t="shared" si="112"/>
        <v>57274</v>
      </c>
      <c r="BD304" s="330">
        <v>3</v>
      </c>
      <c r="BE304" s="329">
        <v>65187</v>
      </c>
      <c r="BF304" s="313">
        <f t="shared" si="113"/>
        <v>160008.01020000002</v>
      </c>
      <c r="BG304" s="308">
        <v>5</v>
      </c>
      <c r="BH304" s="309">
        <v>55271.8</v>
      </c>
      <c r="BI304" s="310">
        <f t="shared" si="114"/>
        <v>226116.9338</v>
      </c>
      <c r="BJ304" s="330">
        <v>6</v>
      </c>
      <c r="BK304" s="329">
        <v>58445.666666666664</v>
      </c>
      <c r="BL304" s="313">
        <f t="shared" si="115"/>
        <v>286921.46679999999</v>
      </c>
      <c r="BM304" s="308">
        <v>0</v>
      </c>
      <c r="BN304" s="309">
        <v>0</v>
      </c>
      <c r="BO304" s="310">
        <f t="shared" si="116"/>
        <v>0</v>
      </c>
      <c r="BP304" s="330"/>
      <c r="BQ304" s="331"/>
      <c r="BR304" s="313">
        <f t="shared" si="117"/>
        <v>0</v>
      </c>
      <c r="BS304" s="308"/>
      <c r="BT304" s="309"/>
      <c r="BU304" s="310">
        <f t="shared" si="118"/>
        <v>0</v>
      </c>
      <c r="BV304" s="311"/>
      <c r="BW304" s="312"/>
      <c r="BX304" s="313">
        <f t="shared" si="119"/>
        <v>0</v>
      </c>
    </row>
    <row r="305" spans="1:80">
      <c r="A305" s="373" t="s">
        <v>444</v>
      </c>
      <c r="B305" s="374" t="s">
        <v>989</v>
      </c>
      <c r="C305" s="373">
        <v>176080</v>
      </c>
      <c r="D305" s="375">
        <v>1</v>
      </c>
      <c r="E305" s="308">
        <v>132</v>
      </c>
      <c r="F305" s="309">
        <v>90423</v>
      </c>
      <c r="G305" s="310">
        <f t="shared" si="96"/>
        <v>11935836</v>
      </c>
      <c r="H305" s="311">
        <v>119</v>
      </c>
      <c r="I305" s="312">
        <v>91360.571428571435</v>
      </c>
      <c r="J305" s="313">
        <f t="shared" si="97"/>
        <v>10871908</v>
      </c>
      <c r="K305" s="308">
        <v>127</v>
      </c>
      <c r="L305" s="309">
        <v>70074</v>
      </c>
      <c r="M305" s="310">
        <f t="shared" si="98"/>
        <v>8899398</v>
      </c>
      <c r="N305" s="311">
        <v>136</v>
      </c>
      <c r="O305" s="312">
        <v>70087.257352941175</v>
      </c>
      <c r="P305" s="313">
        <f t="shared" si="99"/>
        <v>9531867</v>
      </c>
      <c r="Q305" s="308">
        <v>208</v>
      </c>
      <c r="R305" s="309">
        <v>61512</v>
      </c>
      <c r="S305" s="310">
        <f t="shared" si="100"/>
        <v>12794496</v>
      </c>
      <c r="T305" s="311">
        <v>228</v>
      </c>
      <c r="U305" s="312">
        <v>61286.438596491229</v>
      </c>
      <c r="V305" s="313">
        <f t="shared" si="101"/>
        <v>13973308</v>
      </c>
      <c r="W305" s="308">
        <v>93</v>
      </c>
      <c r="X305" s="309">
        <v>39135</v>
      </c>
      <c r="Y305" s="310">
        <f t="shared" si="102"/>
        <v>3639555</v>
      </c>
      <c r="Z305" s="311">
        <v>106</v>
      </c>
      <c r="AA305" s="312">
        <v>39581.811320754714</v>
      </c>
      <c r="AB305" s="313">
        <f t="shared" si="103"/>
        <v>4195672</v>
      </c>
      <c r="AC305" s="308">
        <v>44</v>
      </c>
      <c r="AD305" s="309">
        <v>31394</v>
      </c>
      <c r="AE305" s="310">
        <f t="shared" si="104"/>
        <v>1381336</v>
      </c>
      <c r="AF305" s="311">
        <v>46</v>
      </c>
      <c r="AG305" s="312">
        <v>29297.82608695652</v>
      </c>
      <c r="AH305" s="313">
        <f t="shared" si="105"/>
        <v>1347700</v>
      </c>
      <c r="AI305" s="308"/>
      <c r="AJ305" s="309"/>
      <c r="AK305" s="310">
        <f t="shared" si="106"/>
        <v>0</v>
      </c>
      <c r="AL305" s="311"/>
      <c r="AM305" s="312"/>
      <c r="AN305" s="313">
        <f t="shared" si="107"/>
        <v>0</v>
      </c>
      <c r="AO305" s="308">
        <v>117</v>
      </c>
      <c r="AP305" s="309">
        <v>114786</v>
      </c>
      <c r="AQ305" s="310">
        <f t="shared" si="108"/>
        <v>10988394.908400001</v>
      </c>
      <c r="AR305" s="311">
        <v>117</v>
      </c>
      <c r="AS305" s="312">
        <v>114982.47008547008</v>
      </c>
      <c r="AT305" s="313">
        <f t="shared" si="109"/>
        <v>11007202.8718</v>
      </c>
      <c r="AU305" s="308">
        <v>60</v>
      </c>
      <c r="AV305" s="309">
        <v>87711</v>
      </c>
      <c r="AW305" s="310">
        <f t="shared" si="110"/>
        <v>4305908.4120000005</v>
      </c>
      <c r="AX305" s="311">
        <v>54</v>
      </c>
      <c r="AY305" s="312">
        <v>85724.037037037036</v>
      </c>
      <c r="AZ305" s="313">
        <f t="shared" si="111"/>
        <v>3787527.9836000004</v>
      </c>
      <c r="BA305" s="308">
        <v>35</v>
      </c>
      <c r="BB305" s="309">
        <v>76994</v>
      </c>
      <c r="BC305" s="310">
        <f t="shared" si="112"/>
        <v>2204877.1780000003</v>
      </c>
      <c r="BD305" s="311">
        <v>35</v>
      </c>
      <c r="BE305" s="312">
        <v>80208.771428571432</v>
      </c>
      <c r="BF305" s="313">
        <f t="shared" si="113"/>
        <v>2296938.5874000001</v>
      </c>
      <c r="BG305" s="308">
        <v>8</v>
      </c>
      <c r="BH305" s="309">
        <v>51834</v>
      </c>
      <c r="BI305" s="310">
        <f t="shared" si="114"/>
        <v>339284.63040000002</v>
      </c>
      <c r="BJ305" s="311">
        <v>13</v>
      </c>
      <c r="BK305" s="312">
        <v>53498.923076923078</v>
      </c>
      <c r="BL305" s="313">
        <f t="shared" si="115"/>
        <v>569046.64520000003</v>
      </c>
      <c r="BM305" s="308">
        <v>0</v>
      </c>
      <c r="BN305" s="309">
        <v>0</v>
      </c>
      <c r="BO305" s="310">
        <f t="shared" si="116"/>
        <v>0</v>
      </c>
      <c r="BP305" s="311"/>
      <c r="BQ305" s="312"/>
      <c r="BR305" s="313">
        <f t="shared" si="117"/>
        <v>0</v>
      </c>
      <c r="BS305" s="308"/>
      <c r="BT305" s="309"/>
      <c r="BU305" s="310">
        <f t="shared" si="118"/>
        <v>0</v>
      </c>
      <c r="BV305" s="311"/>
      <c r="BW305" s="312"/>
      <c r="BX305" s="313">
        <f t="shared" si="119"/>
        <v>0</v>
      </c>
    </row>
    <row r="306" spans="1:80">
      <c r="A306" s="373" t="s">
        <v>444</v>
      </c>
      <c r="B306" s="374" t="s">
        <v>990</v>
      </c>
      <c r="C306" s="373">
        <v>176372</v>
      </c>
      <c r="D306" s="375">
        <v>1</v>
      </c>
      <c r="E306" s="308">
        <v>131</v>
      </c>
      <c r="F306" s="309">
        <v>85499</v>
      </c>
      <c r="G306" s="310">
        <f t="shared" si="96"/>
        <v>11200369</v>
      </c>
      <c r="H306" s="311">
        <v>124</v>
      </c>
      <c r="I306" s="312">
        <v>84161.862903225803</v>
      </c>
      <c r="J306" s="313">
        <f t="shared" si="97"/>
        <v>10436071</v>
      </c>
      <c r="K306" s="308">
        <v>121</v>
      </c>
      <c r="L306" s="309">
        <v>64584</v>
      </c>
      <c r="M306" s="310">
        <f t="shared" si="98"/>
        <v>7814664</v>
      </c>
      <c r="N306" s="311">
        <v>129</v>
      </c>
      <c r="O306" s="312">
        <v>65539.162790697679</v>
      </c>
      <c r="P306" s="313">
        <f t="shared" si="99"/>
        <v>8454552</v>
      </c>
      <c r="Q306" s="308">
        <v>254</v>
      </c>
      <c r="R306" s="309">
        <v>54770</v>
      </c>
      <c r="S306" s="310">
        <f t="shared" si="100"/>
        <v>13911580</v>
      </c>
      <c r="T306" s="311">
        <v>270</v>
      </c>
      <c r="U306" s="312">
        <v>55285.703703703701</v>
      </c>
      <c r="V306" s="313">
        <f t="shared" si="101"/>
        <v>14927140</v>
      </c>
      <c r="W306" s="308">
        <v>129</v>
      </c>
      <c r="X306" s="309">
        <v>44034</v>
      </c>
      <c r="Y306" s="310">
        <f t="shared" si="102"/>
        <v>5680386</v>
      </c>
      <c r="Z306" s="311">
        <v>137</v>
      </c>
      <c r="AA306" s="312">
        <v>44850.810218978106</v>
      </c>
      <c r="AB306" s="313">
        <f t="shared" si="103"/>
        <v>6144561.0000000009</v>
      </c>
      <c r="AC306" s="308">
        <v>3</v>
      </c>
      <c r="AD306" s="309">
        <v>52180</v>
      </c>
      <c r="AE306" s="310">
        <f t="shared" si="104"/>
        <v>156540</v>
      </c>
      <c r="AF306" s="311">
        <v>2</v>
      </c>
      <c r="AG306" s="312">
        <v>51380.5</v>
      </c>
      <c r="AH306" s="313">
        <f t="shared" si="105"/>
        <v>102761</v>
      </c>
      <c r="AI306" s="308"/>
      <c r="AJ306" s="309"/>
      <c r="AK306" s="310">
        <f t="shared" si="106"/>
        <v>0</v>
      </c>
      <c r="AL306" s="311"/>
      <c r="AM306" s="312"/>
      <c r="AN306" s="313">
        <f t="shared" si="107"/>
        <v>0</v>
      </c>
      <c r="AO306" s="308">
        <v>27</v>
      </c>
      <c r="AP306" s="309">
        <v>103668</v>
      </c>
      <c r="AQ306" s="310">
        <f t="shared" si="108"/>
        <v>2290171.2552</v>
      </c>
      <c r="AR306" s="311">
        <v>31</v>
      </c>
      <c r="AS306" s="312">
        <v>103133.90322580645</v>
      </c>
      <c r="AT306" s="313">
        <f t="shared" si="109"/>
        <v>2615908.9482</v>
      </c>
      <c r="AU306" s="308">
        <v>28</v>
      </c>
      <c r="AV306" s="309">
        <v>90286</v>
      </c>
      <c r="AW306" s="310">
        <f t="shared" si="110"/>
        <v>2068416.1456000002</v>
      </c>
      <c r="AX306" s="311">
        <v>27</v>
      </c>
      <c r="AY306" s="312">
        <v>88525.111111111109</v>
      </c>
      <c r="AZ306" s="313">
        <f t="shared" si="111"/>
        <v>1955643.6396000001</v>
      </c>
      <c r="BA306" s="308">
        <v>10</v>
      </c>
      <c r="BB306" s="309">
        <v>88579</v>
      </c>
      <c r="BC306" s="310">
        <f t="shared" si="112"/>
        <v>724753.37800000003</v>
      </c>
      <c r="BD306" s="311">
        <v>7</v>
      </c>
      <c r="BE306" s="312">
        <v>85840.71428571429</v>
      </c>
      <c r="BF306" s="313">
        <f t="shared" si="113"/>
        <v>491644.10700000002</v>
      </c>
      <c r="BG306" s="308">
        <v>15</v>
      </c>
      <c r="BH306" s="309">
        <v>49659</v>
      </c>
      <c r="BI306" s="310">
        <f t="shared" si="114"/>
        <v>609464.90700000001</v>
      </c>
      <c r="BJ306" s="311">
        <v>15</v>
      </c>
      <c r="BK306" s="312">
        <v>41830.466666666667</v>
      </c>
      <c r="BL306" s="313">
        <f t="shared" si="115"/>
        <v>513385.3174</v>
      </c>
      <c r="BM306" s="308">
        <v>2</v>
      </c>
      <c r="BN306" s="309">
        <v>55825</v>
      </c>
      <c r="BO306" s="310">
        <f t="shared" si="116"/>
        <v>91352.03</v>
      </c>
      <c r="BP306" s="311">
        <v>1</v>
      </c>
      <c r="BQ306" s="312">
        <v>55650</v>
      </c>
      <c r="BR306" s="313">
        <f t="shared" si="117"/>
        <v>45532.83</v>
      </c>
      <c r="BS306" s="308"/>
      <c r="BT306" s="309"/>
      <c r="BU306" s="310">
        <f t="shared" si="118"/>
        <v>0</v>
      </c>
      <c r="BV306" s="311"/>
      <c r="BW306" s="312"/>
      <c r="BX306" s="313">
        <f t="shared" si="119"/>
        <v>0</v>
      </c>
    </row>
    <row r="307" spans="1:80">
      <c r="A307" s="373" t="s">
        <v>444</v>
      </c>
      <c r="B307" s="352" t="s">
        <v>991</v>
      </c>
      <c r="C307" s="373">
        <v>175856</v>
      </c>
      <c r="D307" s="375">
        <v>2</v>
      </c>
      <c r="E307" s="308">
        <v>37</v>
      </c>
      <c r="F307" s="309">
        <v>67030</v>
      </c>
      <c r="G307" s="310">
        <f t="shared" si="96"/>
        <v>2480110</v>
      </c>
      <c r="H307" s="311">
        <v>33</v>
      </c>
      <c r="I307" s="312">
        <v>69929.060606060608</v>
      </c>
      <c r="J307" s="313">
        <f t="shared" si="97"/>
        <v>2307659</v>
      </c>
      <c r="K307" s="308">
        <v>69</v>
      </c>
      <c r="L307" s="309">
        <v>60871</v>
      </c>
      <c r="M307" s="310">
        <f t="shared" si="98"/>
        <v>4200099</v>
      </c>
      <c r="N307" s="311">
        <v>67</v>
      </c>
      <c r="O307" s="312">
        <v>60368.328358208957</v>
      </c>
      <c r="P307" s="313">
        <f t="shared" si="99"/>
        <v>4044678</v>
      </c>
      <c r="Q307" s="308">
        <v>142</v>
      </c>
      <c r="R307" s="309">
        <v>54645</v>
      </c>
      <c r="S307" s="310">
        <f t="shared" si="100"/>
        <v>7759590</v>
      </c>
      <c r="T307" s="311">
        <v>134</v>
      </c>
      <c r="U307" s="312">
        <v>55867.985074626864</v>
      </c>
      <c r="V307" s="313">
        <f t="shared" si="101"/>
        <v>7486310</v>
      </c>
      <c r="W307" s="308">
        <v>60</v>
      </c>
      <c r="X307" s="309">
        <v>38695</v>
      </c>
      <c r="Y307" s="310">
        <f t="shared" si="102"/>
        <v>2321700</v>
      </c>
      <c r="Z307" s="311">
        <v>58</v>
      </c>
      <c r="AA307" s="312">
        <v>39366.862068965514</v>
      </c>
      <c r="AB307" s="313">
        <f t="shared" si="103"/>
        <v>2283278</v>
      </c>
      <c r="AC307" s="308">
        <v>0</v>
      </c>
      <c r="AD307" s="309">
        <v>0</v>
      </c>
      <c r="AE307" s="310">
        <f t="shared" si="104"/>
        <v>0</v>
      </c>
      <c r="AF307" s="311"/>
      <c r="AG307" s="312">
        <v>7000</v>
      </c>
      <c r="AH307" s="313">
        <f t="shared" si="105"/>
        <v>0</v>
      </c>
      <c r="AI307" s="308"/>
      <c r="AJ307" s="309"/>
      <c r="AK307" s="310">
        <f t="shared" si="106"/>
        <v>0</v>
      </c>
      <c r="AL307" s="311"/>
      <c r="AM307" s="312"/>
      <c r="AN307" s="313">
        <f t="shared" si="107"/>
        <v>0</v>
      </c>
      <c r="AO307" s="308">
        <v>25</v>
      </c>
      <c r="AP307" s="309">
        <v>94960</v>
      </c>
      <c r="AQ307" s="310">
        <f t="shared" si="108"/>
        <v>1942406.8</v>
      </c>
      <c r="AR307" s="311">
        <v>25</v>
      </c>
      <c r="AS307" s="312">
        <v>96325.88</v>
      </c>
      <c r="AT307" s="313">
        <f t="shared" si="109"/>
        <v>1970345.8754</v>
      </c>
      <c r="AU307" s="308">
        <v>30</v>
      </c>
      <c r="AV307" s="309">
        <v>79909</v>
      </c>
      <c r="AW307" s="310">
        <f t="shared" si="110"/>
        <v>1961446.314</v>
      </c>
      <c r="AX307" s="311">
        <v>22</v>
      </c>
      <c r="AY307" s="312">
        <v>79909.045454545456</v>
      </c>
      <c r="AZ307" s="313">
        <f t="shared" si="111"/>
        <v>1438394.7818</v>
      </c>
      <c r="BA307" s="308">
        <v>14</v>
      </c>
      <c r="BB307" s="309">
        <v>64302</v>
      </c>
      <c r="BC307" s="310">
        <f t="shared" si="112"/>
        <v>736566.54960000003</v>
      </c>
      <c r="BD307" s="311">
        <v>4</v>
      </c>
      <c r="BE307" s="312">
        <v>68187.25</v>
      </c>
      <c r="BF307" s="313">
        <f t="shared" si="113"/>
        <v>223163.23180000001</v>
      </c>
      <c r="BG307" s="308">
        <v>7</v>
      </c>
      <c r="BH307" s="309">
        <v>46075</v>
      </c>
      <c r="BI307" s="310">
        <f t="shared" si="114"/>
        <v>263889.95500000002</v>
      </c>
      <c r="BJ307" s="311">
        <v>1</v>
      </c>
      <c r="BK307" s="312">
        <v>68681</v>
      </c>
      <c r="BL307" s="313">
        <f t="shared" si="115"/>
        <v>56194.794200000004</v>
      </c>
      <c r="BM307" s="308">
        <v>0</v>
      </c>
      <c r="BN307" s="309">
        <v>0</v>
      </c>
      <c r="BO307" s="310">
        <f t="shared" si="116"/>
        <v>0</v>
      </c>
      <c r="BP307" s="311"/>
      <c r="BQ307" s="312"/>
      <c r="BR307" s="313">
        <f t="shared" si="117"/>
        <v>0</v>
      </c>
      <c r="BS307" s="308"/>
      <c r="BT307" s="309"/>
      <c r="BU307" s="310">
        <f t="shared" si="118"/>
        <v>0</v>
      </c>
      <c r="BV307" s="311"/>
      <c r="BW307" s="312"/>
      <c r="BX307" s="313">
        <f t="shared" si="119"/>
        <v>0</v>
      </c>
    </row>
    <row r="308" spans="1:80">
      <c r="A308" s="373" t="s">
        <v>444</v>
      </c>
      <c r="B308" s="376" t="s">
        <v>0</v>
      </c>
      <c r="C308" s="373">
        <v>176017</v>
      </c>
      <c r="D308" s="375">
        <v>2</v>
      </c>
      <c r="E308" s="308">
        <v>109</v>
      </c>
      <c r="F308" s="309">
        <v>100929</v>
      </c>
      <c r="G308" s="310">
        <f t="shared" si="96"/>
        <v>11001261</v>
      </c>
      <c r="H308" s="311">
        <v>105</v>
      </c>
      <c r="I308" s="312">
        <v>104642.66666666667</v>
      </c>
      <c r="J308" s="313">
        <f t="shared" si="97"/>
        <v>10987480</v>
      </c>
      <c r="K308" s="308">
        <v>141</v>
      </c>
      <c r="L308" s="309">
        <v>74897</v>
      </c>
      <c r="M308" s="310">
        <f t="shared" si="98"/>
        <v>10560477</v>
      </c>
      <c r="N308" s="311">
        <v>157</v>
      </c>
      <c r="O308" s="312">
        <v>75827.248407643317</v>
      </c>
      <c r="P308" s="313">
        <f t="shared" si="99"/>
        <v>11904878</v>
      </c>
      <c r="Q308" s="308">
        <v>179</v>
      </c>
      <c r="R308" s="309">
        <v>60684</v>
      </c>
      <c r="S308" s="310">
        <f t="shared" si="100"/>
        <v>10862436</v>
      </c>
      <c r="T308" s="311">
        <v>197</v>
      </c>
      <c r="U308" s="312">
        <v>61052.492385786805</v>
      </c>
      <c r="V308" s="313">
        <f t="shared" si="101"/>
        <v>12027341</v>
      </c>
      <c r="W308" s="308">
        <v>91</v>
      </c>
      <c r="X308" s="309">
        <v>31652</v>
      </c>
      <c r="Y308" s="310">
        <f t="shared" si="102"/>
        <v>2880332</v>
      </c>
      <c r="Z308" s="311">
        <v>96</v>
      </c>
      <c r="AA308" s="312">
        <v>34708.875</v>
      </c>
      <c r="AB308" s="313">
        <f t="shared" si="103"/>
        <v>3332052</v>
      </c>
      <c r="AC308" s="308">
        <v>3</v>
      </c>
      <c r="AD308" s="309">
        <v>56200</v>
      </c>
      <c r="AE308" s="310">
        <f t="shared" si="104"/>
        <v>168600</v>
      </c>
      <c r="AF308" s="311">
        <v>8</v>
      </c>
      <c r="AG308" s="312">
        <v>44927.25</v>
      </c>
      <c r="AH308" s="313">
        <f t="shared" si="105"/>
        <v>359418</v>
      </c>
      <c r="AI308" s="308"/>
      <c r="AJ308" s="309"/>
      <c r="AK308" s="310">
        <f t="shared" si="106"/>
        <v>0</v>
      </c>
      <c r="AL308" s="311"/>
      <c r="AM308" s="312"/>
      <c r="AN308" s="313">
        <f t="shared" si="107"/>
        <v>0</v>
      </c>
      <c r="AO308" s="308">
        <v>48</v>
      </c>
      <c r="AP308" s="309">
        <v>120751</v>
      </c>
      <c r="AQ308" s="310">
        <f t="shared" si="108"/>
        <v>4742326.4736000001</v>
      </c>
      <c r="AR308" s="311">
        <v>52</v>
      </c>
      <c r="AS308" s="312">
        <v>126088.76923076923</v>
      </c>
      <c r="AT308" s="313">
        <f t="shared" si="109"/>
        <v>5364623.2111999998</v>
      </c>
      <c r="AU308" s="308">
        <v>36</v>
      </c>
      <c r="AV308" s="309">
        <v>97778</v>
      </c>
      <c r="AW308" s="310">
        <f t="shared" si="110"/>
        <v>2880070.5456000003</v>
      </c>
      <c r="AX308" s="311">
        <v>35</v>
      </c>
      <c r="AY308" s="312">
        <v>101851.65714285715</v>
      </c>
      <c r="AZ308" s="313">
        <f t="shared" si="111"/>
        <v>2916725.9056000002</v>
      </c>
      <c r="BA308" s="308">
        <v>33</v>
      </c>
      <c r="BB308" s="309">
        <v>78265</v>
      </c>
      <c r="BC308" s="310">
        <f t="shared" si="112"/>
        <v>2113201.9590000003</v>
      </c>
      <c r="BD308" s="311">
        <v>37</v>
      </c>
      <c r="BE308" s="312">
        <v>78996.135135135133</v>
      </c>
      <c r="BF308" s="313">
        <f t="shared" si="113"/>
        <v>2391481.5974000003</v>
      </c>
      <c r="BG308" s="308">
        <v>11</v>
      </c>
      <c r="BH308" s="309">
        <v>53927</v>
      </c>
      <c r="BI308" s="310">
        <f t="shared" si="114"/>
        <v>485353.78540000005</v>
      </c>
      <c r="BJ308" s="311">
        <v>13</v>
      </c>
      <c r="BK308" s="312">
        <v>59287.615384615383</v>
      </c>
      <c r="BL308" s="313">
        <f t="shared" si="115"/>
        <v>630618.64980000001</v>
      </c>
      <c r="BM308" s="308">
        <v>2</v>
      </c>
      <c r="BN308" s="309">
        <v>56466</v>
      </c>
      <c r="BO308" s="310">
        <f t="shared" si="116"/>
        <v>92400.962400000004</v>
      </c>
      <c r="BP308" s="311">
        <v>2</v>
      </c>
      <c r="BQ308" s="312">
        <v>57650</v>
      </c>
      <c r="BR308" s="313">
        <f t="shared" si="117"/>
        <v>94338.46</v>
      </c>
      <c r="BS308" s="308"/>
      <c r="BT308" s="309"/>
      <c r="BU308" s="310">
        <f t="shared" si="118"/>
        <v>0</v>
      </c>
      <c r="BV308" s="311"/>
      <c r="BW308" s="312"/>
      <c r="BX308" s="313">
        <f t="shared" si="119"/>
        <v>0</v>
      </c>
    </row>
    <row r="309" spans="1:80">
      <c r="A309" s="373" t="s">
        <v>444</v>
      </c>
      <c r="B309" s="374" t="s">
        <v>1</v>
      </c>
      <c r="C309" s="373">
        <v>175342</v>
      </c>
      <c r="D309" s="375">
        <v>4</v>
      </c>
      <c r="E309" s="308">
        <v>34</v>
      </c>
      <c r="F309" s="309">
        <v>65472</v>
      </c>
      <c r="G309" s="310">
        <f t="shared" si="96"/>
        <v>2226048</v>
      </c>
      <c r="H309" s="311">
        <v>30</v>
      </c>
      <c r="I309" s="312">
        <v>63569.23333333333</v>
      </c>
      <c r="J309" s="313">
        <f t="shared" si="97"/>
        <v>1907077</v>
      </c>
      <c r="K309" s="308">
        <v>35</v>
      </c>
      <c r="L309" s="309">
        <v>58270</v>
      </c>
      <c r="M309" s="310">
        <f t="shared" si="98"/>
        <v>2039450</v>
      </c>
      <c r="N309" s="311">
        <v>34</v>
      </c>
      <c r="O309" s="312">
        <v>57414.970588235294</v>
      </c>
      <c r="P309" s="313">
        <f t="shared" si="99"/>
        <v>1952109</v>
      </c>
      <c r="Q309" s="308">
        <v>36</v>
      </c>
      <c r="R309" s="309">
        <v>52943</v>
      </c>
      <c r="S309" s="310">
        <f t="shared" si="100"/>
        <v>1905948</v>
      </c>
      <c r="T309" s="311">
        <v>45</v>
      </c>
      <c r="U309" s="312">
        <v>54462.911111111112</v>
      </c>
      <c r="V309" s="313">
        <f t="shared" si="101"/>
        <v>2450831</v>
      </c>
      <c r="W309" s="308">
        <v>35</v>
      </c>
      <c r="X309" s="309">
        <v>38654</v>
      </c>
      <c r="Y309" s="310">
        <f t="shared" si="102"/>
        <v>1352890</v>
      </c>
      <c r="Z309" s="311">
        <v>40</v>
      </c>
      <c r="AA309" s="312">
        <v>37543.025000000001</v>
      </c>
      <c r="AB309" s="313">
        <f t="shared" si="103"/>
        <v>1501721</v>
      </c>
      <c r="AC309" s="308">
        <v>0</v>
      </c>
      <c r="AD309" s="309">
        <v>0</v>
      </c>
      <c r="AE309" s="310">
        <f t="shared" si="104"/>
        <v>0</v>
      </c>
      <c r="AF309" s="311"/>
      <c r="AG309" s="312"/>
      <c r="AH309" s="313">
        <f t="shared" si="105"/>
        <v>0</v>
      </c>
      <c r="AI309" s="308"/>
      <c r="AJ309" s="309"/>
      <c r="AK309" s="310">
        <f t="shared" si="106"/>
        <v>0</v>
      </c>
      <c r="AL309" s="311"/>
      <c r="AM309" s="312"/>
      <c r="AN309" s="313">
        <f t="shared" si="107"/>
        <v>0</v>
      </c>
      <c r="AO309" s="308">
        <v>6</v>
      </c>
      <c r="AP309" s="309">
        <v>95204</v>
      </c>
      <c r="AQ309" s="310">
        <f t="shared" si="108"/>
        <v>467375.4768</v>
      </c>
      <c r="AR309" s="311">
        <v>6</v>
      </c>
      <c r="AS309" s="312">
        <v>98473.166666666672</v>
      </c>
      <c r="AT309" s="313">
        <f t="shared" si="109"/>
        <v>483424.46980000002</v>
      </c>
      <c r="AU309" s="308">
        <v>3</v>
      </c>
      <c r="AV309" s="309">
        <v>85265</v>
      </c>
      <c r="AW309" s="310">
        <f t="shared" si="110"/>
        <v>209291.46900000001</v>
      </c>
      <c r="AX309" s="311">
        <v>4</v>
      </c>
      <c r="AY309" s="312">
        <v>87390.25</v>
      </c>
      <c r="AZ309" s="313">
        <f t="shared" si="111"/>
        <v>286010.81020000001</v>
      </c>
      <c r="BA309" s="308">
        <v>6</v>
      </c>
      <c r="BB309" s="309">
        <v>67168</v>
      </c>
      <c r="BC309" s="310">
        <f t="shared" si="112"/>
        <v>329741.14559999999</v>
      </c>
      <c r="BD309" s="311">
        <v>8</v>
      </c>
      <c r="BE309" s="312">
        <v>67839.625</v>
      </c>
      <c r="BF309" s="313">
        <f t="shared" si="113"/>
        <v>444051.04940000002</v>
      </c>
      <c r="BG309" s="308">
        <v>18</v>
      </c>
      <c r="BH309" s="309">
        <v>50539</v>
      </c>
      <c r="BI309" s="310">
        <f t="shared" si="114"/>
        <v>744318.1764</v>
      </c>
      <c r="BJ309" s="311">
        <v>8</v>
      </c>
      <c r="BK309" s="312">
        <v>47539.75</v>
      </c>
      <c r="BL309" s="313">
        <f t="shared" si="115"/>
        <v>311176.1876</v>
      </c>
      <c r="BM309" s="308">
        <v>0</v>
      </c>
      <c r="BN309" s="309">
        <v>0</v>
      </c>
      <c r="BO309" s="310">
        <f t="shared" si="116"/>
        <v>0</v>
      </c>
      <c r="BP309" s="311"/>
      <c r="BQ309" s="312"/>
      <c r="BR309" s="313">
        <f t="shared" si="117"/>
        <v>0</v>
      </c>
      <c r="BS309" s="308"/>
      <c r="BT309" s="309"/>
      <c r="BU309" s="310">
        <f t="shared" si="118"/>
        <v>0</v>
      </c>
      <c r="BV309" s="311"/>
      <c r="BW309" s="312"/>
      <c r="BX309" s="313">
        <f t="shared" si="119"/>
        <v>0</v>
      </c>
    </row>
    <row r="310" spans="1:80">
      <c r="A310" s="373" t="s">
        <v>444</v>
      </c>
      <c r="B310" s="352" t="s">
        <v>2</v>
      </c>
      <c r="C310" s="346">
        <v>175616</v>
      </c>
      <c r="D310" s="346">
        <v>4</v>
      </c>
      <c r="E310" s="308">
        <v>30</v>
      </c>
      <c r="F310" s="309">
        <v>62357</v>
      </c>
      <c r="G310" s="310">
        <f t="shared" si="96"/>
        <v>1870710</v>
      </c>
      <c r="H310" s="311">
        <v>29</v>
      </c>
      <c r="I310" s="312">
        <v>62376.34482758621</v>
      </c>
      <c r="J310" s="313">
        <f t="shared" si="97"/>
        <v>1808914</v>
      </c>
      <c r="K310" s="308">
        <v>19</v>
      </c>
      <c r="L310" s="309">
        <v>57992</v>
      </c>
      <c r="M310" s="310">
        <f t="shared" si="98"/>
        <v>1101848</v>
      </c>
      <c r="N310" s="311">
        <v>24</v>
      </c>
      <c r="O310" s="312">
        <v>57819.583333333336</v>
      </c>
      <c r="P310" s="313">
        <f t="shared" si="99"/>
        <v>1387670</v>
      </c>
      <c r="Q310" s="308">
        <v>63</v>
      </c>
      <c r="R310" s="309">
        <v>48620</v>
      </c>
      <c r="S310" s="310">
        <f t="shared" si="100"/>
        <v>3063060</v>
      </c>
      <c r="T310" s="311">
        <v>57</v>
      </c>
      <c r="U310" s="312">
        <v>47547.15789473684</v>
      </c>
      <c r="V310" s="313">
        <f t="shared" si="101"/>
        <v>2710188</v>
      </c>
      <c r="W310" s="308">
        <v>40</v>
      </c>
      <c r="X310" s="309">
        <v>43398</v>
      </c>
      <c r="Y310" s="310">
        <f t="shared" si="102"/>
        <v>1735920</v>
      </c>
      <c r="Z310" s="311">
        <v>44</v>
      </c>
      <c r="AA310" s="312">
        <v>45022.840909090912</v>
      </c>
      <c r="AB310" s="313">
        <f t="shared" si="103"/>
        <v>1981005</v>
      </c>
      <c r="AC310" s="308">
        <v>0</v>
      </c>
      <c r="AD310" s="309">
        <v>0</v>
      </c>
      <c r="AE310" s="310">
        <f t="shared" si="104"/>
        <v>0</v>
      </c>
      <c r="AF310" s="311"/>
      <c r="AG310" s="312"/>
      <c r="AH310" s="313">
        <f t="shared" si="105"/>
        <v>0</v>
      </c>
      <c r="AI310" s="308"/>
      <c r="AJ310" s="309"/>
      <c r="AK310" s="310">
        <f t="shared" si="106"/>
        <v>0</v>
      </c>
      <c r="AL310" s="311"/>
      <c r="AM310" s="312"/>
      <c r="AN310" s="313">
        <f t="shared" si="107"/>
        <v>0</v>
      </c>
      <c r="AO310" s="308">
        <v>11</v>
      </c>
      <c r="AP310" s="309">
        <v>79037</v>
      </c>
      <c r="AQ310" s="310">
        <f t="shared" si="108"/>
        <v>711348.80740000005</v>
      </c>
      <c r="AR310" s="311">
        <v>11</v>
      </c>
      <c r="AS310" s="312">
        <v>82468.818181818177</v>
      </c>
      <c r="AT310" s="313">
        <f t="shared" si="109"/>
        <v>742235.85739999998</v>
      </c>
      <c r="AU310" s="308">
        <v>5</v>
      </c>
      <c r="AV310" s="309">
        <v>76864</v>
      </c>
      <c r="AW310" s="310">
        <f t="shared" si="110"/>
        <v>314450.62400000001</v>
      </c>
      <c r="AX310" s="311">
        <v>5</v>
      </c>
      <c r="AY310" s="312">
        <v>69916.600000000006</v>
      </c>
      <c r="AZ310" s="313">
        <f t="shared" si="111"/>
        <v>286028.81060000003</v>
      </c>
      <c r="BA310" s="308">
        <v>8</v>
      </c>
      <c r="BB310" s="309">
        <v>67545</v>
      </c>
      <c r="BC310" s="310">
        <f t="shared" si="112"/>
        <v>442122.55200000003</v>
      </c>
      <c r="BD310" s="311">
        <v>18</v>
      </c>
      <c r="BE310" s="312">
        <v>56494.555555555555</v>
      </c>
      <c r="BF310" s="313">
        <f t="shared" si="113"/>
        <v>832029.21640000003</v>
      </c>
      <c r="BG310" s="308">
        <v>3</v>
      </c>
      <c r="BH310" s="309">
        <v>53478</v>
      </c>
      <c r="BI310" s="310">
        <f t="shared" si="114"/>
        <v>131267.09880000001</v>
      </c>
      <c r="BJ310" s="311">
        <v>4</v>
      </c>
      <c r="BK310" s="312">
        <v>78625</v>
      </c>
      <c r="BL310" s="313">
        <f t="shared" si="115"/>
        <v>257323.90000000002</v>
      </c>
      <c r="BM310" s="308">
        <v>0</v>
      </c>
      <c r="BN310" s="309">
        <v>0</v>
      </c>
      <c r="BO310" s="310">
        <f t="shared" si="116"/>
        <v>0</v>
      </c>
      <c r="BP310" s="311"/>
      <c r="BQ310" s="312"/>
      <c r="BR310" s="313">
        <f t="shared" si="117"/>
        <v>0</v>
      </c>
      <c r="BS310" s="308"/>
      <c r="BT310" s="309"/>
      <c r="BU310" s="310">
        <f t="shared" si="118"/>
        <v>0</v>
      </c>
      <c r="BV310" s="311"/>
      <c r="BW310" s="312"/>
      <c r="BX310" s="313">
        <f t="shared" si="119"/>
        <v>0</v>
      </c>
    </row>
    <row r="311" spans="1:80">
      <c r="A311" s="373" t="s">
        <v>444</v>
      </c>
      <c r="B311" s="374" t="s">
        <v>3</v>
      </c>
      <c r="C311" s="373">
        <v>176035</v>
      </c>
      <c r="D311" s="375">
        <v>5</v>
      </c>
      <c r="E311" s="308">
        <v>20</v>
      </c>
      <c r="F311" s="309">
        <v>58552</v>
      </c>
      <c r="G311" s="310">
        <f t="shared" si="96"/>
        <v>1171040</v>
      </c>
      <c r="H311" s="311">
        <v>19</v>
      </c>
      <c r="I311" s="312">
        <v>56588.26315789474</v>
      </c>
      <c r="J311" s="313">
        <f t="shared" si="97"/>
        <v>1075177</v>
      </c>
      <c r="K311" s="308">
        <v>12</v>
      </c>
      <c r="L311" s="309">
        <v>47889</v>
      </c>
      <c r="M311" s="310">
        <f t="shared" si="98"/>
        <v>574668</v>
      </c>
      <c r="N311" s="311">
        <v>14</v>
      </c>
      <c r="O311" s="312">
        <v>48049.571428571428</v>
      </c>
      <c r="P311" s="313">
        <f t="shared" si="99"/>
        <v>672694</v>
      </c>
      <c r="Q311" s="308">
        <v>34</v>
      </c>
      <c r="R311" s="309">
        <v>45221</v>
      </c>
      <c r="S311" s="310">
        <f t="shared" si="100"/>
        <v>1537514</v>
      </c>
      <c r="T311" s="311">
        <v>37</v>
      </c>
      <c r="U311" s="312">
        <v>45326.864864864867</v>
      </c>
      <c r="V311" s="313">
        <f t="shared" si="101"/>
        <v>1677094</v>
      </c>
      <c r="W311" s="308">
        <v>42</v>
      </c>
      <c r="X311" s="309">
        <v>44561</v>
      </c>
      <c r="Y311" s="310">
        <f t="shared" si="102"/>
        <v>1871562</v>
      </c>
      <c r="Z311" s="311">
        <v>40</v>
      </c>
      <c r="AA311" s="312">
        <v>46651.65</v>
      </c>
      <c r="AB311" s="313">
        <f t="shared" si="103"/>
        <v>1866066</v>
      </c>
      <c r="AC311" s="308">
        <v>0</v>
      </c>
      <c r="AD311" s="309">
        <v>0</v>
      </c>
      <c r="AE311" s="310">
        <f t="shared" si="104"/>
        <v>0</v>
      </c>
      <c r="AF311" s="311"/>
      <c r="AG311" s="312"/>
      <c r="AH311" s="313">
        <f t="shared" si="105"/>
        <v>0</v>
      </c>
      <c r="AI311" s="308"/>
      <c r="AJ311" s="309"/>
      <c r="AK311" s="310">
        <f t="shared" si="106"/>
        <v>0</v>
      </c>
      <c r="AL311" s="311"/>
      <c r="AM311" s="312"/>
      <c r="AN311" s="313">
        <f t="shared" si="107"/>
        <v>0</v>
      </c>
      <c r="AO311" s="308">
        <v>10</v>
      </c>
      <c r="AP311" s="309">
        <v>68352</v>
      </c>
      <c r="AQ311" s="310">
        <f t="shared" si="108"/>
        <v>559256.06400000001</v>
      </c>
      <c r="AR311" s="311">
        <v>9</v>
      </c>
      <c r="AS311" s="312">
        <v>69393.222222222219</v>
      </c>
      <c r="AT311" s="313">
        <f t="shared" si="109"/>
        <v>510997.80980000005</v>
      </c>
      <c r="AU311" s="308">
        <v>2</v>
      </c>
      <c r="AV311" s="309">
        <v>59252</v>
      </c>
      <c r="AW311" s="310">
        <f t="shared" si="110"/>
        <v>96959.972800000003</v>
      </c>
      <c r="AX311" s="311">
        <v>3</v>
      </c>
      <c r="AY311" s="312">
        <v>67001</v>
      </c>
      <c r="AZ311" s="313">
        <f t="shared" si="111"/>
        <v>164460.65460000001</v>
      </c>
      <c r="BA311" s="308">
        <v>4</v>
      </c>
      <c r="BB311" s="309">
        <v>73125</v>
      </c>
      <c r="BC311" s="310">
        <f t="shared" si="112"/>
        <v>239323.5</v>
      </c>
      <c r="BD311" s="311">
        <v>2</v>
      </c>
      <c r="BE311" s="312">
        <v>76500</v>
      </c>
      <c r="BF311" s="313">
        <f t="shared" si="113"/>
        <v>125184.6</v>
      </c>
      <c r="BG311" s="308">
        <v>11</v>
      </c>
      <c r="BH311" s="309">
        <v>64855</v>
      </c>
      <c r="BI311" s="310">
        <f t="shared" si="114"/>
        <v>583707.97100000002</v>
      </c>
      <c r="BJ311" s="311">
        <v>11</v>
      </c>
      <c r="BK311" s="312">
        <v>62671.727272727272</v>
      </c>
      <c r="BL311" s="313">
        <f t="shared" si="115"/>
        <v>564058.07980000007</v>
      </c>
      <c r="BM311" s="308">
        <v>0</v>
      </c>
      <c r="BN311" s="309">
        <v>0</v>
      </c>
      <c r="BO311" s="310">
        <f t="shared" si="116"/>
        <v>0</v>
      </c>
      <c r="BP311" s="311"/>
      <c r="BQ311" s="312"/>
      <c r="BR311" s="313">
        <f t="shared" si="117"/>
        <v>0</v>
      </c>
      <c r="BS311" s="308"/>
      <c r="BT311" s="309"/>
      <c r="BU311" s="310">
        <f t="shared" si="118"/>
        <v>0</v>
      </c>
      <c r="BV311" s="311"/>
      <c r="BW311" s="312"/>
      <c r="BX311" s="313">
        <f t="shared" si="119"/>
        <v>0</v>
      </c>
    </row>
    <row r="312" spans="1:80">
      <c r="A312" s="373" t="s">
        <v>444</v>
      </c>
      <c r="B312" s="376" t="s">
        <v>4</v>
      </c>
      <c r="C312" s="373">
        <v>176044</v>
      </c>
      <c r="D312" s="375">
        <v>5</v>
      </c>
      <c r="E312" s="308">
        <v>8</v>
      </c>
      <c r="F312" s="309">
        <v>63735</v>
      </c>
      <c r="G312" s="310">
        <f t="shared" si="96"/>
        <v>509880</v>
      </c>
      <c r="H312" s="311">
        <v>11</v>
      </c>
      <c r="I312" s="312">
        <v>61805.090909090912</v>
      </c>
      <c r="J312" s="313">
        <f t="shared" si="97"/>
        <v>679856</v>
      </c>
      <c r="K312" s="308">
        <v>16</v>
      </c>
      <c r="L312" s="309">
        <v>58132</v>
      </c>
      <c r="M312" s="310">
        <f t="shared" si="98"/>
        <v>930112</v>
      </c>
      <c r="N312" s="311">
        <v>13</v>
      </c>
      <c r="O312" s="312">
        <v>57739</v>
      </c>
      <c r="P312" s="313">
        <f t="shared" si="99"/>
        <v>750607</v>
      </c>
      <c r="Q312" s="308">
        <v>61</v>
      </c>
      <c r="R312" s="309">
        <v>49083</v>
      </c>
      <c r="S312" s="310">
        <f t="shared" si="100"/>
        <v>2994063</v>
      </c>
      <c r="T312" s="311">
        <v>61</v>
      </c>
      <c r="U312" s="312">
        <v>48845.344262295082</v>
      </c>
      <c r="V312" s="313">
        <f t="shared" si="101"/>
        <v>2979566</v>
      </c>
      <c r="W312" s="308">
        <v>24</v>
      </c>
      <c r="X312" s="309">
        <v>40359</v>
      </c>
      <c r="Y312" s="310">
        <f t="shared" si="102"/>
        <v>968616</v>
      </c>
      <c r="Z312" s="311">
        <v>26</v>
      </c>
      <c r="AA312" s="312">
        <v>40112.615384615383</v>
      </c>
      <c r="AB312" s="313">
        <f t="shared" si="103"/>
        <v>1042928</v>
      </c>
      <c r="AC312" s="308">
        <v>0</v>
      </c>
      <c r="AD312" s="309">
        <v>0</v>
      </c>
      <c r="AE312" s="310">
        <f t="shared" si="104"/>
        <v>0</v>
      </c>
      <c r="AF312" s="311"/>
      <c r="AG312" s="312"/>
      <c r="AH312" s="313">
        <f t="shared" si="105"/>
        <v>0</v>
      </c>
      <c r="AI312" s="308"/>
      <c r="AJ312" s="309"/>
      <c r="AK312" s="310">
        <f t="shared" si="106"/>
        <v>0</v>
      </c>
      <c r="AL312" s="311"/>
      <c r="AM312" s="312"/>
      <c r="AN312" s="313">
        <f t="shared" si="107"/>
        <v>0</v>
      </c>
      <c r="AO312" s="308">
        <v>9</v>
      </c>
      <c r="AP312" s="309">
        <v>74651</v>
      </c>
      <c r="AQ312" s="310">
        <f t="shared" si="108"/>
        <v>549715.03379999998</v>
      </c>
      <c r="AR312" s="311">
        <v>8</v>
      </c>
      <c r="AS312" s="312">
        <v>72667.625</v>
      </c>
      <c r="AT312" s="313">
        <f t="shared" si="109"/>
        <v>475653.20620000002</v>
      </c>
      <c r="AU312" s="308">
        <v>7</v>
      </c>
      <c r="AV312" s="309">
        <v>75600</v>
      </c>
      <c r="AW312" s="310">
        <f t="shared" si="110"/>
        <v>432991.44</v>
      </c>
      <c r="AX312" s="311">
        <v>8</v>
      </c>
      <c r="AY312" s="312">
        <v>76316.625</v>
      </c>
      <c r="AZ312" s="313">
        <f t="shared" si="111"/>
        <v>499538.10060000001</v>
      </c>
      <c r="BA312" s="308">
        <v>10</v>
      </c>
      <c r="BB312" s="309">
        <v>66911</v>
      </c>
      <c r="BC312" s="310">
        <f t="shared" si="112"/>
        <v>547465.80200000003</v>
      </c>
      <c r="BD312" s="311">
        <v>9</v>
      </c>
      <c r="BE312" s="312">
        <v>65842</v>
      </c>
      <c r="BF312" s="313">
        <f t="shared" si="113"/>
        <v>484847.31960000005</v>
      </c>
      <c r="BG312" s="308">
        <v>1</v>
      </c>
      <c r="BH312" s="309">
        <v>46913</v>
      </c>
      <c r="BI312" s="310">
        <f t="shared" si="114"/>
        <v>38384.2166</v>
      </c>
      <c r="BJ312" s="311">
        <v>2</v>
      </c>
      <c r="BK312" s="312">
        <v>48456.5</v>
      </c>
      <c r="BL312" s="313">
        <f t="shared" si="115"/>
        <v>79294.2166</v>
      </c>
      <c r="BM312" s="308">
        <v>0</v>
      </c>
      <c r="BN312" s="309">
        <v>0</v>
      </c>
      <c r="BO312" s="310">
        <f t="shared" si="116"/>
        <v>0</v>
      </c>
      <c r="BP312" s="311"/>
      <c r="BQ312" s="312"/>
      <c r="BR312" s="313">
        <f t="shared" si="117"/>
        <v>0</v>
      </c>
      <c r="BS312" s="308"/>
      <c r="BT312" s="309"/>
      <c r="BU312" s="310">
        <f t="shared" si="118"/>
        <v>0</v>
      </c>
      <c r="BV312" s="311"/>
      <c r="BW312" s="312"/>
      <c r="BX312" s="313">
        <f t="shared" si="119"/>
        <v>0</v>
      </c>
    </row>
    <row r="313" spans="1:80">
      <c r="A313" s="354" t="s">
        <v>444</v>
      </c>
      <c r="B313" s="355" t="s">
        <v>5</v>
      </c>
      <c r="C313" s="354">
        <v>175786</v>
      </c>
      <c r="D313" s="356">
        <v>8</v>
      </c>
      <c r="E313" s="308"/>
      <c r="F313" s="309"/>
      <c r="G313" s="310">
        <f t="shared" si="96"/>
        <v>0</v>
      </c>
      <c r="H313" s="311"/>
      <c r="I313" s="312"/>
      <c r="J313" s="313">
        <f t="shared" si="97"/>
        <v>0</v>
      </c>
      <c r="K313" s="308"/>
      <c r="L313" s="309"/>
      <c r="M313" s="310">
        <f t="shared" si="98"/>
        <v>0</v>
      </c>
      <c r="N313" s="311"/>
      <c r="O313" s="312"/>
      <c r="P313" s="313">
        <f t="shared" si="99"/>
        <v>0</v>
      </c>
      <c r="Q313" s="308"/>
      <c r="R313" s="309"/>
      <c r="S313" s="310">
        <f t="shared" si="100"/>
        <v>0</v>
      </c>
      <c r="T313" s="311"/>
      <c r="U313" s="312"/>
      <c r="V313" s="313">
        <f t="shared" si="101"/>
        <v>0</v>
      </c>
      <c r="W313" s="308"/>
      <c r="X313" s="309"/>
      <c r="Y313" s="310">
        <f t="shared" si="102"/>
        <v>0</v>
      </c>
      <c r="Z313" s="311"/>
      <c r="AA313" s="312"/>
      <c r="AB313" s="313">
        <f t="shared" si="103"/>
        <v>0</v>
      </c>
      <c r="AC313" s="308"/>
      <c r="AD313" s="309"/>
      <c r="AE313" s="310">
        <f t="shared" si="104"/>
        <v>0</v>
      </c>
      <c r="AF313" s="311"/>
      <c r="AG313" s="312"/>
      <c r="AH313" s="313">
        <f t="shared" si="105"/>
        <v>0</v>
      </c>
      <c r="AI313" s="308">
        <v>323</v>
      </c>
      <c r="AJ313" s="309">
        <v>48993.5</v>
      </c>
      <c r="AK313" s="310">
        <f t="shared" si="106"/>
        <v>15824900.5</v>
      </c>
      <c r="AL313" s="311">
        <v>284</v>
      </c>
      <c r="AM313" s="312">
        <v>49209.599999999999</v>
      </c>
      <c r="AN313" s="313">
        <f t="shared" si="107"/>
        <v>13975526.4</v>
      </c>
      <c r="AO313" s="308"/>
      <c r="AP313" s="309"/>
      <c r="AQ313" s="310">
        <f t="shared" si="108"/>
        <v>0</v>
      </c>
      <c r="AR313" s="311"/>
      <c r="AS313" s="312"/>
      <c r="AT313" s="313">
        <f t="shared" si="109"/>
        <v>0</v>
      </c>
      <c r="AU313" s="308"/>
      <c r="AV313" s="309"/>
      <c r="AW313" s="310">
        <f t="shared" si="110"/>
        <v>0</v>
      </c>
      <c r="AX313" s="311"/>
      <c r="AY313" s="312"/>
      <c r="AZ313" s="313">
        <f t="shared" si="111"/>
        <v>0</v>
      </c>
      <c r="BA313" s="308"/>
      <c r="BB313" s="309"/>
      <c r="BC313" s="310">
        <f t="shared" si="112"/>
        <v>0</v>
      </c>
      <c r="BD313" s="311"/>
      <c r="BE313" s="312"/>
      <c r="BF313" s="313">
        <f t="shared" si="113"/>
        <v>0</v>
      </c>
      <c r="BG313" s="308"/>
      <c r="BH313" s="309"/>
      <c r="BI313" s="310">
        <f t="shared" si="114"/>
        <v>0</v>
      </c>
      <c r="BJ313" s="311"/>
      <c r="BK313" s="312"/>
      <c r="BL313" s="313">
        <f t="shared" si="115"/>
        <v>0</v>
      </c>
      <c r="BM313" s="308"/>
      <c r="BN313" s="309"/>
      <c r="BO313" s="310">
        <f t="shared" si="116"/>
        <v>0</v>
      </c>
      <c r="BP313" s="311"/>
      <c r="BQ313" s="312"/>
      <c r="BR313" s="313">
        <f t="shared" si="117"/>
        <v>0</v>
      </c>
      <c r="BS313" s="308">
        <v>65</v>
      </c>
      <c r="BT313" s="309">
        <v>44934.1</v>
      </c>
      <c r="BU313" s="310">
        <f t="shared" si="118"/>
        <v>2389730.2403000002</v>
      </c>
      <c r="BV313" s="311">
        <v>122</v>
      </c>
      <c r="BW313" s="312">
        <f>6047820/BV313</f>
        <v>49572.295081967211</v>
      </c>
      <c r="BX313" s="313">
        <f t="shared" si="119"/>
        <v>4948326.324</v>
      </c>
      <c r="BZ313" s="74">
        <v>6047820</v>
      </c>
      <c r="CA313" s="74">
        <f>+BZ313/BV313</f>
        <v>49572.295081967211</v>
      </c>
      <c r="CB313" s="74">
        <f>(+BV313*CA313)*0.8182</f>
        <v>4948326.324</v>
      </c>
    </row>
    <row r="314" spans="1:80">
      <c r="A314" s="354" t="s">
        <v>444</v>
      </c>
      <c r="B314" s="355" t="s">
        <v>6</v>
      </c>
      <c r="C314" s="354">
        <v>176071</v>
      </c>
      <c r="D314" s="356">
        <v>8</v>
      </c>
      <c r="E314" s="308"/>
      <c r="F314" s="309"/>
      <c r="G314" s="310">
        <f t="shared" si="96"/>
        <v>0</v>
      </c>
      <c r="H314" s="311"/>
      <c r="I314" s="312"/>
      <c r="J314" s="313">
        <f t="shared" si="97"/>
        <v>0</v>
      </c>
      <c r="K314" s="308"/>
      <c r="L314" s="309"/>
      <c r="M314" s="310">
        <f t="shared" si="98"/>
        <v>0</v>
      </c>
      <c r="N314" s="311"/>
      <c r="O314" s="312"/>
      <c r="P314" s="313">
        <f t="shared" si="99"/>
        <v>0</v>
      </c>
      <c r="Q314" s="308"/>
      <c r="R314" s="309"/>
      <c r="S314" s="310">
        <f t="shared" si="100"/>
        <v>0</v>
      </c>
      <c r="T314" s="311"/>
      <c r="U314" s="312"/>
      <c r="V314" s="313">
        <f t="shared" si="101"/>
        <v>0</v>
      </c>
      <c r="W314" s="308"/>
      <c r="X314" s="309"/>
      <c r="Y314" s="310">
        <f t="shared" si="102"/>
        <v>0</v>
      </c>
      <c r="Z314" s="311"/>
      <c r="AA314" s="312"/>
      <c r="AB314" s="313">
        <f t="shared" si="103"/>
        <v>0</v>
      </c>
      <c r="AC314" s="308"/>
      <c r="AD314" s="309"/>
      <c r="AE314" s="310">
        <f t="shared" si="104"/>
        <v>0</v>
      </c>
      <c r="AF314" s="311"/>
      <c r="AG314" s="312"/>
      <c r="AH314" s="313">
        <f t="shared" si="105"/>
        <v>0</v>
      </c>
      <c r="AI314" s="308">
        <v>277</v>
      </c>
      <c r="AJ314" s="309">
        <v>45601</v>
      </c>
      <c r="AK314" s="310">
        <f t="shared" si="106"/>
        <v>12631477</v>
      </c>
      <c r="AL314" s="311">
        <v>275</v>
      </c>
      <c r="AM314" s="312">
        <v>45443.7</v>
      </c>
      <c r="AN314" s="313">
        <f t="shared" si="107"/>
        <v>12497017.5</v>
      </c>
      <c r="AO314" s="308"/>
      <c r="AP314" s="309"/>
      <c r="AQ314" s="310">
        <f t="shared" si="108"/>
        <v>0</v>
      </c>
      <c r="AR314" s="311"/>
      <c r="AS314" s="312"/>
      <c r="AT314" s="313">
        <f t="shared" si="109"/>
        <v>0</v>
      </c>
      <c r="AU314" s="308"/>
      <c r="AV314" s="309"/>
      <c r="AW314" s="310">
        <f t="shared" si="110"/>
        <v>0</v>
      </c>
      <c r="AX314" s="311"/>
      <c r="AY314" s="312"/>
      <c r="AZ314" s="313">
        <f t="shared" si="111"/>
        <v>0</v>
      </c>
      <c r="BA314" s="308"/>
      <c r="BB314" s="309"/>
      <c r="BC314" s="310">
        <f t="shared" si="112"/>
        <v>0</v>
      </c>
      <c r="BD314" s="311"/>
      <c r="BE314" s="312"/>
      <c r="BF314" s="313">
        <f t="shared" si="113"/>
        <v>0</v>
      </c>
      <c r="BG314" s="308"/>
      <c r="BH314" s="309"/>
      <c r="BI314" s="310">
        <f t="shared" si="114"/>
        <v>0</v>
      </c>
      <c r="BJ314" s="311"/>
      <c r="BK314" s="312"/>
      <c r="BL314" s="313">
        <f t="shared" si="115"/>
        <v>0</v>
      </c>
      <c r="BM314" s="308"/>
      <c r="BN314" s="309"/>
      <c r="BO314" s="310">
        <f t="shared" si="116"/>
        <v>0</v>
      </c>
      <c r="BP314" s="311"/>
      <c r="BQ314" s="312"/>
      <c r="BR314" s="313">
        <f t="shared" si="117"/>
        <v>0</v>
      </c>
      <c r="BS314" s="308">
        <v>133</v>
      </c>
      <c r="BT314" s="309">
        <v>43454.5</v>
      </c>
      <c r="BU314" s="310">
        <f t="shared" si="118"/>
        <v>4728744.7626999998</v>
      </c>
      <c r="BV314" s="311">
        <v>130</v>
      </c>
      <c r="BW314" s="312">
        <f>6173290/BV314</f>
        <v>47486.846153846156</v>
      </c>
      <c r="BX314" s="313">
        <f t="shared" si="119"/>
        <v>5050985.8780000005</v>
      </c>
    </row>
    <row r="315" spans="1:80">
      <c r="A315" s="354" t="s">
        <v>444</v>
      </c>
      <c r="B315" s="355" t="s">
        <v>7</v>
      </c>
      <c r="C315" s="354">
        <v>176178</v>
      </c>
      <c r="D315" s="354">
        <v>8</v>
      </c>
      <c r="E315" s="308"/>
      <c r="F315" s="309"/>
      <c r="G315" s="310">
        <f t="shared" si="96"/>
        <v>0</v>
      </c>
      <c r="H315" s="311"/>
      <c r="I315" s="312"/>
      <c r="J315" s="313">
        <f t="shared" si="97"/>
        <v>0</v>
      </c>
      <c r="K315" s="308"/>
      <c r="L315" s="309"/>
      <c r="M315" s="310">
        <f t="shared" si="98"/>
        <v>0</v>
      </c>
      <c r="N315" s="311"/>
      <c r="O315" s="312"/>
      <c r="P315" s="313">
        <f t="shared" si="99"/>
        <v>0</v>
      </c>
      <c r="Q315" s="308"/>
      <c r="R315" s="309"/>
      <c r="S315" s="310">
        <f t="shared" si="100"/>
        <v>0</v>
      </c>
      <c r="T315" s="311"/>
      <c r="U315" s="312"/>
      <c r="V315" s="313">
        <f t="shared" si="101"/>
        <v>0</v>
      </c>
      <c r="W315" s="308"/>
      <c r="X315" s="309"/>
      <c r="Y315" s="310">
        <f t="shared" si="102"/>
        <v>0</v>
      </c>
      <c r="Z315" s="311"/>
      <c r="AA315" s="312"/>
      <c r="AB315" s="313">
        <f t="shared" si="103"/>
        <v>0</v>
      </c>
      <c r="AC315" s="308"/>
      <c r="AD315" s="309"/>
      <c r="AE315" s="310">
        <f t="shared" si="104"/>
        <v>0</v>
      </c>
      <c r="AF315" s="311"/>
      <c r="AG315" s="312"/>
      <c r="AH315" s="313">
        <f t="shared" si="105"/>
        <v>0</v>
      </c>
      <c r="AI315" s="308">
        <v>185</v>
      </c>
      <c r="AJ315" s="309">
        <v>44205.2</v>
      </c>
      <c r="AK315" s="310">
        <f t="shared" si="106"/>
        <v>8177961.9999999991</v>
      </c>
      <c r="AL315" s="311">
        <v>176</v>
      </c>
      <c r="AM315" s="312">
        <v>47243.4</v>
      </c>
      <c r="AN315" s="313">
        <f t="shared" si="107"/>
        <v>8314838.4000000004</v>
      </c>
      <c r="AO315" s="308"/>
      <c r="AP315" s="309"/>
      <c r="AQ315" s="310">
        <f t="shared" si="108"/>
        <v>0</v>
      </c>
      <c r="AR315" s="311"/>
      <c r="AS315" s="312"/>
      <c r="AT315" s="313">
        <f t="shared" si="109"/>
        <v>0</v>
      </c>
      <c r="AU315" s="308"/>
      <c r="AV315" s="309"/>
      <c r="AW315" s="310">
        <f t="shared" si="110"/>
        <v>0</v>
      </c>
      <c r="AX315" s="311"/>
      <c r="AY315" s="312"/>
      <c r="AZ315" s="313">
        <f t="shared" si="111"/>
        <v>0</v>
      </c>
      <c r="BA315" s="308"/>
      <c r="BB315" s="309"/>
      <c r="BC315" s="310">
        <f t="shared" si="112"/>
        <v>0</v>
      </c>
      <c r="BD315" s="311"/>
      <c r="BE315" s="312"/>
      <c r="BF315" s="313">
        <f t="shared" si="113"/>
        <v>0</v>
      </c>
      <c r="BG315" s="308"/>
      <c r="BH315" s="309"/>
      <c r="BI315" s="310">
        <f t="shared" si="114"/>
        <v>0</v>
      </c>
      <c r="BJ315" s="311"/>
      <c r="BK315" s="312"/>
      <c r="BL315" s="313">
        <f t="shared" si="115"/>
        <v>0</v>
      </c>
      <c r="BM315" s="308"/>
      <c r="BN315" s="309"/>
      <c r="BO315" s="310">
        <f t="shared" si="116"/>
        <v>0</v>
      </c>
      <c r="BP315" s="311"/>
      <c r="BQ315" s="312"/>
      <c r="BR315" s="313">
        <f t="shared" si="117"/>
        <v>0</v>
      </c>
      <c r="BS315" s="308">
        <v>27</v>
      </c>
      <c r="BT315" s="309">
        <v>56903.199999999997</v>
      </c>
      <c r="BU315" s="310">
        <f t="shared" si="118"/>
        <v>1257071.3524799999</v>
      </c>
      <c r="BV315" s="311">
        <v>38</v>
      </c>
      <c r="BW315" s="312">
        <f>2083807/BV315</f>
        <v>54837.026315789473</v>
      </c>
      <c r="BX315" s="313">
        <f t="shared" si="119"/>
        <v>1704970.8874000001</v>
      </c>
    </row>
    <row r="316" spans="1:80">
      <c r="A316" s="354" t="s">
        <v>444</v>
      </c>
      <c r="B316" s="355" t="s">
        <v>8</v>
      </c>
      <c r="C316" s="354">
        <v>175573</v>
      </c>
      <c r="D316" s="356">
        <v>9</v>
      </c>
      <c r="E316" s="308"/>
      <c r="F316" s="309"/>
      <c r="G316" s="310">
        <f t="shared" si="96"/>
        <v>0</v>
      </c>
      <c r="H316" s="311"/>
      <c r="I316" s="312"/>
      <c r="J316" s="313">
        <f t="shared" si="97"/>
        <v>0</v>
      </c>
      <c r="K316" s="308"/>
      <c r="L316" s="309"/>
      <c r="M316" s="310">
        <f t="shared" si="98"/>
        <v>0</v>
      </c>
      <c r="N316" s="311"/>
      <c r="O316" s="312"/>
      <c r="P316" s="313">
        <f t="shared" si="99"/>
        <v>0</v>
      </c>
      <c r="Q316" s="308"/>
      <c r="R316" s="309"/>
      <c r="S316" s="310">
        <f t="shared" si="100"/>
        <v>0</v>
      </c>
      <c r="T316" s="311"/>
      <c r="U316" s="312"/>
      <c r="V316" s="313">
        <f t="shared" si="101"/>
        <v>0</v>
      </c>
      <c r="W316" s="308"/>
      <c r="X316" s="309"/>
      <c r="Y316" s="310">
        <f t="shared" si="102"/>
        <v>0</v>
      </c>
      <c r="Z316" s="311"/>
      <c r="AA316" s="312"/>
      <c r="AB316" s="313">
        <f t="shared" si="103"/>
        <v>0</v>
      </c>
      <c r="AC316" s="308"/>
      <c r="AD316" s="309"/>
      <c r="AE316" s="310">
        <f t="shared" si="104"/>
        <v>0</v>
      </c>
      <c r="AF316" s="311"/>
      <c r="AG316" s="312"/>
      <c r="AH316" s="313">
        <f t="shared" si="105"/>
        <v>0</v>
      </c>
      <c r="AI316" s="308">
        <v>111</v>
      </c>
      <c r="AJ316" s="309">
        <v>44825.1</v>
      </c>
      <c r="AK316" s="310">
        <f t="shared" si="106"/>
        <v>4975586.0999999996</v>
      </c>
      <c r="AL316" s="311">
        <v>112</v>
      </c>
      <c r="AM316" s="312">
        <v>47596.5</v>
      </c>
      <c r="AN316" s="313">
        <f t="shared" si="107"/>
        <v>5330808</v>
      </c>
      <c r="AO316" s="308"/>
      <c r="AP316" s="309"/>
      <c r="AQ316" s="310">
        <f t="shared" si="108"/>
        <v>0</v>
      </c>
      <c r="AR316" s="311"/>
      <c r="AS316" s="312"/>
      <c r="AT316" s="313">
        <f t="shared" si="109"/>
        <v>0</v>
      </c>
      <c r="AU316" s="308"/>
      <c r="AV316" s="309"/>
      <c r="AW316" s="310">
        <f t="shared" si="110"/>
        <v>0</v>
      </c>
      <c r="AX316" s="311"/>
      <c r="AY316" s="312"/>
      <c r="AZ316" s="313">
        <f t="shared" si="111"/>
        <v>0</v>
      </c>
      <c r="BA316" s="308"/>
      <c r="BB316" s="309"/>
      <c r="BC316" s="310">
        <f t="shared" si="112"/>
        <v>0</v>
      </c>
      <c r="BD316" s="311"/>
      <c r="BE316" s="312"/>
      <c r="BF316" s="313">
        <f t="shared" si="113"/>
        <v>0</v>
      </c>
      <c r="BG316" s="308"/>
      <c r="BH316" s="309"/>
      <c r="BI316" s="310">
        <f t="shared" si="114"/>
        <v>0</v>
      </c>
      <c r="BJ316" s="311"/>
      <c r="BK316" s="312"/>
      <c r="BL316" s="313">
        <f t="shared" si="115"/>
        <v>0</v>
      </c>
      <c r="BM316" s="308"/>
      <c r="BN316" s="309"/>
      <c r="BO316" s="310">
        <f t="shared" si="116"/>
        <v>0</v>
      </c>
      <c r="BP316" s="311"/>
      <c r="BQ316" s="312"/>
      <c r="BR316" s="313">
        <f t="shared" si="117"/>
        <v>0</v>
      </c>
      <c r="BS316" s="308">
        <v>0</v>
      </c>
      <c r="BT316" s="309">
        <v>0</v>
      </c>
      <c r="BU316" s="310">
        <f t="shared" si="118"/>
        <v>0</v>
      </c>
      <c r="BV316" s="311">
        <v>0</v>
      </c>
      <c r="BW316" s="312">
        <v>0</v>
      </c>
      <c r="BX316" s="313">
        <f t="shared" si="119"/>
        <v>0</v>
      </c>
      <c r="BZ316" s="74" t="s">
        <v>560</v>
      </c>
    </row>
    <row r="317" spans="1:80">
      <c r="A317" s="354" t="s">
        <v>444</v>
      </c>
      <c r="B317" s="357" t="s">
        <v>9</v>
      </c>
      <c r="C317" s="354">
        <v>175643</v>
      </c>
      <c r="D317" s="354">
        <v>9</v>
      </c>
      <c r="E317" s="308"/>
      <c r="F317" s="309"/>
      <c r="G317" s="310">
        <f t="shared" si="96"/>
        <v>0</v>
      </c>
      <c r="H317" s="311"/>
      <c r="I317" s="312"/>
      <c r="J317" s="313">
        <f t="shared" si="97"/>
        <v>0</v>
      </c>
      <c r="K317" s="308"/>
      <c r="L317" s="309"/>
      <c r="M317" s="310">
        <f t="shared" si="98"/>
        <v>0</v>
      </c>
      <c r="N317" s="311"/>
      <c r="O317" s="312"/>
      <c r="P317" s="313">
        <f t="shared" si="99"/>
        <v>0</v>
      </c>
      <c r="Q317" s="308"/>
      <c r="R317" s="309"/>
      <c r="S317" s="310">
        <f t="shared" si="100"/>
        <v>0</v>
      </c>
      <c r="T317" s="311"/>
      <c r="U317" s="312"/>
      <c r="V317" s="313">
        <f t="shared" si="101"/>
        <v>0</v>
      </c>
      <c r="W317" s="308"/>
      <c r="X317" s="309"/>
      <c r="Y317" s="310">
        <f t="shared" si="102"/>
        <v>0</v>
      </c>
      <c r="Z317" s="311"/>
      <c r="AA317" s="312"/>
      <c r="AB317" s="313">
        <f t="shared" si="103"/>
        <v>0</v>
      </c>
      <c r="AC317" s="308"/>
      <c r="AD317" s="309"/>
      <c r="AE317" s="310">
        <f t="shared" si="104"/>
        <v>0</v>
      </c>
      <c r="AF317" s="311"/>
      <c r="AG317" s="312"/>
      <c r="AH317" s="313">
        <f t="shared" si="105"/>
        <v>0</v>
      </c>
      <c r="AI317" s="308">
        <v>74</v>
      </c>
      <c r="AJ317" s="309">
        <v>53638.7</v>
      </c>
      <c r="AK317" s="310">
        <f t="shared" si="106"/>
        <v>3969263.8</v>
      </c>
      <c r="AL317" s="311">
        <v>74</v>
      </c>
      <c r="AM317" s="312">
        <v>51759.9</v>
      </c>
      <c r="AN317" s="313">
        <f t="shared" si="107"/>
        <v>3830232.6</v>
      </c>
      <c r="AO317" s="308"/>
      <c r="AP317" s="309"/>
      <c r="AQ317" s="310">
        <f t="shared" si="108"/>
        <v>0</v>
      </c>
      <c r="AR317" s="311"/>
      <c r="AS317" s="312"/>
      <c r="AT317" s="313">
        <f t="shared" si="109"/>
        <v>0</v>
      </c>
      <c r="AU317" s="308"/>
      <c r="AV317" s="309"/>
      <c r="AW317" s="310">
        <f t="shared" si="110"/>
        <v>0</v>
      </c>
      <c r="AX317" s="311"/>
      <c r="AY317" s="312"/>
      <c r="AZ317" s="313">
        <f t="shared" si="111"/>
        <v>0</v>
      </c>
      <c r="BA317" s="308"/>
      <c r="BB317" s="309"/>
      <c r="BC317" s="310">
        <f t="shared" si="112"/>
        <v>0</v>
      </c>
      <c r="BD317" s="311"/>
      <c r="BE317" s="312"/>
      <c r="BF317" s="313">
        <f t="shared" si="113"/>
        <v>0</v>
      </c>
      <c r="BG317" s="308"/>
      <c r="BH317" s="309"/>
      <c r="BI317" s="310">
        <f t="shared" si="114"/>
        <v>0</v>
      </c>
      <c r="BJ317" s="311"/>
      <c r="BK317" s="312"/>
      <c r="BL317" s="313">
        <f t="shared" si="115"/>
        <v>0</v>
      </c>
      <c r="BM317" s="308"/>
      <c r="BN317" s="309"/>
      <c r="BO317" s="310">
        <f t="shared" si="116"/>
        <v>0</v>
      </c>
      <c r="BP317" s="311"/>
      <c r="BQ317" s="312"/>
      <c r="BR317" s="313">
        <f t="shared" si="117"/>
        <v>0</v>
      </c>
      <c r="BS317" s="308">
        <v>16</v>
      </c>
      <c r="BT317" s="309">
        <v>16297</v>
      </c>
      <c r="BU317" s="310">
        <f t="shared" si="118"/>
        <v>213347.28640000001</v>
      </c>
      <c r="BV317" s="311">
        <v>6</v>
      </c>
      <c r="BW317" s="312">
        <f>272722/BV317</f>
        <v>45453.666666666664</v>
      </c>
      <c r="BX317" s="313">
        <f t="shared" si="119"/>
        <v>223141.1404</v>
      </c>
      <c r="BY317" s="74" t="s">
        <v>560</v>
      </c>
      <c r="BZ317" s="74" t="s">
        <v>560</v>
      </c>
      <c r="CA317" s="74" t="s">
        <v>560</v>
      </c>
    </row>
    <row r="318" spans="1:80">
      <c r="A318" s="354" t="s">
        <v>444</v>
      </c>
      <c r="B318" s="355" t="s">
        <v>10</v>
      </c>
      <c r="C318" s="354">
        <v>175652</v>
      </c>
      <c r="D318" s="354">
        <v>9</v>
      </c>
      <c r="E318" s="308"/>
      <c r="F318" s="309"/>
      <c r="G318" s="310">
        <f t="shared" si="96"/>
        <v>0</v>
      </c>
      <c r="H318" s="311"/>
      <c r="I318" s="312"/>
      <c r="J318" s="313">
        <f t="shared" si="97"/>
        <v>0</v>
      </c>
      <c r="K318" s="308"/>
      <c r="L318" s="309"/>
      <c r="M318" s="310">
        <f t="shared" si="98"/>
        <v>0</v>
      </c>
      <c r="N318" s="311"/>
      <c r="O318" s="312"/>
      <c r="P318" s="313">
        <f t="shared" si="99"/>
        <v>0</v>
      </c>
      <c r="Q318" s="308"/>
      <c r="R318" s="309"/>
      <c r="S318" s="310">
        <f t="shared" si="100"/>
        <v>0</v>
      </c>
      <c r="T318" s="311"/>
      <c r="U318" s="312"/>
      <c r="V318" s="313">
        <f t="shared" si="101"/>
        <v>0</v>
      </c>
      <c r="W318" s="308"/>
      <c r="X318" s="309"/>
      <c r="Y318" s="310">
        <f t="shared" si="102"/>
        <v>0</v>
      </c>
      <c r="Z318" s="311"/>
      <c r="AA318" s="312"/>
      <c r="AB318" s="313">
        <f t="shared" si="103"/>
        <v>0</v>
      </c>
      <c r="AC318" s="308"/>
      <c r="AD318" s="309"/>
      <c r="AE318" s="310">
        <f t="shared" si="104"/>
        <v>0</v>
      </c>
      <c r="AF318" s="311"/>
      <c r="AG318" s="312"/>
      <c r="AH318" s="313">
        <f t="shared" si="105"/>
        <v>0</v>
      </c>
      <c r="AI318" s="308">
        <v>91</v>
      </c>
      <c r="AJ318" s="309">
        <v>48995</v>
      </c>
      <c r="AK318" s="310">
        <f t="shared" si="106"/>
        <v>4458545</v>
      </c>
      <c r="AL318" s="311">
        <v>91.2</v>
      </c>
      <c r="AM318" s="312">
        <v>50522.2</v>
      </c>
      <c r="AN318" s="313">
        <f t="shared" si="107"/>
        <v>4607624.6399999997</v>
      </c>
      <c r="AO318" s="308"/>
      <c r="AP318" s="309"/>
      <c r="AQ318" s="310">
        <f t="shared" si="108"/>
        <v>0</v>
      </c>
      <c r="AR318" s="311"/>
      <c r="AS318" s="312"/>
      <c r="AT318" s="313">
        <f t="shared" si="109"/>
        <v>0</v>
      </c>
      <c r="AU318" s="308"/>
      <c r="AV318" s="309"/>
      <c r="AW318" s="310">
        <f t="shared" si="110"/>
        <v>0</v>
      </c>
      <c r="AX318" s="311"/>
      <c r="AY318" s="312"/>
      <c r="AZ318" s="313">
        <f t="shared" si="111"/>
        <v>0</v>
      </c>
      <c r="BA318" s="308"/>
      <c r="BB318" s="309"/>
      <c r="BC318" s="310">
        <f t="shared" si="112"/>
        <v>0</v>
      </c>
      <c r="BD318" s="311"/>
      <c r="BE318" s="312"/>
      <c r="BF318" s="313">
        <f t="shared" si="113"/>
        <v>0</v>
      </c>
      <c r="BG318" s="308"/>
      <c r="BH318" s="309"/>
      <c r="BI318" s="310">
        <f t="shared" si="114"/>
        <v>0</v>
      </c>
      <c r="BJ318" s="311"/>
      <c r="BK318" s="312"/>
      <c r="BL318" s="313">
        <f t="shared" si="115"/>
        <v>0</v>
      </c>
      <c r="BM318" s="308"/>
      <c r="BN318" s="309"/>
      <c r="BO318" s="310">
        <f t="shared" si="116"/>
        <v>0</v>
      </c>
      <c r="BP318" s="311"/>
      <c r="BQ318" s="312"/>
      <c r="BR318" s="313">
        <f t="shared" si="117"/>
        <v>0</v>
      </c>
      <c r="BS318" s="308">
        <v>17.3</v>
      </c>
      <c r="BT318" s="309">
        <v>45749.2</v>
      </c>
      <c r="BU318" s="310">
        <f t="shared" si="118"/>
        <v>647573.5211120001</v>
      </c>
      <c r="BV318" s="311">
        <v>23.3</v>
      </c>
      <c r="BW318" s="312">
        <f>1211345/BV318</f>
        <v>51989.055793991414</v>
      </c>
      <c r="BX318" s="313">
        <f t="shared" si="119"/>
        <v>991122.47900000005</v>
      </c>
      <c r="BZ318" s="74">
        <f>1211345*0.8182</f>
        <v>991122.47900000005</v>
      </c>
      <c r="CA318" s="74">
        <f>+BZ318/BV318</f>
        <v>42537.445450643776</v>
      </c>
    </row>
    <row r="319" spans="1:80">
      <c r="A319" s="354" t="s">
        <v>444</v>
      </c>
      <c r="B319" s="355" t="s">
        <v>11</v>
      </c>
      <c r="C319" s="354">
        <v>175810</v>
      </c>
      <c r="D319" s="356">
        <v>9</v>
      </c>
      <c r="E319" s="308"/>
      <c r="F319" s="309"/>
      <c r="G319" s="310">
        <f t="shared" si="96"/>
        <v>0</v>
      </c>
      <c r="H319" s="311"/>
      <c r="I319" s="312"/>
      <c r="J319" s="313">
        <f t="shared" si="97"/>
        <v>0</v>
      </c>
      <c r="K319" s="308"/>
      <c r="L319" s="309"/>
      <c r="M319" s="310">
        <f t="shared" si="98"/>
        <v>0</v>
      </c>
      <c r="N319" s="311"/>
      <c r="O319" s="312"/>
      <c r="P319" s="313">
        <f t="shared" si="99"/>
        <v>0</v>
      </c>
      <c r="Q319" s="308"/>
      <c r="R319" s="309"/>
      <c r="S319" s="310">
        <f t="shared" si="100"/>
        <v>0</v>
      </c>
      <c r="T319" s="311"/>
      <c r="U319" s="312"/>
      <c r="V319" s="313">
        <f t="shared" si="101"/>
        <v>0</v>
      </c>
      <c r="W319" s="308"/>
      <c r="X319" s="309"/>
      <c r="Y319" s="310">
        <f t="shared" si="102"/>
        <v>0</v>
      </c>
      <c r="Z319" s="311"/>
      <c r="AA319" s="312"/>
      <c r="AB319" s="313">
        <f t="shared" si="103"/>
        <v>0</v>
      </c>
      <c r="AC319" s="308"/>
      <c r="AD319" s="309"/>
      <c r="AE319" s="310">
        <f t="shared" si="104"/>
        <v>0</v>
      </c>
      <c r="AF319" s="311"/>
      <c r="AG319" s="312"/>
      <c r="AH319" s="313">
        <f t="shared" si="105"/>
        <v>0</v>
      </c>
      <c r="AI319" s="308">
        <v>121.5</v>
      </c>
      <c r="AJ319" s="309">
        <v>52798.3</v>
      </c>
      <c r="AK319" s="310">
        <f t="shared" si="106"/>
        <v>6414993.4500000002</v>
      </c>
      <c r="AL319" s="311">
        <v>127</v>
      </c>
      <c r="AM319" s="312">
        <v>55331.6</v>
      </c>
      <c r="AN319" s="313">
        <f t="shared" si="107"/>
        <v>7027113.2000000002</v>
      </c>
      <c r="AO319" s="308"/>
      <c r="AP319" s="309"/>
      <c r="AQ319" s="310">
        <f t="shared" si="108"/>
        <v>0</v>
      </c>
      <c r="AR319" s="311"/>
      <c r="AS319" s="312"/>
      <c r="AT319" s="313">
        <f t="shared" si="109"/>
        <v>0</v>
      </c>
      <c r="AU319" s="308"/>
      <c r="AV319" s="309"/>
      <c r="AW319" s="310">
        <f t="shared" si="110"/>
        <v>0</v>
      </c>
      <c r="AX319" s="311"/>
      <c r="AY319" s="312"/>
      <c r="AZ319" s="313">
        <f t="shared" si="111"/>
        <v>0</v>
      </c>
      <c r="BA319" s="308"/>
      <c r="BB319" s="309"/>
      <c r="BC319" s="310">
        <f t="shared" si="112"/>
        <v>0</v>
      </c>
      <c r="BD319" s="311"/>
      <c r="BE319" s="312"/>
      <c r="BF319" s="313">
        <f t="shared" si="113"/>
        <v>0</v>
      </c>
      <c r="BG319" s="308"/>
      <c r="BH319" s="309"/>
      <c r="BI319" s="310">
        <f t="shared" si="114"/>
        <v>0</v>
      </c>
      <c r="BJ319" s="311"/>
      <c r="BK319" s="312"/>
      <c r="BL319" s="313">
        <f t="shared" si="115"/>
        <v>0</v>
      </c>
      <c r="BM319" s="308"/>
      <c r="BN319" s="309"/>
      <c r="BO319" s="310">
        <f t="shared" si="116"/>
        <v>0</v>
      </c>
      <c r="BP319" s="311"/>
      <c r="BQ319" s="312"/>
      <c r="BR319" s="313">
        <f t="shared" si="117"/>
        <v>0</v>
      </c>
      <c r="BS319" s="308">
        <v>46</v>
      </c>
      <c r="BT319" s="309">
        <v>43245.9</v>
      </c>
      <c r="BU319" s="310">
        <f t="shared" si="118"/>
        <v>1627654.5874800002</v>
      </c>
      <c r="BV319" s="311">
        <v>44</v>
      </c>
      <c r="BW319" s="312">
        <f>2520260/BV319</f>
        <v>57278.63636363636</v>
      </c>
      <c r="BX319" s="313">
        <f t="shared" si="119"/>
        <v>2062076.7320000001</v>
      </c>
      <c r="BZ319" s="74" t="s">
        <v>560</v>
      </c>
    </row>
    <row r="320" spans="1:80">
      <c r="A320" s="354" t="s">
        <v>444</v>
      </c>
      <c r="B320" s="423" t="s">
        <v>12</v>
      </c>
      <c r="C320" s="354">
        <v>175829</v>
      </c>
      <c r="D320" s="356">
        <v>9</v>
      </c>
      <c r="E320" s="308"/>
      <c r="F320" s="309"/>
      <c r="G320" s="310">
        <f t="shared" si="96"/>
        <v>0</v>
      </c>
      <c r="H320" s="311"/>
      <c r="I320" s="312"/>
      <c r="J320" s="313">
        <f t="shared" si="97"/>
        <v>0</v>
      </c>
      <c r="K320" s="308"/>
      <c r="L320" s="309"/>
      <c r="M320" s="310">
        <f t="shared" si="98"/>
        <v>0</v>
      </c>
      <c r="N320" s="311"/>
      <c r="O320" s="312"/>
      <c r="P320" s="313">
        <f t="shared" si="99"/>
        <v>0</v>
      </c>
      <c r="Q320" s="308"/>
      <c r="R320" s="309"/>
      <c r="S320" s="310">
        <f t="shared" si="100"/>
        <v>0</v>
      </c>
      <c r="T320" s="311"/>
      <c r="U320" s="312"/>
      <c r="V320" s="313">
        <f t="shared" si="101"/>
        <v>0</v>
      </c>
      <c r="W320" s="308"/>
      <c r="X320" s="309"/>
      <c r="Y320" s="310">
        <f t="shared" si="102"/>
        <v>0</v>
      </c>
      <c r="Z320" s="311"/>
      <c r="AA320" s="312"/>
      <c r="AB320" s="313">
        <f t="shared" si="103"/>
        <v>0</v>
      </c>
      <c r="AC320" s="308"/>
      <c r="AD320" s="309"/>
      <c r="AE320" s="310">
        <f t="shared" si="104"/>
        <v>0</v>
      </c>
      <c r="AF320" s="311"/>
      <c r="AG320" s="312"/>
      <c r="AH320" s="313">
        <f t="shared" si="105"/>
        <v>0</v>
      </c>
      <c r="AI320" s="308">
        <v>110</v>
      </c>
      <c r="AJ320" s="309">
        <v>50258</v>
      </c>
      <c r="AK320" s="310">
        <f t="shared" si="106"/>
        <v>5528380</v>
      </c>
      <c r="AL320" s="311">
        <v>129</v>
      </c>
      <c r="AM320" s="312">
        <v>52813.2</v>
      </c>
      <c r="AN320" s="313">
        <f t="shared" si="107"/>
        <v>6812902.7999999998</v>
      </c>
      <c r="AO320" s="308"/>
      <c r="AP320" s="309"/>
      <c r="AQ320" s="310">
        <f t="shared" si="108"/>
        <v>0</v>
      </c>
      <c r="AR320" s="311"/>
      <c r="AS320" s="312"/>
      <c r="AT320" s="313">
        <f t="shared" si="109"/>
        <v>0</v>
      </c>
      <c r="AU320" s="308"/>
      <c r="AV320" s="309"/>
      <c r="AW320" s="310">
        <f t="shared" si="110"/>
        <v>0</v>
      </c>
      <c r="AX320" s="311"/>
      <c r="AY320" s="312"/>
      <c r="AZ320" s="313">
        <f t="shared" si="111"/>
        <v>0</v>
      </c>
      <c r="BA320" s="308"/>
      <c r="BB320" s="309"/>
      <c r="BC320" s="310">
        <f t="shared" si="112"/>
        <v>0</v>
      </c>
      <c r="BD320" s="311"/>
      <c r="BE320" s="312"/>
      <c r="BF320" s="313">
        <f t="shared" si="113"/>
        <v>0</v>
      </c>
      <c r="BG320" s="308"/>
      <c r="BH320" s="309"/>
      <c r="BI320" s="310">
        <f t="shared" si="114"/>
        <v>0</v>
      </c>
      <c r="BJ320" s="311"/>
      <c r="BK320" s="312"/>
      <c r="BL320" s="313">
        <f t="shared" si="115"/>
        <v>0</v>
      </c>
      <c r="BM320" s="308"/>
      <c r="BN320" s="309"/>
      <c r="BO320" s="310">
        <f t="shared" si="116"/>
        <v>0</v>
      </c>
      <c r="BP320" s="311"/>
      <c r="BQ320" s="312"/>
      <c r="BR320" s="313">
        <f t="shared" si="117"/>
        <v>0</v>
      </c>
      <c r="BS320" s="308">
        <v>58</v>
      </c>
      <c r="BT320" s="309">
        <v>51562.9</v>
      </c>
      <c r="BU320" s="310">
        <f t="shared" si="118"/>
        <v>2446948.3572400003</v>
      </c>
      <c r="BV320" s="311">
        <v>62</v>
      </c>
      <c r="BW320" s="312">
        <f>4129763/BV320</f>
        <v>66609.080645161288</v>
      </c>
      <c r="BX320" s="313">
        <f t="shared" si="119"/>
        <v>3378972.0866</v>
      </c>
    </row>
    <row r="321" spans="1:76">
      <c r="A321" s="354" t="s">
        <v>444</v>
      </c>
      <c r="B321" s="355" t="s">
        <v>19</v>
      </c>
      <c r="C321" s="354">
        <v>175883</v>
      </c>
      <c r="D321" s="356">
        <v>9</v>
      </c>
      <c r="E321" s="308"/>
      <c r="F321" s="309"/>
      <c r="G321" s="310">
        <f t="shared" si="96"/>
        <v>0</v>
      </c>
      <c r="H321" s="311"/>
      <c r="I321" s="312"/>
      <c r="J321" s="313">
        <f t="shared" si="97"/>
        <v>0</v>
      </c>
      <c r="K321" s="308"/>
      <c r="L321" s="309"/>
      <c r="M321" s="310">
        <f t="shared" si="98"/>
        <v>0</v>
      </c>
      <c r="N321" s="311"/>
      <c r="O321" s="312"/>
      <c r="P321" s="313">
        <f t="shared" si="99"/>
        <v>0</v>
      </c>
      <c r="Q321" s="308"/>
      <c r="R321" s="309"/>
      <c r="S321" s="310">
        <f t="shared" si="100"/>
        <v>0</v>
      </c>
      <c r="T321" s="311"/>
      <c r="U321" s="312"/>
      <c r="V321" s="313">
        <f t="shared" si="101"/>
        <v>0</v>
      </c>
      <c r="W321" s="308"/>
      <c r="X321" s="309"/>
      <c r="Y321" s="310">
        <f t="shared" si="102"/>
        <v>0</v>
      </c>
      <c r="Z321" s="311"/>
      <c r="AA321" s="312"/>
      <c r="AB321" s="313">
        <f t="shared" si="103"/>
        <v>0</v>
      </c>
      <c r="AC321" s="308"/>
      <c r="AD321" s="309"/>
      <c r="AE321" s="310">
        <f t="shared" si="104"/>
        <v>0</v>
      </c>
      <c r="AF321" s="311"/>
      <c r="AG321" s="312"/>
      <c r="AH321" s="313">
        <f t="shared" si="105"/>
        <v>0</v>
      </c>
      <c r="AI321" s="308">
        <v>154.5</v>
      </c>
      <c r="AJ321" s="309">
        <v>53369.5</v>
      </c>
      <c r="AK321" s="310">
        <f t="shared" si="106"/>
        <v>8245587.75</v>
      </c>
      <c r="AL321" s="311">
        <v>135.1</v>
      </c>
      <c r="AM321" s="312">
        <v>54481.5</v>
      </c>
      <c r="AN321" s="313">
        <f t="shared" si="107"/>
        <v>7360450.6499999994</v>
      </c>
      <c r="AO321" s="308"/>
      <c r="AP321" s="309"/>
      <c r="AQ321" s="310">
        <f t="shared" si="108"/>
        <v>0</v>
      </c>
      <c r="AR321" s="311"/>
      <c r="AS321" s="312"/>
      <c r="AT321" s="313">
        <f t="shared" si="109"/>
        <v>0</v>
      </c>
      <c r="AU321" s="308"/>
      <c r="AV321" s="309"/>
      <c r="AW321" s="310">
        <f t="shared" si="110"/>
        <v>0</v>
      </c>
      <c r="AX321" s="311"/>
      <c r="AY321" s="312"/>
      <c r="AZ321" s="313">
        <f t="shared" si="111"/>
        <v>0</v>
      </c>
      <c r="BA321" s="308"/>
      <c r="BB321" s="309"/>
      <c r="BC321" s="310">
        <f t="shared" si="112"/>
        <v>0</v>
      </c>
      <c r="BD321" s="311"/>
      <c r="BE321" s="312"/>
      <c r="BF321" s="313">
        <f t="shared" si="113"/>
        <v>0</v>
      </c>
      <c r="BG321" s="308"/>
      <c r="BH321" s="309"/>
      <c r="BI321" s="310">
        <f t="shared" si="114"/>
        <v>0</v>
      </c>
      <c r="BJ321" s="311"/>
      <c r="BK321" s="312"/>
      <c r="BL321" s="313">
        <f t="shared" si="115"/>
        <v>0</v>
      </c>
      <c r="BM321" s="308"/>
      <c r="BN321" s="309"/>
      <c r="BO321" s="310">
        <f t="shared" si="116"/>
        <v>0</v>
      </c>
      <c r="BP321" s="311"/>
      <c r="BQ321" s="312"/>
      <c r="BR321" s="313">
        <f t="shared" si="117"/>
        <v>0</v>
      </c>
      <c r="BS321" s="308">
        <v>19.5</v>
      </c>
      <c r="BT321" s="309">
        <v>50495.199999999997</v>
      </c>
      <c r="BU321" s="310">
        <f t="shared" si="118"/>
        <v>805645.86647999997</v>
      </c>
      <c r="BV321" s="311">
        <v>12.1</v>
      </c>
      <c r="BW321" s="312">
        <f>763278/BV321</f>
        <v>63080.826446280997</v>
      </c>
      <c r="BX321" s="313">
        <f t="shared" si="119"/>
        <v>624514.05960000004</v>
      </c>
    </row>
    <row r="322" spans="1:76">
      <c r="A322" s="354" t="s">
        <v>444</v>
      </c>
      <c r="B322" s="355" t="s">
        <v>20</v>
      </c>
      <c r="C322" s="354">
        <v>175935</v>
      </c>
      <c r="D322" s="356">
        <v>9</v>
      </c>
      <c r="E322" s="308"/>
      <c r="F322" s="309"/>
      <c r="G322" s="310">
        <f t="shared" si="96"/>
        <v>0</v>
      </c>
      <c r="H322" s="311"/>
      <c r="I322" s="312"/>
      <c r="J322" s="313">
        <f t="shared" si="97"/>
        <v>0</v>
      </c>
      <c r="K322" s="308"/>
      <c r="L322" s="309"/>
      <c r="M322" s="310">
        <f t="shared" si="98"/>
        <v>0</v>
      </c>
      <c r="N322" s="311"/>
      <c r="O322" s="312"/>
      <c r="P322" s="313">
        <f t="shared" si="99"/>
        <v>0</v>
      </c>
      <c r="Q322" s="308"/>
      <c r="R322" s="309"/>
      <c r="S322" s="310">
        <f t="shared" si="100"/>
        <v>0</v>
      </c>
      <c r="T322" s="311"/>
      <c r="U322" s="312"/>
      <c r="V322" s="313">
        <f t="shared" si="101"/>
        <v>0</v>
      </c>
      <c r="W322" s="308"/>
      <c r="X322" s="309"/>
      <c r="Y322" s="310">
        <f t="shared" si="102"/>
        <v>0</v>
      </c>
      <c r="Z322" s="311"/>
      <c r="AA322" s="312"/>
      <c r="AB322" s="313">
        <f t="shared" si="103"/>
        <v>0</v>
      </c>
      <c r="AC322" s="308"/>
      <c r="AD322" s="309"/>
      <c r="AE322" s="310">
        <f t="shared" si="104"/>
        <v>0</v>
      </c>
      <c r="AF322" s="311"/>
      <c r="AG322" s="312"/>
      <c r="AH322" s="313">
        <f t="shared" si="105"/>
        <v>0</v>
      </c>
      <c r="AI322" s="308">
        <v>85.7</v>
      </c>
      <c r="AJ322" s="309">
        <v>44829.9</v>
      </c>
      <c r="AK322" s="310">
        <f t="shared" si="106"/>
        <v>3841922.43</v>
      </c>
      <c r="AL322" s="311">
        <v>92.2</v>
      </c>
      <c r="AM322" s="312">
        <v>45972.5</v>
      </c>
      <c r="AN322" s="313">
        <f t="shared" si="107"/>
        <v>4238664.5</v>
      </c>
      <c r="AO322" s="308"/>
      <c r="AP322" s="309"/>
      <c r="AQ322" s="310">
        <f t="shared" si="108"/>
        <v>0</v>
      </c>
      <c r="AR322" s="311"/>
      <c r="AS322" s="312"/>
      <c r="AT322" s="313">
        <f t="shared" si="109"/>
        <v>0</v>
      </c>
      <c r="AU322" s="308"/>
      <c r="AV322" s="309"/>
      <c r="AW322" s="310">
        <f t="shared" si="110"/>
        <v>0</v>
      </c>
      <c r="AX322" s="311"/>
      <c r="AY322" s="312"/>
      <c r="AZ322" s="313">
        <f t="shared" si="111"/>
        <v>0</v>
      </c>
      <c r="BA322" s="308"/>
      <c r="BB322" s="309"/>
      <c r="BC322" s="310">
        <f t="shared" si="112"/>
        <v>0</v>
      </c>
      <c r="BD322" s="311"/>
      <c r="BE322" s="312"/>
      <c r="BF322" s="313">
        <f t="shared" si="113"/>
        <v>0</v>
      </c>
      <c r="BG322" s="308"/>
      <c r="BH322" s="309"/>
      <c r="BI322" s="310">
        <f t="shared" si="114"/>
        <v>0</v>
      </c>
      <c r="BJ322" s="311"/>
      <c r="BK322" s="312"/>
      <c r="BL322" s="313">
        <f t="shared" si="115"/>
        <v>0</v>
      </c>
      <c r="BM322" s="308"/>
      <c r="BN322" s="309"/>
      <c r="BO322" s="310">
        <f t="shared" si="116"/>
        <v>0</v>
      </c>
      <c r="BP322" s="311"/>
      <c r="BQ322" s="312"/>
      <c r="BR322" s="313">
        <f t="shared" si="117"/>
        <v>0</v>
      </c>
      <c r="BS322" s="308">
        <v>60.9</v>
      </c>
      <c r="BT322" s="309">
        <v>39674.699999999997</v>
      </c>
      <c r="BU322" s="310">
        <f t="shared" si="118"/>
        <v>1976926.0279860001</v>
      </c>
      <c r="BV322" s="311">
        <v>63</v>
      </c>
      <c r="BW322" s="312">
        <f>3097128/BV322</f>
        <v>49160.761904761908</v>
      </c>
      <c r="BX322" s="313">
        <f t="shared" si="119"/>
        <v>2534070.1296000001</v>
      </c>
    </row>
    <row r="323" spans="1:76">
      <c r="A323" s="354" t="s">
        <v>444</v>
      </c>
      <c r="B323" s="355" t="s">
        <v>21</v>
      </c>
      <c r="C323" s="354">
        <v>176008</v>
      </c>
      <c r="D323" s="356">
        <v>9</v>
      </c>
      <c r="E323" s="308"/>
      <c r="F323" s="309"/>
      <c r="G323" s="310">
        <f t="shared" si="96"/>
        <v>0</v>
      </c>
      <c r="H323" s="311"/>
      <c r="I323" s="312"/>
      <c r="J323" s="313">
        <f t="shared" si="97"/>
        <v>0</v>
      </c>
      <c r="K323" s="308"/>
      <c r="L323" s="309"/>
      <c r="M323" s="310">
        <f t="shared" si="98"/>
        <v>0</v>
      </c>
      <c r="N323" s="311"/>
      <c r="O323" s="312"/>
      <c r="P323" s="313">
        <f t="shared" si="99"/>
        <v>0</v>
      </c>
      <c r="Q323" s="308"/>
      <c r="R323" s="309"/>
      <c r="S323" s="310">
        <f t="shared" si="100"/>
        <v>0</v>
      </c>
      <c r="T323" s="311"/>
      <c r="U323" s="312"/>
      <c r="V323" s="313">
        <f t="shared" si="101"/>
        <v>0</v>
      </c>
      <c r="W323" s="308"/>
      <c r="X323" s="309"/>
      <c r="Y323" s="310">
        <f t="shared" si="102"/>
        <v>0</v>
      </c>
      <c r="Z323" s="311"/>
      <c r="AA323" s="312"/>
      <c r="AB323" s="313">
        <f t="shared" si="103"/>
        <v>0</v>
      </c>
      <c r="AC323" s="308"/>
      <c r="AD323" s="309"/>
      <c r="AE323" s="310">
        <f t="shared" si="104"/>
        <v>0</v>
      </c>
      <c r="AF323" s="311"/>
      <c r="AG323" s="312"/>
      <c r="AH323" s="313">
        <f t="shared" si="105"/>
        <v>0</v>
      </c>
      <c r="AI323" s="308">
        <v>107</v>
      </c>
      <c r="AJ323" s="309">
        <v>49192.1</v>
      </c>
      <c r="AK323" s="310">
        <f t="shared" si="106"/>
        <v>5263554.7</v>
      </c>
      <c r="AL323" s="311">
        <v>104</v>
      </c>
      <c r="AM323" s="312">
        <v>50615.4</v>
      </c>
      <c r="AN323" s="313">
        <f t="shared" si="107"/>
        <v>5264001.6000000006</v>
      </c>
      <c r="AO323" s="308"/>
      <c r="AP323" s="309"/>
      <c r="AQ323" s="310">
        <f t="shared" si="108"/>
        <v>0</v>
      </c>
      <c r="AR323" s="311"/>
      <c r="AS323" s="312"/>
      <c r="AT323" s="313">
        <f t="shared" si="109"/>
        <v>0</v>
      </c>
      <c r="AU323" s="308"/>
      <c r="AV323" s="309"/>
      <c r="AW323" s="310">
        <f t="shared" si="110"/>
        <v>0</v>
      </c>
      <c r="AX323" s="311"/>
      <c r="AY323" s="312"/>
      <c r="AZ323" s="313">
        <f t="shared" si="111"/>
        <v>0</v>
      </c>
      <c r="BA323" s="308"/>
      <c r="BB323" s="309"/>
      <c r="BC323" s="310">
        <f t="shared" si="112"/>
        <v>0</v>
      </c>
      <c r="BD323" s="311"/>
      <c r="BE323" s="312"/>
      <c r="BF323" s="313">
        <f t="shared" si="113"/>
        <v>0</v>
      </c>
      <c r="BG323" s="308"/>
      <c r="BH323" s="309"/>
      <c r="BI323" s="310">
        <f t="shared" si="114"/>
        <v>0</v>
      </c>
      <c r="BJ323" s="311"/>
      <c r="BK323" s="312"/>
      <c r="BL323" s="313">
        <f t="shared" si="115"/>
        <v>0</v>
      </c>
      <c r="BM323" s="308"/>
      <c r="BN323" s="309"/>
      <c r="BO323" s="310">
        <f t="shared" si="116"/>
        <v>0</v>
      </c>
      <c r="BP323" s="311"/>
      <c r="BQ323" s="312"/>
      <c r="BR323" s="313">
        <f t="shared" si="117"/>
        <v>0</v>
      </c>
      <c r="BS323" s="308">
        <v>7</v>
      </c>
      <c r="BT323" s="309">
        <v>38316.400000000001</v>
      </c>
      <c r="BU323" s="310">
        <f t="shared" si="118"/>
        <v>219453.34935999999</v>
      </c>
      <c r="BV323" s="311">
        <v>13</v>
      </c>
      <c r="BW323" s="312">
        <f>603605/BV323</f>
        <v>46431.153846153844</v>
      </c>
      <c r="BX323" s="313">
        <f t="shared" si="119"/>
        <v>493869.61100000003</v>
      </c>
    </row>
    <row r="324" spans="1:76">
      <c r="A324" s="354" t="s">
        <v>444</v>
      </c>
      <c r="B324" s="355" t="s">
        <v>22</v>
      </c>
      <c r="C324" s="354">
        <v>176169</v>
      </c>
      <c r="D324" s="354">
        <v>9</v>
      </c>
      <c r="E324" s="308"/>
      <c r="F324" s="309"/>
      <c r="G324" s="310">
        <f t="shared" si="96"/>
        <v>0</v>
      </c>
      <c r="H324" s="311"/>
      <c r="I324" s="312"/>
      <c r="J324" s="313">
        <f t="shared" si="97"/>
        <v>0</v>
      </c>
      <c r="K324" s="308"/>
      <c r="L324" s="309"/>
      <c r="M324" s="310">
        <f t="shared" si="98"/>
        <v>0</v>
      </c>
      <c r="N324" s="311"/>
      <c r="O324" s="312"/>
      <c r="P324" s="313">
        <f t="shared" si="99"/>
        <v>0</v>
      </c>
      <c r="Q324" s="308"/>
      <c r="R324" s="309"/>
      <c r="S324" s="310">
        <f t="shared" si="100"/>
        <v>0</v>
      </c>
      <c r="T324" s="311"/>
      <c r="U324" s="312"/>
      <c r="V324" s="313">
        <f t="shared" si="101"/>
        <v>0</v>
      </c>
      <c r="W324" s="308"/>
      <c r="X324" s="309"/>
      <c r="Y324" s="310">
        <f t="shared" si="102"/>
        <v>0</v>
      </c>
      <c r="Z324" s="311"/>
      <c r="AA324" s="312"/>
      <c r="AB324" s="313">
        <f t="shared" si="103"/>
        <v>0</v>
      </c>
      <c r="AC324" s="308"/>
      <c r="AD324" s="309"/>
      <c r="AE324" s="310">
        <f t="shared" si="104"/>
        <v>0</v>
      </c>
      <c r="AF324" s="311"/>
      <c r="AG324" s="312"/>
      <c r="AH324" s="313">
        <f t="shared" si="105"/>
        <v>0</v>
      </c>
      <c r="AI324" s="308">
        <v>105</v>
      </c>
      <c r="AJ324" s="309">
        <v>52084.9</v>
      </c>
      <c r="AK324" s="310">
        <f t="shared" si="106"/>
        <v>5468914.5</v>
      </c>
      <c r="AL324" s="311">
        <v>107</v>
      </c>
      <c r="AM324" s="312">
        <v>52437.4</v>
      </c>
      <c r="AN324" s="313">
        <f t="shared" si="107"/>
        <v>5610801.7999999998</v>
      </c>
      <c r="AO324" s="308"/>
      <c r="AP324" s="309"/>
      <c r="AQ324" s="310">
        <f t="shared" si="108"/>
        <v>0</v>
      </c>
      <c r="AR324" s="311"/>
      <c r="AS324" s="312"/>
      <c r="AT324" s="313">
        <f t="shared" si="109"/>
        <v>0</v>
      </c>
      <c r="AU324" s="308"/>
      <c r="AV324" s="309"/>
      <c r="AW324" s="310">
        <f t="shared" si="110"/>
        <v>0</v>
      </c>
      <c r="AX324" s="311"/>
      <c r="AY324" s="312"/>
      <c r="AZ324" s="313">
        <f t="shared" si="111"/>
        <v>0</v>
      </c>
      <c r="BA324" s="308"/>
      <c r="BB324" s="309"/>
      <c r="BC324" s="310">
        <f t="shared" si="112"/>
        <v>0</v>
      </c>
      <c r="BD324" s="311"/>
      <c r="BE324" s="312"/>
      <c r="BF324" s="313">
        <f t="shared" si="113"/>
        <v>0</v>
      </c>
      <c r="BG324" s="308"/>
      <c r="BH324" s="309"/>
      <c r="BI324" s="310">
        <f t="shared" si="114"/>
        <v>0</v>
      </c>
      <c r="BJ324" s="311"/>
      <c r="BK324" s="312"/>
      <c r="BL324" s="313">
        <f t="shared" si="115"/>
        <v>0</v>
      </c>
      <c r="BM324" s="308"/>
      <c r="BN324" s="309"/>
      <c r="BO324" s="310">
        <f t="shared" si="116"/>
        <v>0</v>
      </c>
      <c r="BP324" s="311"/>
      <c r="BQ324" s="312"/>
      <c r="BR324" s="313">
        <f t="shared" si="117"/>
        <v>0</v>
      </c>
      <c r="BS324" s="308">
        <v>26</v>
      </c>
      <c r="BT324" s="309">
        <v>48756.9</v>
      </c>
      <c r="BU324" s="310">
        <f t="shared" si="118"/>
        <v>1037215.2850800002</v>
      </c>
      <c r="BV324" s="311">
        <v>26</v>
      </c>
      <c r="BW324" s="312">
        <f>1556103/BV324</f>
        <v>59850.115384615383</v>
      </c>
      <c r="BX324" s="313">
        <f t="shared" si="119"/>
        <v>1273203.4746000001</v>
      </c>
    </row>
    <row r="325" spans="1:76">
      <c r="A325" s="354" t="s">
        <v>444</v>
      </c>
      <c r="B325" s="355" t="s">
        <v>23</v>
      </c>
      <c r="C325" s="354">
        <v>176239</v>
      </c>
      <c r="D325" s="356">
        <v>9</v>
      </c>
      <c r="E325" s="308"/>
      <c r="F325" s="309"/>
      <c r="G325" s="310">
        <f t="shared" si="96"/>
        <v>0</v>
      </c>
      <c r="H325" s="311"/>
      <c r="I325" s="312"/>
      <c r="J325" s="313">
        <f t="shared" si="97"/>
        <v>0</v>
      </c>
      <c r="K325" s="308"/>
      <c r="L325" s="309"/>
      <c r="M325" s="310">
        <f t="shared" si="98"/>
        <v>0</v>
      </c>
      <c r="N325" s="311"/>
      <c r="O325" s="312"/>
      <c r="P325" s="313">
        <f t="shared" si="99"/>
        <v>0</v>
      </c>
      <c r="Q325" s="308"/>
      <c r="R325" s="309"/>
      <c r="S325" s="310">
        <f t="shared" si="100"/>
        <v>0</v>
      </c>
      <c r="T325" s="311"/>
      <c r="U325" s="312"/>
      <c r="V325" s="313">
        <f t="shared" si="101"/>
        <v>0</v>
      </c>
      <c r="W325" s="308"/>
      <c r="X325" s="309"/>
      <c r="Y325" s="310">
        <f t="shared" si="102"/>
        <v>0</v>
      </c>
      <c r="Z325" s="311"/>
      <c r="AA325" s="312"/>
      <c r="AB325" s="313">
        <f t="shared" si="103"/>
        <v>0</v>
      </c>
      <c r="AC325" s="308"/>
      <c r="AD325" s="309"/>
      <c r="AE325" s="310">
        <f t="shared" si="104"/>
        <v>0</v>
      </c>
      <c r="AF325" s="311"/>
      <c r="AG325" s="312"/>
      <c r="AH325" s="313">
        <f t="shared" si="105"/>
        <v>0</v>
      </c>
      <c r="AI325" s="308">
        <v>155</v>
      </c>
      <c r="AJ325" s="309">
        <v>43779</v>
      </c>
      <c r="AK325" s="310">
        <f t="shared" si="106"/>
        <v>6785745</v>
      </c>
      <c r="AL325" s="311">
        <v>156</v>
      </c>
      <c r="AM325" s="312">
        <v>45865.599999999999</v>
      </c>
      <c r="AN325" s="313">
        <f t="shared" si="107"/>
        <v>7155033.5999999996</v>
      </c>
      <c r="AO325" s="308"/>
      <c r="AP325" s="309"/>
      <c r="AQ325" s="310">
        <f t="shared" si="108"/>
        <v>0</v>
      </c>
      <c r="AR325" s="311"/>
      <c r="AS325" s="312"/>
      <c r="AT325" s="313">
        <f t="shared" si="109"/>
        <v>0</v>
      </c>
      <c r="AU325" s="308"/>
      <c r="AV325" s="309"/>
      <c r="AW325" s="310">
        <f t="shared" si="110"/>
        <v>0</v>
      </c>
      <c r="AX325" s="311"/>
      <c r="AY325" s="312"/>
      <c r="AZ325" s="313">
        <f t="shared" si="111"/>
        <v>0</v>
      </c>
      <c r="BA325" s="308"/>
      <c r="BB325" s="309"/>
      <c r="BC325" s="310">
        <f t="shared" si="112"/>
        <v>0</v>
      </c>
      <c r="BD325" s="311"/>
      <c r="BE325" s="312"/>
      <c r="BF325" s="313">
        <f t="shared" si="113"/>
        <v>0</v>
      </c>
      <c r="BG325" s="308"/>
      <c r="BH325" s="309"/>
      <c r="BI325" s="310">
        <f t="shared" si="114"/>
        <v>0</v>
      </c>
      <c r="BJ325" s="311"/>
      <c r="BK325" s="312"/>
      <c r="BL325" s="313">
        <f t="shared" si="115"/>
        <v>0</v>
      </c>
      <c r="BM325" s="308"/>
      <c r="BN325" s="309"/>
      <c r="BO325" s="310">
        <f t="shared" si="116"/>
        <v>0</v>
      </c>
      <c r="BP325" s="311"/>
      <c r="BQ325" s="312"/>
      <c r="BR325" s="313">
        <f t="shared" si="117"/>
        <v>0</v>
      </c>
      <c r="BS325" s="308">
        <v>18</v>
      </c>
      <c r="BT325" s="309">
        <v>44050.9</v>
      </c>
      <c r="BU325" s="310">
        <f t="shared" si="118"/>
        <v>648764.03484000009</v>
      </c>
      <c r="BV325" s="311">
        <v>18</v>
      </c>
      <c r="BW325" s="312">
        <f>1017574/BV325</f>
        <v>56531.888888888891</v>
      </c>
      <c r="BX325" s="313">
        <f t="shared" si="119"/>
        <v>832579.04680000001</v>
      </c>
    </row>
    <row r="326" spans="1:76">
      <c r="A326" s="354" t="s">
        <v>444</v>
      </c>
      <c r="B326" s="355" t="s">
        <v>24</v>
      </c>
      <c r="C326" s="354">
        <v>175519</v>
      </c>
      <c r="D326" s="356">
        <v>10</v>
      </c>
      <c r="E326" s="308"/>
      <c r="F326" s="309"/>
      <c r="G326" s="310">
        <f t="shared" si="96"/>
        <v>0</v>
      </c>
      <c r="H326" s="311"/>
      <c r="I326" s="312"/>
      <c r="J326" s="313">
        <f t="shared" si="97"/>
        <v>0</v>
      </c>
      <c r="K326" s="308"/>
      <c r="L326" s="309"/>
      <c r="M326" s="310">
        <f t="shared" si="98"/>
        <v>0</v>
      </c>
      <c r="N326" s="311"/>
      <c r="O326" s="312"/>
      <c r="P326" s="313">
        <f t="shared" si="99"/>
        <v>0</v>
      </c>
      <c r="Q326" s="308"/>
      <c r="R326" s="309"/>
      <c r="S326" s="310">
        <f t="shared" si="100"/>
        <v>0</v>
      </c>
      <c r="T326" s="311"/>
      <c r="U326" s="312"/>
      <c r="V326" s="313">
        <f t="shared" si="101"/>
        <v>0</v>
      </c>
      <c r="W326" s="308"/>
      <c r="X326" s="309"/>
      <c r="Y326" s="310">
        <f t="shared" si="102"/>
        <v>0</v>
      </c>
      <c r="Z326" s="311"/>
      <c r="AA326" s="312"/>
      <c r="AB326" s="313">
        <f t="shared" si="103"/>
        <v>0</v>
      </c>
      <c r="AC326" s="308"/>
      <c r="AD326" s="309"/>
      <c r="AE326" s="310">
        <f t="shared" si="104"/>
        <v>0</v>
      </c>
      <c r="AF326" s="311"/>
      <c r="AG326" s="312"/>
      <c r="AH326" s="313">
        <f t="shared" si="105"/>
        <v>0</v>
      </c>
      <c r="AI326" s="308">
        <v>24</v>
      </c>
      <c r="AJ326" s="309">
        <v>44685</v>
      </c>
      <c r="AK326" s="310">
        <f t="shared" si="106"/>
        <v>1072440</v>
      </c>
      <c r="AL326" s="311">
        <v>26</v>
      </c>
      <c r="AM326" s="312">
        <v>46973.1</v>
      </c>
      <c r="AN326" s="313">
        <f t="shared" si="107"/>
        <v>1221300.5999999999</v>
      </c>
      <c r="AO326" s="308"/>
      <c r="AP326" s="309"/>
      <c r="AQ326" s="310">
        <f t="shared" si="108"/>
        <v>0</v>
      </c>
      <c r="AR326" s="311"/>
      <c r="AS326" s="312"/>
      <c r="AT326" s="313">
        <f t="shared" si="109"/>
        <v>0</v>
      </c>
      <c r="AU326" s="308"/>
      <c r="AV326" s="309"/>
      <c r="AW326" s="310">
        <f t="shared" si="110"/>
        <v>0</v>
      </c>
      <c r="AX326" s="311"/>
      <c r="AY326" s="312"/>
      <c r="AZ326" s="313">
        <f t="shared" si="111"/>
        <v>0</v>
      </c>
      <c r="BA326" s="308"/>
      <c r="BB326" s="309"/>
      <c r="BC326" s="310">
        <f t="shared" si="112"/>
        <v>0</v>
      </c>
      <c r="BD326" s="311"/>
      <c r="BE326" s="312"/>
      <c r="BF326" s="313">
        <f t="shared" si="113"/>
        <v>0</v>
      </c>
      <c r="BG326" s="308"/>
      <c r="BH326" s="309"/>
      <c r="BI326" s="310">
        <f t="shared" si="114"/>
        <v>0</v>
      </c>
      <c r="BJ326" s="311"/>
      <c r="BK326" s="312"/>
      <c r="BL326" s="313">
        <f t="shared" si="115"/>
        <v>0</v>
      </c>
      <c r="BM326" s="308"/>
      <c r="BN326" s="309"/>
      <c r="BO326" s="310">
        <f t="shared" si="116"/>
        <v>0</v>
      </c>
      <c r="BP326" s="311"/>
      <c r="BQ326" s="312"/>
      <c r="BR326" s="313">
        <f t="shared" si="117"/>
        <v>0</v>
      </c>
      <c r="BS326" s="308">
        <v>45</v>
      </c>
      <c r="BT326" s="309">
        <v>35015.1</v>
      </c>
      <c r="BU326" s="310">
        <f t="shared" si="118"/>
        <v>1289220.9669000001</v>
      </c>
      <c r="BV326" s="311">
        <v>51</v>
      </c>
      <c r="BW326" s="312">
        <f>2236194/BV326</f>
        <v>43846.941176470587</v>
      </c>
      <c r="BX326" s="313">
        <f t="shared" si="119"/>
        <v>1829653.9308</v>
      </c>
    </row>
    <row r="327" spans="1:76">
      <c r="A327" s="354" t="s">
        <v>444</v>
      </c>
      <c r="B327" s="355" t="s">
        <v>25</v>
      </c>
      <c r="C327" s="354">
        <v>176354</v>
      </c>
      <c r="D327" s="356">
        <v>10</v>
      </c>
      <c r="E327" s="308"/>
      <c r="F327" s="309"/>
      <c r="G327" s="310">
        <f t="shared" si="96"/>
        <v>0</v>
      </c>
      <c r="H327" s="311"/>
      <c r="I327" s="312"/>
      <c r="J327" s="313">
        <f t="shared" si="97"/>
        <v>0</v>
      </c>
      <c r="K327" s="308"/>
      <c r="L327" s="309"/>
      <c r="M327" s="310">
        <f t="shared" si="98"/>
        <v>0</v>
      </c>
      <c r="N327" s="311"/>
      <c r="O327" s="312"/>
      <c r="P327" s="313">
        <f t="shared" si="99"/>
        <v>0</v>
      </c>
      <c r="Q327" s="308"/>
      <c r="R327" s="309"/>
      <c r="S327" s="310">
        <f t="shared" si="100"/>
        <v>0</v>
      </c>
      <c r="T327" s="311"/>
      <c r="U327" s="312"/>
      <c r="V327" s="313">
        <f t="shared" si="101"/>
        <v>0</v>
      </c>
      <c r="W327" s="308"/>
      <c r="X327" s="309"/>
      <c r="Y327" s="310">
        <f t="shared" si="102"/>
        <v>0</v>
      </c>
      <c r="Z327" s="311"/>
      <c r="AA327" s="312"/>
      <c r="AB327" s="313">
        <f t="shared" si="103"/>
        <v>0</v>
      </c>
      <c r="AC327" s="308"/>
      <c r="AD327" s="309"/>
      <c r="AE327" s="310">
        <f t="shared" si="104"/>
        <v>0</v>
      </c>
      <c r="AF327" s="311"/>
      <c r="AG327" s="312"/>
      <c r="AH327" s="313">
        <f t="shared" si="105"/>
        <v>0</v>
      </c>
      <c r="AI327" s="308">
        <v>61</v>
      </c>
      <c r="AJ327" s="309">
        <v>54934.2</v>
      </c>
      <c r="AK327" s="310">
        <f t="shared" si="106"/>
        <v>3350986.1999999997</v>
      </c>
      <c r="AL327" s="311">
        <v>66</v>
      </c>
      <c r="AM327" s="312">
        <v>54667.199999999997</v>
      </c>
      <c r="AN327" s="313">
        <f t="shared" si="107"/>
        <v>3608035.1999999997</v>
      </c>
      <c r="AO327" s="308"/>
      <c r="AP327" s="309"/>
      <c r="AQ327" s="310">
        <f t="shared" si="108"/>
        <v>0</v>
      </c>
      <c r="AR327" s="311"/>
      <c r="AS327" s="312"/>
      <c r="AT327" s="313">
        <f t="shared" si="109"/>
        <v>0</v>
      </c>
      <c r="AU327" s="308"/>
      <c r="AV327" s="309"/>
      <c r="AW327" s="310">
        <f t="shared" si="110"/>
        <v>0</v>
      </c>
      <c r="AX327" s="311"/>
      <c r="AY327" s="312"/>
      <c r="AZ327" s="313">
        <f t="shared" si="111"/>
        <v>0</v>
      </c>
      <c r="BA327" s="308"/>
      <c r="BB327" s="309"/>
      <c r="BC327" s="310">
        <f t="shared" si="112"/>
        <v>0</v>
      </c>
      <c r="BD327" s="311"/>
      <c r="BE327" s="312"/>
      <c r="BF327" s="313">
        <f t="shared" si="113"/>
        <v>0</v>
      </c>
      <c r="BG327" s="308"/>
      <c r="BH327" s="309"/>
      <c r="BI327" s="310">
        <f t="shared" si="114"/>
        <v>0</v>
      </c>
      <c r="BJ327" s="311"/>
      <c r="BK327" s="312"/>
      <c r="BL327" s="313">
        <f t="shared" si="115"/>
        <v>0</v>
      </c>
      <c r="BM327" s="308"/>
      <c r="BN327" s="309"/>
      <c r="BO327" s="310">
        <f t="shared" si="116"/>
        <v>0</v>
      </c>
      <c r="BP327" s="311"/>
      <c r="BQ327" s="312"/>
      <c r="BR327" s="313">
        <f t="shared" si="117"/>
        <v>0</v>
      </c>
      <c r="BS327" s="308">
        <v>8</v>
      </c>
      <c r="BT327" s="309">
        <v>32795.9</v>
      </c>
      <c r="BU327" s="310">
        <f t="shared" si="118"/>
        <v>214668.84304000001</v>
      </c>
      <c r="BV327" s="311">
        <v>9</v>
      </c>
      <c r="BW327" s="312">
        <f>376783/BV327</f>
        <v>41864.777777777781</v>
      </c>
      <c r="BX327" s="313">
        <f t="shared" si="119"/>
        <v>308283.85060000001</v>
      </c>
    </row>
    <row r="328" spans="1:76">
      <c r="A328" s="333" t="s">
        <v>445</v>
      </c>
      <c r="B328" s="334" t="s">
        <v>259</v>
      </c>
      <c r="C328" s="333">
        <v>199193</v>
      </c>
      <c r="D328" s="335">
        <v>1</v>
      </c>
      <c r="E328" s="308">
        <v>349</v>
      </c>
      <c r="F328" s="309">
        <v>115995</v>
      </c>
      <c r="G328" s="310">
        <f t="shared" si="96"/>
        <v>40482255</v>
      </c>
      <c r="H328" s="311">
        <v>363</v>
      </c>
      <c r="I328" s="312">
        <v>120263</v>
      </c>
      <c r="J328" s="313">
        <f t="shared" si="97"/>
        <v>43655469</v>
      </c>
      <c r="K328" s="308">
        <v>271</v>
      </c>
      <c r="L328" s="309">
        <v>83924</v>
      </c>
      <c r="M328" s="310">
        <f t="shared" si="98"/>
        <v>22743404</v>
      </c>
      <c r="N328" s="311">
        <v>293</v>
      </c>
      <c r="O328" s="312">
        <v>87220</v>
      </c>
      <c r="P328" s="313">
        <f t="shared" si="99"/>
        <v>25555460</v>
      </c>
      <c r="Q328" s="308">
        <v>231</v>
      </c>
      <c r="R328" s="309">
        <v>73476</v>
      </c>
      <c r="S328" s="310">
        <f t="shared" si="100"/>
        <v>16972956</v>
      </c>
      <c r="T328" s="311">
        <v>243</v>
      </c>
      <c r="U328" s="312">
        <v>75678</v>
      </c>
      <c r="V328" s="313">
        <f t="shared" si="101"/>
        <v>18389754</v>
      </c>
      <c r="W328" s="308">
        <v>3</v>
      </c>
      <c r="X328" s="309">
        <v>52870</v>
      </c>
      <c r="Y328" s="310">
        <f t="shared" si="102"/>
        <v>158610</v>
      </c>
      <c r="Z328" s="311">
        <v>4</v>
      </c>
      <c r="AA328" s="312">
        <v>57084</v>
      </c>
      <c r="AB328" s="313">
        <f t="shared" si="103"/>
        <v>228336</v>
      </c>
      <c r="AC328" s="308">
        <v>231</v>
      </c>
      <c r="AD328" s="309">
        <v>47605</v>
      </c>
      <c r="AE328" s="310">
        <f t="shared" si="104"/>
        <v>10996755</v>
      </c>
      <c r="AF328" s="311">
        <v>239</v>
      </c>
      <c r="AG328" s="312">
        <v>49589</v>
      </c>
      <c r="AH328" s="313">
        <f t="shared" si="105"/>
        <v>11851771</v>
      </c>
      <c r="AI328" s="308"/>
      <c r="AJ328" s="309"/>
      <c r="AK328" s="310">
        <f t="shared" si="106"/>
        <v>0</v>
      </c>
      <c r="AL328" s="311"/>
      <c r="AM328" s="312"/>
      <c r="AN328" s="313">
        <f t="shared" si="107"/>
        <v>0</v>
      </c>
      <c r="AO328" s="308">
        <v>286</v>
      </c>
      <c r="AP328" s="309">
        <v>127655</v>
      </c>
      <c r="AQ328" s="310">
        <f t="shared" si="108"/>
        <v>29871933.806000002</v>
      </c>
      <c r="AR328" s="311">
        <v>295</v>
      </c>
      <c r="AS328" s="312">
        <v>130635</v>
      </c>
      <c r="AT328" s="313">
        <f t="shared" si="109"/>
        <v>31531239.315000001</v>
      </c>
      <c r="AU328" s="308">
        <v>139</v>
      </c>
      <c r="AV328" s="309">
        <v>95544</v>
      </c>
      <c r="AW328" s="310">
        <f t="shared" si="110"/>
        <v>10866200.0112</v>
      </c>
      <c r="AX328" s="311">
        <v>132</v>
      </c>
      <c r="AY328" s="312">
        <v>97593</v>
      </c>
      <c r="AZ328" s="313">
        <f t="shared" si="111"/>
        <v>10540278.223200001</v>
      </c>
      <c r="BA328" s="308">
        <v>137</v>
      </c>
      <c r="BB328" s="309">
        <v>78200</v>
      </c>
      <c r="BC328" s="310">
        <f t="shared" si="112"/>
        <v>8765703.8800000008</v>
      </c>
      <c r="BD328" s="311">
        <v>127</v>
      </c>
      <c r="BE328" s="312">
        <v>78149</v>
      </c>
      <c r="BF328" s="313">
        <f t="shared" si="113"/>
        <v>8120571.9986000005</v>
      </c>
      <c r="BG328" s="308">
        <v>1</v>
      </c>
      <c r="BH328" s="309">
        <v>46700</v>
      </c>
      <c r="BI328" s="310">
        <f t="shared" si="114"/>
        <v>38209.94</v>
      </c>
      <c r="BJ328" s="311">
        <v>2</v>
      </c>
      <c r="BK328" s="312">
        <v>49750</v>
      </c>
      <c r="BL328" s="313">
        <f t="shared" si="115"/>
        <v>81410.900000000009</v>
      </c>
      <c r="BM328" s="308">
        <v>75</v>
      </c>
      <c r="BN328" s="309">
        <v>78453</v>
      </c>
      <c r="BO328" s="310">
        <f t="shared" si="116"/>
        <v>4814268.3450000007</v>
      </c>
      <c r="BP328" s="311">
        <v>70</v>
      </c>
      <c r="BQ328" s="312">
        <v>82052</v>
      </c>
      <c r="BR328" s="313">
        <f t="shared" si="117"/>
        <v>4699446.2480000006</v>
      </c>
      <c r="BS328" s="308"/>
      <c r="BT328" s="309"/>
      <c r="BU328" s="310">
        <f t="shared" si="118"/>
        <v>0</v>
      </c>
      <c r="BV328" s="311"/>
      <c r="BW328" s="312"/>
      <c r="BX328" s="313">
        <f t="shared" si="119"/>
        <v>0</v>
      </c>
    </row>
    <row r="329" spans="1:76">
      <c r="A329" s="333" t="s">
        <v>445</v>
      </c>
      <c r="B329" s="334" t="s">
        <v>260</v>
      </c>
      <c r="C329" s="333">
        <v>199120</v>
      </c>
      <c r="D329" s="335">
        <v>1</v>
      </c>
      <c r="E329" s="308">
        <v>469</v>
      </c>
      <c r="F329" s="309">
        <v>134919</v>
      </c>
      <c r="G329" s="310">
        <f t="shared" si="96"/>
        <v>63277011</v>
      </c>
      <c r="H329" s="311">
        <v>475</v>
      </c>
      <c r="I329" s="312">
        <v>139898</v>
      </c>
      <c r="J329" s="313">
        <f t="shared" si="97"/>
        <v>66451550</v>
      </c>
      <c r="K329" s="308">
        <v>236</v>
      </c>
      <c r="L329" s="309">
        <v>88770</v>
      </c>
      <c r="M329" s="310">
        <f t="shared" si="98"/>
        <v>20949720</v>
      </c>
      <c r="N329" s="311">
        <v>254</v>
      </c>
      <c r="O329" s="312">
        <v>93129</v>
      </c>
      <c r="P329" s="313">
        <f t="shared" si="99"/>
        <v>23654766</v>
      </c>
      <c r="Q329" s="308">
        <v>222</v>
      </c>
      <c r="R329" s="309">
        <v>80122</v>
      </c>
      <c r="S329" s="310">
        <f t="shared" si="100"/>
        <v>17787084</v>
      </c>
      <c r="T329" s="311">
        <v>240</v>
      </c>
      <c r="U329" s="312">
        <v>84929</v>
      </c>
      <c r="V329" s="313">
        <f t="shared" si="101"/>
        <v>20382960</v>
      </c>
      <c r="W329" s="308">
        <v>3</v>
      </c>
      <c r="X329" s="309">
        <v>122271</v>
      </c>
      <c r="Y329" s="310">
        <f t="shared" si="102"/>
        <v>366813</v>
      </c>
      <c r="Z329" s="311">
        <v>11</v>
      </c>
      <c r="AA329" s="312">
        <v>131545</v>
      </c>
      <c r="AB329" s="313">
        <f t="shared" si="103"/>
        <v>1446995</v>
      </c>
      <c r="AC329" s="308">
        <v>180</v>
      </c>
      <c r="AD329" s="309">
        <v>60114</v>
      </c>
      <c r="AE329" s="310">
        <f t="shared" si="104"/>
        <v>10820520</v>
      </c>
      <c r="AF329" s="311">
        <v>194</v>
      </c>
      <c r="AG329" s="312">
        <v>66888</v>
      </c>
      <c r="AH329" s="313">
        <f t="shared" si="105"/>
        <v>12976272</v>
      </c>
      <c r="AI329" s="308"/>
      <c r="AJ329" s="309"/>
      <c r="AK329" s="310">
        <f t="shared" si="106"/>
        <v>0</v>
      </c>
      <c r="AL329" s="311"/>
      <c r="AM329" s="312"/>
      <c r="AN329" s="313">
        <f t="shared" si="107"/>
        <v>0</v>
      </c>
      <c r="AO329" s="308">
        <v>109</v>
      </c>
      <c r="AP329" s="309">
        <v>188305</v>
      </c>
      <c r="AQ329" s="310">
        <f t="shared" si="108"/>
        <v>16793755.459000003</v>
      </c>
      <c r="AR329" s="311">
        <v>119</v>
      </c>
      <c r="AS329" s="312">
        <v>188383</v>
      </c>
      <c r="AT329" s="313">
        <f t="shared" si="109"/>
        <v>18342061.501400001</v>
      </c>
      <c r="AU329" s="308">
        <v>103</v>
      </c>
      <c r="AV329" s="309">
        <v>117087</v>
      </c>
      <c r="AW329" s="310">
        <f t="shared" si="110"/>
        <v>9867460.0902000014</v>
      </c>
      <c r="AX329" s="311">
        <v>103</v>
      </c>
      <c r="AY329" s="312">
        <v>117825</v>
      </c>
      <c r="AZ329" s="313">
        <f t="shared" si="111"/>
        <v>9929654.745000001</v>
      </c>
      <c r="BA329" s="308">
        <v>92</v>
      </c>
      <c r="BB329" s="309">
        <v>84540</v>
      </c>
      <c r="BC329" s="310">
        <f t="shared" si="112"/>
        <v>6363697.7760000005</v>
      </c>
      <c r="BD329" s="311">
        <v>87</v>
      </c>
      <c r="BE329" s="312">
        <v>90467</v>
      </c>
      <c r="BF329" s="313">
        <f t="shared" si="113"/>
        <v>6439748.6478000004</v>
      </c>
      <c r="BG329" s="308">
        <v>8</v>
      </c>
      <c r="BH329" s="309">
        <v>76289</v>
      </c>
      <c r="BI329" s="310">
        <f t="shared" si="114"/>
        <v>499357.27840000001</v>
      </c>
      <c r="BJ329" s="311">
        <v>6</v>
      </c>
      <c r="BK329" s="312">
        <v>68360</v>
      </c>
      <c r="BL329" s="313">
        <f t="shared" si="115"/>
        <v>335592.91200000001</v>
      </c>
      <c r="BM329" s="308">
        <v>92</v>
      </c>
      <c r="BN329" s="309">
        <v>101001</v>
      </c>
      <c r="BO329" s="310">
        <f t="shared" si="116"/>
        <v>7602789.6743999999</v>
      </c>
      <c r="BP329" s="311">
        <v>111</v>
      </c>
      <c r="BQ329" s="312">
        <v>106977</v>
      </c>
      <c r="BR329" s="313">
        <f t="shared" si="117"/>
        <v>9715672.5354000013</v>
      </c>
      <c r="BS329" s="308"/>
      <c r="BT329" s="309"/>
      <c r="BU329" s="310">
        <f t="shared" si="118"/>
        <v>0</v>
      </c>
      <c r="BV329" s="311"/>
      <c r="BW329" s="312"/>
      <c r="BX329" s="313">
        <f t="shared" si="119"/>
        <v>0</v>
      </c>
    </row>
    <row r="330" spans="1:76">
      <c r="A330" s="333" t="s">
        <v>445</v>
      </c>
      <c r="B330" s="334" t="s">
        <v>265</v>
      </c>
      <c r="C330" s="333">
        <v>199139</v>
      </c>
      <c r="D330" s="335">
        <v>2</v>
      </c>
      <c r="E330" s="308">
        <v>161</v>
      </c>
      <c r="F330" s="309">
        <v>102999</v>
      </c>
      <c r="G330" s="310">
        <f t="shared" ref="G330:G393" si="120">E330*F330</f>
        <v>16582839</v>
      </c>
      <c r="H330" s="311">
        <v>163</v>
      </c>
      <c r="I330" s="312">
        <v>108140</v>
      </c>
      <c r="J330" s="313">
        <f t="shared" ref="J330:J393" si="121">H330*I330</f>
        <v>17626820</v>
      </c>
      <c r="K330" s="308">
        <v>234</v>
      </c>
      <c r="L330" s="309">
        <v>76680</v>
      </c>
      <c r="M330" s="310">
        <f t="shared" ref="M330:M393" si="122">K330*L330</f>
        <v>17943120</v>
      </c>
      <c r="N330" s="311">
        <v>257</v>
      </c>
      <c r="O330" s="312">
        <v>82156</v>
      </c>
      <c r="P330" s="313">
        <f t="shared" ref="P330:P393" si="123">N330*O330</f>
        <v>21114092</v>
      </c>
      <c r="Q330" s="308">
        <v>266</v>
      </c>
      <c r="R330" s="309">
        <v>67043</v>
      </c>
      <c r="S330" s="310">
        <f t="shared" ref="S330:S393" si="124">Q330*R330</f>
        <v>17833438</v>
      </c>
      <c r="T330" s="311">
        <v>259</v>
      </c>
      <c r="U330" s="312">
        <v>69809</v>
      </c>
      <c r="V330" s="313">
        <f t="shared" ref="V330:V393" si="125">T330*U330</f>
        <v>18080531</v>
      </c>
      <c r="W330" s="308"/>
      <c r="X330" s="309"/>
      <c r="Y330" s="310">
        <f t="shared" ref="Y330:Y393" si="126">W330*X330</f>
        <v>0</v>
      </c>
      <c r="Z330" s="311"/>
      <c r="AA330" s="312"/>
      <c r="AB330" s="313">
        <f t="shared" ref="AB330:AB393" si="127">Z330*AA330</f>
        <v>0</v>
      </c>
      <c r="AC330" s="308">
        <v>175</v>
      </c>
      <c r="AD330" s="309">
        <v>46155</v>
      </c>
      <c r="AE330" s="310">
        <f t="shared" ref="AE330:AE393" si="128">AC330*AD330</f>
        <v>8077125</v>
      </c>
      <c r="AF330" s="311">
        <v>196</v>
      </c>
      <c r="AG330" s="312">
        <v>48570</v>
      </c>
      <c r="AH330" s="313">
        <f t="shared" ref="AH330:AH393" si="129">AF330*AG330</f>
        <v>9519720</v>
      </c>
      <c r="AI330" s="308"/>
      <c r="AJ330" s="309"/>
      <c r="AK330" s="310">
        <f t="shared" ref="AK330:AK393" si="130">AI330*AJ330</f>
        <v>0</v>
      </c>
      <c r="AL330" s="311"/>
      <c r="AM330" s="312"/>
      <c r="AN330" s="313">
        <f t="shared" ref="AN330:AN393" si="131">AL330*AM330</f>
        <v>0</v>
      </c>
      <c r="AO330" s="308">
        <v>35</v>
      </c>
      <c r="AP330" s="309">
        <v>139863</v>
      </c>
      <c r="AQ330" s="310">
        <f t="shared" ref="AQ330:AQ393" si="132">(AO330*AP330)*0.8182</f>
        <v>4005256.7310000001</v>
      </c>
      <c r="AR330" s="311">
        <v>41</v>
      </c>
      <c r="AS330" s="312">
        <v>142505</v>
      </c>
      <c r="AT330" s="313">
        <f t="shared" ref="AT330:AT393" si="133">(AR330*AS330)*0.8182</f>
        <v>4780501.2310000006</v>
      </c>
      <c r="AU330" s="308">
        <v>12</v>
      </c>
      <c r="AV330" s="309">
        <v>107489</v>
      </c>
      <c r="AW330" s="310">
        <f t="shared" ref="AW330:AW393" si="134">(AU330*AV330)*0.8182</f>
        <v>1055369.9976000001</v>
      </c>
      <c r="AX330" s="311">
        <v>13</v>
      </c>
      <c r="AY330" s="312">
        <v>116488</v>
      </c>
      <c r="AZ330" s="313">
        <f t="shared" ref="AZ330:AZ393" si="135">(AX330*AY330)*0.8182</f>
        <v>1239036.2608</v>
      </c>
      <c r="BA330" s="308">
        <v>1</v>
      </c>
      <c r="BB330" s="309">
        <v>60585</v>
      </c>
      <c r="BC330" s="310">
        <f t="shared" ref="BC330:BC393" si="136">(BA330*BB330)*0.8182</f>
        <v>49570.647000000004</v>
      </c>
      <c r="BD330" s="311">
        <v>1</v>
      </c>
      <c r="BE330" s="312">
        <v>79500</v>
      </c>
      <c r="BF330" s="313">
        <f t="shared" ref="BF330:BF393" si="137">(BD330*BE330)*0.8182</f>
        <v>65046.9</v>
      </c>
      <c r="BG330" s="308"/>
      <c r="BH330" s="309"/>
      <c r="BI330" s="310">
        <f t="shared" ref="BI330:BI393" si="138">(BG330*BH330)*0.8182</f>
        <v>0</v>
      </c>
      <c r="BJ330" s="311"/>
      <c r="BK330" s="312"/>
      <c r="BL330" s="313">
        <f t="shared" ref="BL330:BL393" si="139">(BJ330*BK330)*0.8182</f>
        <v>0</v>
      </c>
      <c r="BM330" s="308">
        <v>38</v>
      </c>
      <c r="BN330" s="309">
        <v>65266</v>
      </c>
      <c r="BO330" s="310">
        <f t="shared" ref="BO330:BO393" si="140">(BM330*BN330)*0.8182</f>
        <v>2029224.3656000001</v>
      </c>
      <c r="BP330" s="311">
        <v>41</v>
      </c>
      <c r="BQ330" s="312">
        <v>66654</v>
      </c>
      <c r="BR330" s="313">
        <f t="shared" ref="BR330:BR393" si="141">(BP330*BQ330)*0.8182</f>
        <v>2235988.4147999999</v>
      </c>
      <c r="BS330" s="308"/>
      <c r="BT330" s="309"/>
      <c r="BU330" s="310">
        <f t="shared" ref="BU330:BU393" si="142">(BS330*BT330)*0.8182</f>
        <v>0</v>
      </c>
      <c r="BV330" s="311"/>
      <c r="BW330" s="312"/>
      <c r="BX330" s="313">
        <f t="shared" ref="BX330:BX393" si="143">(BV330*BW330)*0.8182</f>
        <v>0</v>
      </c>
    </row>
    <row r="331" spans="1:76">
      <c r="A331" s="333" t="s">
        <v>445</v>
      </c>
      <c r="B331" s="334" t="s">
        <v>261</v>
      </c>
      <c r="C331" s="333">
        <v>199148</v>
      </c>
      <c r="D331" s="335">
        <v>2</v>
      </c>
      <c r="E331" s="308">
        <v>167</v>
      </c>
      <c r="F331" s="309">
        <v>103320</v>
      </c>
      <c r="G331" s="310">
        <f t="shared" si="120"/>
        <v>17254440</v>
      </c>
      <c r="H331" s="311">
        <v>171</v>
      </c>
      <c r="I331" s="312">
        <v>109233</v>
      </c>
      <c r="J331" s="313">
        <f t="shared" si="121"/>
        <v>18678843</v>
      </c>
      <c r="K331" s="308">
        <v>186</v>
      </c>
      <c r="L331" s="309">
        <v>75462</v>
      </c>
      <c r="M331" s="310">
        <f t="shared" si="122"/>
        <v>14035932</v>
      </c>
      <c r="N331" s="311">
        <v>196</v>
      </c>
      <c r="O331" s="312">
        <v>78941</v>
      </c>
      <c r="P331" s="313">
        <f t="shared" si="123"/>
        <v>15472436</v>
      </c>
      <c r="Q331" s="308">
        <v>161</v>
      </c>
      <c r="R331" s="309">
        <v>62875</v>
      </c>
      <c r="S331" s="310">
        <f t="shared" si="124"/>
        <v>10122875</v>
      </c>
      <c r="T331" s="311">
        <v>160</v>
      </c>
      <c r="U331" s="312">
        <v>65426</v>
      </c>
      <c r="V331" s="313">
        <f t="shared" si="125"/>
        <v>10468160</v>
      </c>
      <c r="W331" s="308">
        <v>7</v>
      </c>
      <c r="X331" s="309">
        <v>55033</v>
      </c>
      <c r="Y331" s="310">
        <f t="shared" si="126"/>
        <v>385231</v>
      </c>
      <c r="Z331" s="311">
        <v>46</v>
      </c>
      <c r="AA331" s="312">
        <v>56782</v>
      </c>
      <c r="AB331" s="313">
        <f t="shared" si="127"/>
        <v>2611972</v>
      </c>
      <c r="AC331" s="308">
        <v>208</v>
      </c>
      <c r="AD331" s="309">
        <v>44736</v>
      </c>
      <c r="AE331" s="310">
        <f t="shared" si="128"/>
        <v>9305088</v>
      </c>
      <c r="AF331" s="311">
        <v>186</v>
      </c>
      <c r="AG331" s="312">
        <v>44894</v>
      </c>
      <c r="AH331" s="313">
        <f t="shared" si="129"/>
        <v>8350284</v>
      </c>
      <c r="AI331" s="308"/>
      <c r="AJ331" s="309"/>
      <c r="AK331" s="310">
        <f t="shared" si="130"/>
        <v>0</v>
      </c>
      <c r="AL331" s="311"/>
      <c r="AM331" s="312"/>
      <c r="AN331" s="313">
        <f t="shared" si="131"/>
        <v>0</v>
      </c>
      <c r="AO331" s="308">
        <v>15</v>
      </c>
      <c r="AP331" s="309">
        <v>124365</v>
      </c>
      <c r="AQ331" s="310">
        <f t="shared" si="132"/>
        <v>1526331.645</v>
      </c>
      <c r="AR331" s="311">
        <v>7</v>
      </c>
      <c r="AS331" s="312">
        <v>136608</v>
      </c>
      <c r="AT331" s="313">
        <f t="shared" si="133"/>
        <v>782408.65919999999</v>
      </c>
      <c r="AU331" s="308">
        <v>8</v>
      </c>
      <c r="AV331" s="309">
        <v>95969</v>
      </c>
      <c r="AW331" s="310">
        <f t="shared" si="134"/>
        <v>628174.68640000001</v>
      </c>
      <c r="AX331" s="311">
        <v>8</v>
      </c>
      <c r="AY331" s="312">
        <v>93842</v>
      </c>
      <c r="AZ331" s="313">
        <f t="shared" si="135"/>
        <v>614252.19520000007</v>
      </c>
      <c r="BA331" s="308">
        <v>3</v>
      </c>
      <c r="BB331" s="309">
        <v>72888</v>
      </c>
      <c r="BC331" s="310">
        <f t="shared" si="136"/>
        <v>178910.8848</v>
      </c>
      <c r="BD331" s="311">
        <v>1</v>
      </c>
      <c r="BE331" s="312">
        <v>70601</v>
      </c>
      <c r="BF331" s="313">
        <f t="shared" si="137"/>
        <v>57765.7382</v>
      </c>
      <c r="BG331" s="308"/>
      <c r="BH331" s="309"/>
      <c r="BI331" s="310">
        <f t="shared" si="138"/>
        <v>0</v>
      </c>
      <c r="BJ331" s="311">
        <v>10</v>
      </c>
      <c r="BK331" s="312">
        <v>63460</v>
      </c>
      <c r="BL331" s="313">
        <f t="shared" si="139"/>
        <v>519229.72000000003</v>
      </c>
      <c r="BM331" s="308">
        <v>29</v>
      </c>
      <c r="BN331" s="309">
        <v>65167</v>
      </c>
      <c r="BO331" s="310">
        <f t="shared" si="140"/>
        <v>1546269.5426</v>
      </c>
      <c r="BP331" s="311">
        <v>11</v>
      </c>
      <c r="BQ331" s="312">
        <v>47515</v>
      </c>
      <c r="BR331" s="313">
        <f t="shared" si="141"/>
        <v>427644.50300000003</v>
      </c>
      <c r="BS331" s="308"/>
      <c r="BT331" s="309"/>
      <c r="BU331" s="310">
        <f t="shared" si="142"/>
        <v>0</v>
      </c>
      <c r="BV331" s="311"/>
      <c r="BW331" s="312"/>
      <c r="BX331" s="313">
        <f t="shared" si="143"/>
        <v>0</v>
      </c>
    </row>
    <row r="332" spans="1:76">
      <c r="A332" s="333" t="s">
        <v>445</v>
      </c>
      <c r="B332" s="334" t="s">
        <v>262</v>
      </c>
      <c r="C332" s="333">
        <v>197869</v>
      </c>
      <c r="D332" s="335">
        <v>3</v>
      </c>
      <c r="E332" s="308">
        <v>234</v>
      </c>
      <c r="F332" s="309">
        <v>86779</v>
      </c>
      <c r="G332" s="310">
        <f t="shared" si="120"/>
        <v>20306286</v>
      </c>
      <c r="H332" s="311">
        <v>240</v>
      </c>
      <c r="I332" s="312">
        <v>90973</v>
      </c>
      <c r="J332" s="313">
        <f t="shared" si="121"/>
        <v>21833520</v>
      </c>
      <c r="K332" s="308">
        <v>179</v>
      </c>
      <c r="L332" s="309">
        <v>71697</v>
      </c>
      <c r="M332" s="310">
        <f t="shared" si="122"/>
        <v>12833763</v>
      </c>
      <c r="N332" s="311">
        <v>180</v>
      </c>
      <c r="O332" s="312">
        <v>73862</v>
      </c>
      <c r="P332" s="313">
        <f t="shared" si="123"/>
        <v>13295160</v>
      </c>
      <c r="Q332" s="308">
        <v>200</v>
      </c>
      <c r="R332" s="309">
        <v>59634</v>
      </c>
      <c r="S332" s="310">
        <f t="shared" si="124"/>
        <v>11926800</v>
      </c>
      <c r="T332" s="311">
        <v>218</v>
      </c>
      <c r="U332" s="312">
        <v>60648</v>
      </c>
      <c r="V332" s="313">
        <f t="shared" si="125"/>
        <v>13221264</v>
      </c>
      <c r="W332" s="308">
        <v>5</v>
      </c>
      <c r="X332" s="309">
        <v>49060</v>
      </c>
      <c r="Y332" s="310">
        <f t="shared" si="126"/>
        <v>245300</v>
      </c>
      <c r="Z332" s="311">
        <v>8</v>
      </c>
      <c r="AA332" s="312">
        <v>50805</v>
      </c>
      <c r="AB332" s="313">
        <f t="shared" si="127"/>
        <v>406440</v>
      </c>
      <c r="AC332" s="308">
        <v>116</v>
      </c>
      <c r="AD332" s="309">
        <v>46221</v>
      </c>
      <c r="AE332" s="310">
        <f t="shared" si="128"/>
        <v>5361636</v>
      </c>
      <c r="AF332" s="311">
        <v>127</v>
      </c>
      <c r="AG332" s="312">
        <v>44938</v>
      </c>
      <c r="AH332" s="313">
        <f t="shared" si="129"/>
        <v>5707126</v>
      </c>
      <c r="AI332" s="308"/>
      <c r="AJ332" s="309"/>
      <c r="AK332" s="310">
        <f t="shared" si="130"/>
        <v>0</v>
      </c>
      <c r="AL332" s="311"/>
      <c r="AM332" s="312"/>
      <c r="AN332" s="313">
        <f t="shared" si="131"/>
        <v>0</v>
      </c>
      <c r="AO332" s="308">
        <v>2</v>
      </c>
      <c r="AP332" s="309">
        <v>103175</v>
      </c>
      <c r="AQ332" s="310">
        <f t="shared" si="132"/>
        <v>168835.57</v>
      </c>
      <c r="AR332" s="311">
        <v>2</v>
      </c>
      <c r="AS332" s="312">
        <v>93891</v>
      </c>
      <c r="AT332" s="313">
        <f t="shared" si="133"/>
        <v>153643.23240000001</v>
      </c>
      <c r="AU332" s="308"/>
      <c r="AV332" s="309"/>
      <c r="AW332" s="310">
        <f t="shared" si="134"/>
        <v>0</v>
      </c>
      <c r="AX332" s="311"/>
      <c r="AY332" s="312"/>
      <c r="AZ332" s="313">
        <f t="shared" si="135"/>
        <v>0</v>
      </c>
      <c r="BA332" s="308"/>
      <c r="BB332" s="309"/>
      <c r="BC332" s="310">
        <f t="shared" si="136"/>
        <v>0</v>
      </c>
      <c r="BD332" s="311">
        <v>2</v>
      </c>
      <c r="BE332" s="312">
        <v>51996</v>
      </c>
      <c r="BF332" s="313">
        <f t="shared" si="137"/>
        <v>85086.254400000005</v>
      </c>
      <c r="BG332" s="308"/>
      <c r="BH332" s="309"/>
      <c r="BI332" s="310">
        <f t="shared" si="138"/>
        <v>0</v>
      </c>
      <c r="BJ332" s="311"/>
      <c r="BK332" s="312"/>
      <c r="BL332" s="313">
        <f t="shared" si="139"/>
        <v>0</v>
      </c>
      <c r="BM332" s="308">
        <v>1</v>
      </c>
      <c r="BN332" s="309">
        <v>78253</v>
      </c>
      <c r="BO332" s="310">
        <f t="shared" si="140"/>
        <v>64026.604600000006</v>
      </c>
      <c r="BP332" s="311">
        <v>2</v>
      </c>
      <c r="BQ332" s="312">
        <v>39679</v>
      </c>
      <c r="BR332" s="313">
        <f t="shared" si="141"/>
        <v>64930.715600000003</v>
      </c>
      <c r="BS332" s="308"/>
      <c r="BT332" s="309"/>
      <c r="BU332" s="310">
        <f t="shared" si="142"/>
        <v>0</v>
      </c>
      <c r="BV332" s="311"/>
      <c r="BW332" s="312"/>
      <c r="BX332" s="313">
        <f t="shared" si="143"/>
        <v>0</v>
      </c>
    </row>
    <row r="333" spans="1:76">
      <c r="A333" s="333" t="s">
        <v>445</v>
      </c>
      <c r="B333" s="334" t="s">
        <v>263</v>
      </c>
      <c r="C333" s="333">
        <v>198464</v>
      </c>
      <c r="D333" s="335">
        <v>3</v>
      </c>
      <c r="E333" s="308">
        <v>172</v>
      </c>
      <c r="F333" s="309">
        <v>93510</v>
      </c>
      <c r="G333" s="310">
        <f t="shared" si="120"/>
        <v>16083720</v>
      </c>
      <c r="H333" s="311">
        <v>179</v>
      </c>
      <c r="I333" s="312">
        <v>96331</v>
      </c>
      <c r="J333" s="313">
        <f t="shared" si="121"/>
        <v>17243249</v>
      </c>
      <c r="K333" s="308">
        <v>275</v>
      </c>
      <c r="L333" s="309">
        <v>73388</v>
      </c>
      <c r="M333" s="310">
        <f t="shared" si="122"/>
        <v>20181700</v>
      </c>
      <c r="N333" s="311">
        <v>303</v>
      </c>
      <c r="O333" s="312">
        <v>75855</v>
      </c>
      <c r="P333" s="313">
        <f t="shared" si="123"/>
        <v>22984065</v>
      </c>
      <c r="Q333" s="308">
        <v>302</v>
      </c>
      <c r="R333" s="309">
        <v>65474</v>
      </c>
      <c r="S333" s="310">
        <f t="shared" si="124"/>
        <v>19773148</v>
      </c>
      <c r="T333" s="311">
        <v>333</v>
      </c>
      <c r="U333" s="312">
        <v>67366</v>
      </c>
      <c r="V333" s="313">
        <f t="shared" si="125"/>
        <v>22432878</v>
      </c>
      <c r="W333" s="308">
        <v>8</v>
      </c>
      <c r="X333" s="309">
        <v>55649</v>
      </c>
      <c r="Y333" s="310">
        <f t="shared" si="126"/>
        <v>445192</v>
      </c>
      <c r="Z333" s="311">
        <v>13</v>
      </c>
      <c r="AA333" s="312">
        <v>57529</v>
      </c>
      <c r="AB333" s="313">
        <f t="shared" si="127"/>
        <v>747877</v>
      </c>
      <c r="AC333" s="308">
        <v>243</v>
      </c>
      <c r="AD333" s="309">
        <v>46878</v>
      </c>
      <c r="AE333" s="310">
        <f t="shared" si="128"/>
        <v>11391354</v>
      </c>
      <c r="AF333" s="311">
        <v>277</v>
      </c>
      <c r="AG333" s="312">
        <v>48754</v>
      </c>
      <c r="AH333" s="313">
        <f t="shared" si="129"/>
        <v>13504858</v>
      </c>
      <c r="AI333" s="308"/>
      <c r="AJ333" s="309"/>
      <c r="AK333" s="310">
        <f t="shared" si="130"/>
        <v>0</v>
      </c>
      <c r="AL333" s="311"/>
      <c r="AM333" s="312"/>
      <c r="AN333" s="313">
        <f t="shared" si="131"/>
        <v>0</v>
      </c>
      <c r="AO333" s="308">
        <v>13</v>
      </c>
      <c r="AP333" s="309">
        <v>138336</v>
      </c>
      <c r="AQ333" s="310">
        <f t="shared" si="132"/>
        <v>1471424.6976000001</v>
      </c>
      <c r="AR333" s="311">
        <v>38</v>
      </c>
      <c r="AS333" s="312">
        <v>120171</v>
      </c>
      <c r="AT333" s="313">
        <f t="shared" si="133"/>
        <v>3736308.6636000001</v>
      </c>
      <c r="AU333" s="308">
        <v>15</v>
      </c>
      <c r="AV333" s="309">
        <v>91880</v>
      </c>
      <c r="AW333" s="310">
        <f t="shared" si="134"/>
        <v>1127643.24</v>
      </c>
      <c r="AX333" s="311">
        <v>44</v>
      </c>
      <c r="AY333" s="312">
        <v>95910</v>
      </c>
      <c r="AZ333" s="313">
        <f t="shared" si="135"/>
        <v>3452836.7280000001</v>
      </c>
      <c r="BA333" s="308">
        <v>11</v>
      </c>
      <c r="BB333" s="309">
        <v>70119</v>
      </c>
      <c r="BC333" s="310">
        <f t="shared" si="136"/>
        <v>631085.02380000008</v>
      </c>
      <c r="BD333" s="311">
        <v>35</v>
      </c>
      <c r="BE333" s="312">
        <v>81656</v>
      </c>
      <c r="BF333" s="313">
        <f t="shared" si="137"/>
        <v>2338382.872</v>
      </c>
      <c r="BG333" s="308">
        <v>2</v>
      </c>
      <c r="BH333" s="309">
        <v>55872</v>
      </c>
      <c r="BI333" s="310">
        <f t="shared" si="138"/>
        <v>91428.940800000011</v>
      </c>
      <c r="BJ333" s="311">
        <v>1</v>
      </c>
      <c r="BK333" s="312">
        <v>61433</v>
      </c>
      <c r="BL333" s="313">
        <f t="shared" si="139"/>
        <v>50264.480600000003</v>
      </c>
      <c r="BM333" s="308">
        <v>17</v>
      </c>
      <c r="BN333" s="309">
        <v>60556</v>
      </c>
      <c r="BO333" s="310">
        <f t="shared" si="140"/>
        <v>842297.62640000007</v>
      </c>
      <c r="BP333" s="311">
        <v>57</v>
      </c>
      <c r="BQ333" s="312">
        <v>72967</v>
      </c>
      <c r="BR333" s="313">
        <f t="shared" si="141"/>
        <v>3402991.1658000001</v>
      </c>
      <c r="BS333" s="308"/>
      <c r="BT333" s="309"/>
      <c r="BU333" s="310">
        <f t="shared" si="142"/>
        <v>0</v>
      </c>
      <c r="BV333" s="311"/>
      <c r="BW333" s="312"/>
      <c r="BX333" s="313">
        <f t="shared" si="143"/>
        <v>0</v>
      </c>
    </row>
    <row r="334" spans="1:76">
      <c r="A334" s="333" t="s">
        <v>445</v>
      </c>
      <c r="B334" s="424" t="s">
        <v>16</v>
      </c>
      <c r="C334" s="333">
        <v>199102</v>
      </c>
      <c r="D334" s="335">
        <v>3</v>
      </c>
      <c r="E334" s="308">
        <v>77</v>
      </c>
      <c r="F334" s="309">
        <v>90944</v>
      </c>
      <c r="G334" s="310">
        <f t="shared" si="120"/>
        <v>7002688</v>
      </c>
      <c r="H334" s="311">
        <v>68</v>
      </c>
      <c r="I334" s="312">
        <v>91437</v>
      </c>
      <c r="J334" s="313">
        <f t="shared" si="121"/>
        <v>6217716</v>
      </c>
      <c r="K334" s="308">
        <v>130</v>
      </c>
      <c r="L334" s="309">
        <v>74267</v>
      </c>
      <c r="M334" s="310">
        <f t="shared" si="122"/>
        <v>9654710</v>
      </c>
      <c r="N334" s="311">
        <v>122</v>
      </c>
      <c r="O334" s="312">
        <v>73926</v>
      </c>
      <c r="P334" s="313">
        <f t="shared" si="123"/>
        <v>9018972</v>
      </c>
      <c r="Q334" s="308">
        <v>92</v>
      </c>
      <c r="R334" s="309">
        <v>63857</v>
      </c>
      <c r="S334" s="310">
        <f t="shared" si="124"/>
        <v>5874844</v>
      </c>
      <c r="T334" s="311">
        <v>83</v>
      </c>
      <c r="U334" s="312">
        <v>65734</v>
      </c>
      <c r="V334" s="313">
        <f t="shared" si="125"/>
        <v>5455922</v>
      </c>
      <c r="W334" s="308">
        <v>6</v>
      </c>
      <c r="X334" s="309">
        <v>49333</v>
      </c>
      <c r="Y334" s="310">
        <f t="shared" si="126"/>
        <v>295998</v>
      </c>
      <c r="Z334" s="311">
        <v>8</v>
      </c>
      <c r="AA334" s="312">
        <v>51621</v>
      </c>
      <c r="AB334" s="313">
        <f t="shared" si="127"/>
        <v>412968</v>
      </c>
      <c r="AC334" s="308">
        <v>63</v>
      </c>
      <c r="AD334" s="309">
        <v>61623</v>
      </c>
      <c r="AE334" s="310">
        <f t="shared" si="128"/>
        <v>3882249</v>
      </c>
      <c r="AF334" s="311">
        <v>61</v>
      </c>
      <c r="AG334" s="312">
        <v>60094</v>
      </c>
      <c r="AH334" s="313">
        <f t="shared" si="129"/>
        <v>3665734</v>
      </c>
      <c r="AI334" s="308"/>
      <c r="AJ334" s="309"/>
      <c r="AK334" s="310">
        <f t="shared" si="130"/>
        <v>0</v>
      </c>
      <c r="AL334" s="311"/>
      <c r="AM334" s="312"/>
      <c r="AN334" s="313">
        <f t="shared" si="131"/>
        <v>0</v>
      </c>
      <c r="AO334" s="308">
        <v>27</v>
      </c>
      <c r="AP334" s="309">
        <v>111668</v>
      </c>
      <c r="AQ334" s="310">
        <f t="shared" si="132"/>
        <v>2466902.4552000002</v>
      </c>
      <c r="AR334" s="311">
        <v>41</v>
      </c>
      <c r="AS334" s="312">
        <v>107127</v>
      </c>
      <c r="AT334" s="313">
        <f t="shared" si="133"/>
        <v>3593703.7674000002</v>
      </c>
      <c r="AU334" s="308">
        <v>18</v>
      </c>
      <c r="AV334" s="309">
        <v>97423</v>
      </c>
      <c r="AW334" s="310">
        <f t="shared" si="134"/>
        <v>1434806.9748</v>
      </c>
      <c r="AX334" s="311">
        <v>35</v>
      </c>
      <c r="AY334" s="312">
        <v>92253</v>
      </c>
      <c r="AZ334" s="313">
        <f t="shared" si="135"/>
        <v>2641849.1610000003</v>
      </c>
      <c r="BA334" s="308">
        <v>2</v>
      </c>
      <c r="BB334" s="309">
        <v>102580</v>
      </c>
      <c r="BC334" s="310">
        <f t="shared" si="136"/>
        <v>167861.91200000001</v>
      </c>
      <c r="BD334" s="311">
        <v>16</v>
      </c>
      <c r="BE334" s="312">
        <v>71279</v>
      </c>
      <c r="BF334" s="313">
        <f t="shared" si="137"/>
        <v>933127.64480000001</v>
      </c>
      <c r="BG334" s="308">
        <v>1</v>
      </c>
      <c r="BH334" s="309">
        <v>55419</v>
      </c>
      <c r="BI334" s="310">
        <f t="shared" si="138"/>
        <v>45343.825799999999</v>
      </c>
      <c r="BJ334" s="311"/>
      <c r="BK334" s="312"/>
      <c r="BL334" s="313">
        <f t="shared" si="139"/>
        <v>0</v>
      </c>
      <c r="BM334" s="308">
        <v>26</v>
      </c>
      <c r="BN334" s="309">
        <v>75251</v>
      </c>
      <c r="BO334" s="310">
        <f t="shared" si="140"/>
        <v>1600829.5732</v>
      </c>
      <c r="BP334" s="311">
        <v>38</v>
      </c>
      <c r="BQ334" s="312">
        <v>75602</v>
      </c>
      <c r="BR334" s="313">
        <f t="shared" si="141"/>
        <v>2350587.1432000003</v>
      </c>
      <c r="BS334" s="308"/>
      <c r="BT334" s="309"/>
      <c r="BU334" s="310">
        <f t="shared" si="142"/>
        <v>0</v>
      </c>
      <c r="BV334" s="311"/>
      <c r="BW334" s="312"/>
      <c r="BX334" s="313">
        <f t="shared" si="143"/>
        <v>0</v>
      </c>
    </row>
    <row r="335" spans="1:76">
      <c r="A335" s="333" t="s">
        <v>445</v>
      </c>
      <c r="B335" s="334" t="s">
        <v>264</v>
      </c>
      <c r="C335" s="333">
        <v>199157</v>
      </c>
      <c r="D335" s="335">
        <v>3</v>
      </c>
      <c r="E335" s="308">
        <v>33</v>
      </c>
      <c r="F335" s="309">
        <v>101431</v>
      </c>
      <c r="G335" s="310">
        <f t="shared" si="120"/>
        <v>3347223</v>
      </c>
      <c r="H335" s="311">
        <v>46</v>
      </c>
      <c r="I335" s="312">
        <v>101973</v>
      </c>
      <c r="J335" s="313">
        <f t="shared" si="121"/>
        <v>4690758</v>
      </c>
      <c r="K335" s="308">
        <v>67</v>
      </c>
      <c r="L335" s="309">
        <v>76727</v>
      </c>
      <c r="M335" s="310">
        <f t="shared" si="122"/>
        <v>5140709</v>
      </c>
      <c r="N335" s="311">
        <v>64</v>
      </c>
      <c r="O335" s="312">
        <v>77477</v>
      </c>
      <c r="P335" s="313">
        <f t="shared" si="123"/>
        <v>4958528</v>
      </c>
      <c r="Q335" s="308">
        <v>75</v>
      </c>
      <c r="R335" s="309">
        <v>67672</v>
      </c>
      <c r="S335" s="310">
        <f t="shared" si="124"/>
        <v>5075400</v>
      </c>
      <c r="T335" s="311">
        <v>102</v>
      </c>
      <c r="U335" s="312">
        <v>69183</v>
      </c>
      <c r="V335" s="313">
        <f t="shared" si="125"/>
        <v>7056666</v>
      </c>
      <c r="W335" s="308">
        <v>2</v>
      </c>
      <c r="X335" s="309">
        <v>44695</v>
      </c>
      <c r="Y335" s="310">
        <f t="shared" si="126"/>
        <v>89390</v>
      </c>
      <c r="Z335" s="311"/>
      <c r="AA335" s="312"/>
      <c r="AB335" s="313">
        <f t="shared" si="127"/>
        <v>0</v>
      </c>
      <c r="AC335" s="308">
        <v>85</v>
      </c>
      <c r="AD335" s="309">
        <v>57612</v>
      </c>
      <c r="AE335" s="310">
        <f t="shared" si="128"/>
        <v>4897020</v>
      </c>
      <c r="AF335" s="311">
        <v>71</v>
      </c>
      <c r="AG335" s="312">
        <v>60930</v>
      </c>
      <c r="AH335" s="313">
        <f t="shared" si="129"/>
        <v>4326030</v>
      </c>
      <c r="AI335" s="308"/>
      <c r="AJ335" s="309"/>
      <c r="AK335" s="310">
        <f t="shared" si="130"/>
        <v>0</v>
      </c>
      <c r="AL335" s="311"/>
      <c r="AM335" s="312"/>
      <c r="AN335" s="313">
        <f t="shared" si="131"/>
        <v>0</v>
      </c>
      <c r="AO335" s="308">
        <v>16</v>
      </c>
      <c r="AP335" s="309">
        <v>115901</v>
      </c>
      <c r="AQ335" s="310">
        <f t="shared" si="132"/>
        <v>1517283.1712</v>
      </c>
      <c r="AR335" s="311">
        <v>21</v>
      </c>
      <c r="AS335" s="312">
        <v>118531</v>
      </c>
      <c r="AT335" s="313">
        <f t="shared" si="133"/>
        <v>2036623.3482000001</v>
      </c>
      <c r="AU335" s="308">
        <v>28</v>
      </c>
      <c r="AV335" s="309">
        <v>94648</v>
      </c>
      <c r="AW335" s="310">
        <f t="shared" si="134"/>
        <v>2168347.8207999999</v>
      </c>
      <c r="AX335" s="311">
        <v>26</v>
      </c>
      <c r="AY335" s="312">
        <v>94896</v>
      </c>
      <c r="AZ335" s="313">
        <f t="shared" si="135"/>
        <v>2018741.5872000002</v>
      </c>
      <c r="BA335" s="308">
        <v>10</v>
      </c>
      <c r="BB335" s="309">
        <v>78364</v>
      </c>
      <c r="BC335" s="310">
        <f t="shared" si="136"/>
        <v>641174.24800000002</v>
      </c>
      <c r="BD335" s="311">
        <v>16</v>
      </c>
      <c r="BE335" s="312">
        <v>80418</v>
      </c>
      <c r="BF335" s="313">
        <f t="shared" si="137"/>
        <v>1052768.1216</v>
      </c>
      <c r="BG335" s="308"/>
      <c r="BH335" s="309"/>
      <c r="BI335" s="310">
        <f t="shared" si="138"/>
        <v>0</v>
      </c>
      <c r="BJ335" s="311"/>
      <c r="BK335" s="312"/>
      <c r="BL335" s="313">
        <f t="shared" si="139"/>
        <v>0</v>
      </c>
      <c r="BM335" s="308">
        <v>32</v>
      </c>
      <c r="BN335" s="309">
        <v>58980</v>
      </c>
      <c r="BO335" s="310">
        <f t="shared" si="140"/>
        <v>1544237.952</v>
      </c>
      <c r="BP335" s="311">
        <v>20</v>
      </c>
      <c r="BQ335" s="312">
        <v>64022</v>
      </c>
      <c r="BR335" s="313">
        <f t="shared" si="141"/>
        <v>1047656.008</v>
      </c>
      <c r="BS335" s="308"/>
      <c r="BT335" s="309"/>
      <c r="BU335" s="310">
        <f t="shared" si="142"/>
        <v>0</v>
      </c>
      <c r="BV335" s="311"/>
      <c r="BW335" s="312"/>
      <c r="BX335" s="313">
        <f t="shared" si="143"/>
        <v>0</v>
      </c>
    </row>
    <row r="336" spans="1:76">
      <c r="A336" s="333" t="s">
        <v>445</v>
      </c>
      <c r="B336" s="334" t="s">
        <v>266</v>
      </c>
      <c r="C336" s="333">
        <v>199218</v>
      </c>
      <c r="D336" s="335">
        <v>3</v>
      </c>
      <c r="E336" s="308">
        <v>120</v>
      </c>
      <c r="F336" s="309">
        <v>90306</v>
      </c>
      <c r="G336" s="310">
        <f t="shared" si="120"/>
        <v>10836720</v>
      </c>
      <c r="H336" s="311">
        <v>126</v>
      </c>
      <c r="I336" s="312">
        <v>93177</v>
      </c>
      <c r="J336" s="313">
        <f t="shared" si="121"/>
        <v>11740302</v>
      </c>
      <c r="K336" s="308">
        <v>131</v>
      </c>
      <c r="L336" s="309">
        <v>72307</v>
      </c>
      <c r="M336" s="310">
        <f t="shared" si="122"/>
        <v>9472217</v>
      </c>
      <c r="N336" s="311">
        <v>141</v>
      </c>
      <c r="O336" s="312">
        <v>74208</v>
      </c>
      <c r="P336" s="313">
        <f t="shared" si="123"/>
        <v>10463328</v>
      </c>
      <c r="Q336" s="308">
        <v>168</v>
      </c>
      <c r="R336" s="309">
        <v>60484</v>
      </c>
      <c r="S336" s="310">
        <f t="shared" si="124"/>
        <v>10161312</v>
      </c>
      <c r="T336" s="311">
        <v>179</v>
      </c>
      <c r="U336" s="312">
        <v>62137</v>
      </c>
      <c r="V336" s="313">
        <f t="shared" si="125"/>
        <v>11122523</v>
      </c>
      <c r="W336" s="308"/>
      <c r="X336" s="309"/>
      <c r="Y336" s="310">
        <f t="shared" si="126"/>
        <v>0</v>
      </c>
      <c r="Z336" s="311"/>
      <c r="AA336" s="312"/>
      <c r="AB336" s="313">
        <f t="shared" si="127"/>
        <v>0</v>
      </c>
      <c r="AC336" s="308">
        <v>81</v>
      </c>
      <c r="AD336" s="309">
        <v>44908</v>
      </c>
      <c r="AE336" s="310">
        <f t="shared" si="128"/>
        <v>3637548</v>
      </c>
      <c r="AF336" s="311">
        <v>90</v>
      </c>
      <c r="AG336" s="312">
        <v>46701</v>
      </c>
      <c r="AH336" s="313">
        <f t="shared" si="129"/>
        <v>4203090</v>
      </c>
      <c r="AI336" s="308"/>
      <c r="AJ336" s="309"/>
      <c r="AK336" s="310">
        <f t="shared" si="130"/>
        <v>0</v>
      </c>
      <c r="AL336" s="311"/>
      <c r="AM336" s="312"/>
      <c r="AN336" s="313">
        <f t="shared" si="131"/>
        <v>0</v>
      </c>
      <c r="AO336" s="308">
        <v>33</v>
      </c>
      <c r="AP336" s="309">
        <v>114514</v>
      </c>
      <c r="AQ336" s="310">
        <f t="shared" si="132"/>
        <v>3091946.7084000004</v>
      </c>
      <c r="AR336" s="311">
        <v>31</v>
      </c>
      <c r="AS336" s="312">
        <v>118476</v>
      </c>
      <c r="AT336" s="313">
        <f t="shared" si="133"/>
        <v>3005048.9591999999</v>
      </c>
      <c r="AU336" s="308">
        <v>10</v>
      </c>
      <c r="AV336" s="309">
        <v>94150</v>
      </c>
      <c r="AW336" s="310">
        <f t="shared" si="134"/>
        <v>770335.3</v>
      </c>
      <c r="AX336" s="311">
        <v>11</v>
      </c>
      <c r="AY336" s="312">
        <v>97902</v>
      </c>
      <c r="AZ336" s="313">
        <f t="shared" si="135"/>
        <v>881137.58040000009</v>
      </c>
      <c r="BA336" s="308"/>
      <c r="BB336" s="309"/>
      <c r="BC336" s="310">
        <f t="shared" si="136"/>
        <v>0</v>
      </c>
      <c r="BD336" s="311"/>
      <c r="BE336" s="312"/>
      <c r="BF336" s="313">
        <f t="shared" si="137"/>
        <v>0</v>
      </c>
      <c r="BG336" s="308"/>
      <c r="BH336" s="309"/>
      <c r="BI336" s="310">
        <f t="shared" si="138"/>
        <v>0</v>
      </c>
      <c r="BJ336" s="311"/>
      <c r="BK336" s="312"/>
      <c r="BL336" s="313">
        <f t="shared" si="139"/>
        <v>0</v>
      </c>
      <c r="BM336" s="308"/>
      <c r="BN336" s="309"/>
      <c r="BO336" s="310">
        <f t="shared" si="140"/>
        <v>0</v>
      </c>
      <c r="BP336" s="311">
        <v>2</v>
      </c>
      <c r="BQ336" s="312">
        <v>53106</v>
      </c>
      <c r="BR336" s="313">
        <f t="shared" si="141"/>
        <v>86902.6584</v>
      </c>
      <c r="BS336" s="308"/>
      <c r="BT336" s="309"/>
      <c r="BU336" s="310">
        <f t="shared" si="142"/>
        <v>0</v>
      </c>
      <c r="BV336" s="311"/>
      <c r="BW336" s="312"/>
      <c r="BX336" s="313">
        <f t="shared" si="143"/>
        <v>0</v>
      </c>
    </row>
    <row r="337" spans="1:76">
      <c r="A337" s="333" t="s">
        <v>445</v>
      </c>
      <c r="B337" s="334" t="s">
        <v>267</v>
      </c>
      <c r="C337" s="333">
        <v>200004</v>
      </c>
      <c r="D337" s="335">
        <v>3</v>
      </c>
      <c r="E337" s="308">
        <v>69</v>
      </c>
      <c r="F337" s="309">
        <v>86039</v>
      </c>
      <c r="G337" s="310">
        <f t="shared" si="120"/>
        <v>5936691</v>
      </c>
      <c r="H337" s="311">
        <v>68</v>
      </c>
      <c r="I337" s="312">
        <v>89609</v>
      </c>
      <c r="J337" s="313">
        <f t="shared" si="121"/>
        <v>6093412</v>
      </c>
      <c r="K337" s="308">
        <v>97</v>
      </c>
      <c r="L337" s="309">
        <v>70036</v>
      </c>
      <c r="M337" s="310">
        <f t="shared" si="122"/>
        <v>6793492</v>
      </c>
      <c r="N337" s="311">
        <v>100</v>
      </c>
      <c r="O337" s="312">
        <v>73312</v>
      </c>
      <c r="P337" s="313">
        <f t="shared" si="123"/>
        <v>7331200</v>
      </c>
      <c r="Q337" s="308">
        <v>147</v>
      </c>
      <c r="R337" s="309">
        <v>60003</v>
      </c>
      <c r="S337" s="310">
        <f t="shared" si="124"/>
        <v>8820441</v>
      </c>
      <c r="T337" s="311">
        <v>153</v>
      </c>
      <c r="U337" s="312">
        <v>60441</v>
      </c>
      <c r="V337" s="313">
        <f t="shared" si="125"/>
        <v>9247473</v>
      </c>
      <c r="W337" s="308">
        <v>18</v>
      </c>
      <c r="X337" s="309">
        <v>46399</v>
      </c>
      <c r="Y337" s="310">
        <f t="shared" si="126"/>
        <v>835182</v>
      </c>
      <c r="Z337" s="311">
        <v>16</v>
      </c>
      <c r="AA337" s="312">
        <v>49051</v>
      </c>
      <c r="AB337" s="313">
        <f t="shared" si="127"/>
        <v>784816</v>
      </c>
      <c r="AC337" s="308">
        <v>79</v>
      </c>
      <c r="AD337" s="309">
        <v>54396</v>
      </c>
      <c r="AE337" s="310">
        <f t="shared" si="128"/>
        <v>4297284</v>
      </c>
      <c r="AF337" s="311">
        <v>91</v>
      </c>
      <c r="AG337" s="312">
        <v>54368</v>
      </c>
      <c r="AH337" s="313">
        <f t="shared" si="129"/>
        <v>4947488</v>
      </c>
      <c r="AI337" s="308"/>
      <c r="AJ337" s="309"/>
      <c r="AK337" s="310">
        <f t="shared" si="130"/>
        <v>0</v>
      </c>
      <c r="AL337" s="311"/>
      <c r="AM337" s="312"/>
      <c r="AN337" s="313">
        <f t="shared" si="131"/>
        <v>0</v>
      </c>
      <c r="AO337" s="308">
        <v>8</v>
      </c>
      <c r="AP337" s="309">
        <v>101672</v>
      </c>
      <c r="AQ337" s="310">
        <f t="shared" si="132"/>
        <v>665504.24320000003</v>
      </c>
      <c r="AR337" s="311">
        <v>11</v>
      </c>
      <c r="AS337" s="312">
        <v>108172</v>
      </c>
      <c r="AT337" s="313">
        <f t="shared" si="133"/>
        <v>973569.6344000001</v>
      </c>
      <c r="AU337" s="308">
        <v>14</v>
      </c>
      <c r="AV337" s="309">
        <v>101573</v>
      </c>
      <c r="AW337" s="310">
        <f t="shared" si="134"/>
        <v>1163498.4004000002</v>
      </c>
      <c r="AX337" s="311">
        <v>17</v>
      </c>
      <c r="AY337" s="312">
        <v>105297</v>
      </c>
      <c r="AZ337" s="313">
        <f t="shared" si="135"/>
        <v>1464618.0918000001</v>
      </c>
      <c r="BA337" s="308">
        <v>5</v>
      </c>
      <c r="BB337" s="309">
        <v>65240</v>
      </c>
      <c r="BC337" s="310">
        <f t="shared" si="136"/>
        <v>266896.84000000003</v>
      </c>
      <c r="BD337" s="311">
        <v>4</v>
      </c>
      <c r="BE337" s="312">
        <v>68451</v>
      </c>
      <c r="BF337" s="313">
        <f t="shared" si="137"/>
        <v>224026.43280000001</v>
      </c>
      <c r="BG337" s="308">
        <v>8</v>
      </c>
      <c r="BH337" s="309">
        <v>57543</v>
      </c>
      <c r="BI337" s="310">
        <f t="shared" si="138"/>
        <v>376653.4608</v>
      </c>
      <c r="BJ337" s="311">
        <v>1</v>
      </c>
      <c r="BK337" s="312">
        <v>56774</v>
      </c>
      <c r="BL337" s="313">
        <f t="shared" si="139"/>
        <v>46452.486799999999</v>
      </c>
      <c r="BM337" s="308">
        <v>11</v>
      </c>
      <c r="BN337" s="309">
        <v>85347</v>
      </c>
      <c r="BO337" s="310">
        <f t="shared" si="140"/>
        <v>768140.06940000004</v>
      </c>
      <c r="BP337" s="311">
        <v>11</v>
      </c>
      <c r="BQ337" s="312">
        <v>97250</v>
      </c>
      <c r="BR337" s="313">
        <f t="shared" si="141"/>
        <v>875269.45000000007</v>
      </c>
      <c r="BS337" s="308"/>
      <c r="BT337" s="309"/>
      <c r="BU337" s="310">
        <f t="shared" si="142"/>
        <v>0</v>
      </c>
      <c r="BV337" s="311"/>
      <c r="BW337" s="312"/>
      <c r="BX337" s="313">
        <f t="shared" si="143"/>
        <v>0</v>
      </c>
    </row>
    <row r="338" spans="1:76">
      <c r="A338" s="333" t="s">
        <v>445</v>
      </c>
      <c r="B338" s="424" t="s">
        <v>268</v>
      </c>
      <c r="C338" s="333">
        <v>198543</v>
      </c>
      <c r="D338" s="335">
        <v>4</v>
      </c>
      <c r="E338" s="308">
        <v>37</v>
      </c>
      <c r="F338" s="309">
        <v>80581</v>
      </c>
      <c r="G338" s="310">
        <f t="shared" si="120"/>
        <v>2981497</v>
      </c>
      <c r="H338" s="311">
        <v>33</v>
      </c>
      <c r="I338" s="312">
        <v>89391</v>
      </c>
      <c r="J338" s="313">
        <f t="shared" si="121"/>
        <v>2949903</v>
      </c>
      <c r="K338" s="308">
        <v>52</v>
      </c>
      <c r="L338" s="309">
        <v>66013</v>
      </c>
      <c r="M338" s="310">
        <f t="shared" si="122"/>
        <v>3432676</v>
      </c>
      <c r="N338" s="311">
        <v>51</v>
      </c>
      <c r="O338" s="312">
        <v>73778</v>
      </c>
      <c r="P338" s="313">
        <f t="shared" si="123"/>
        <v>3762678</v>
      </c>
      <c r="Q338" s="308">
        <v>125</v>
      </c>
      <c r="R338" s="309">
        <v>59919</v>
      </c>
      <c r="S338" s="310">
        <f t="shared" si="124"/>
        <v>7489875</v>
      </c>
      <c r="T338" s="311">
        <v>136</v>
      </c>
      <c r="U338" s="312">
        <v>65014</v>
      </c>
      <c r="V338" s="313">
        <f t="shared" si="125"/>
        <v>8841904</v>
      </c>
      <c r="W338" s="308">
        <v>6</v>
      </c>
      <c r="X338" s="309">
        <v>50832</v>
      </c>
      <c r="Y338" s="310">
        <f t="shared" si="126"/>
        <v>304992</v>
      </c>
      <c r="Z338" s="311">
        <v>7</v>
      </c>
      <c r="AA338" s="312">
        <v>55597</v>
      </c>
      <c r="AB338" s="313">
        <f t="shared" si="127"/>
        <v>389179</v>
      </c>
      <c r="AC338" s="308">
        <v>37</v>
      </c>
      <c r="AD338" s="309">
        <v>50791</v>
      </c>
      <c r="AE338" s="310">
        <f t="shared" si="128"/>
        <v>1879267</v>
      </c>
      <c r="AF338" s="311">
        <v>36</v>
      </c>
      <c r="AG338" s="312">
        <v>53427</v>
      </c>
      <c r="AH338" s="313">
        <f t="shared" si="129"/>
        <v>1923372</v>
      </c>
      <c r="AI338" s="308"/>
      <c r="AJ338" s="309"/>
      <c r="AK338" s="310">
        <f t="shared" si="130"/>
        <v>0</v>
      </c>
      <c r="AL338" s="311"/>
      <c r="AM338" s="312"/>
      <c r="AN338" s="313">
        <f t="shared" si="131"/>
        <v>0</v>
      </c>
      <c r="AO338" s="308">
        <v>11</v>
      </c>
      <c r="AP338" s="309">
        <v>95233</v>
      </c>
      <c r="AQ338" s="310">
        <f t="shared" si="132"/>
        <v>857116.0466</v>
      </c>
      <c r="AR338" s="311">
        <v>7</v>
      </c>
      <c r="AS338" s="312">
        <v>103648</v>
      </c>
      <c r="AT338" s="313">
        <f t="shared" si="133"/>
        <v>593633.55520000006</v>
      </c>
      <c r="AU338" s="308">
        <v>7</v>
      </c>
      <c r="AV338" s="309">
        <v>89030</v>
      </c>
      <c r="AW338" s="310">
        <f t="shared" si="134"/>
        <v>509910.42200000002</v>
      </c>
      <c r="AX338" s="311">
        <v>9</v>
      </c>
      <c r="AY338" s="312">
        <v>94186</v>
      </c>
      <c r="AZ338" s="313">
        <f t="shared" si="135"/>
        <v>693566.86680000008</v>
      </c>
      <c r="BA338" s="308">
        <v>8</v>
      </c>
      <c r="BB338" s="309">
        <v>75070</v>
      </c>
      <c r="BC338" s="310">
        <f t="shared" si="136"/>
        <v>491378.19200000004</v>
      </c>
      <c r="BD338" s="311">
        <v>9</v>
      </c>
      <c r="BE338" s="312">
        <v>86692</v>
      </c>
      <c r="BF338" s="313">
        <f t="shared" si="137"/>
        <v>638382.54960000003</v>
      </c>
      <c r="BG338" s="308">
        <v>1</v>
      </c>
      <c r="BH338" s="309">
        <v>58963</v>
      </c>
      <c r="BI338" s="310">
        <f t="shared" si="138"/>
        <v>48243.526600000005</v>
      </c>
      <c r="BJ338" s="311">
        <v>1</v>
      </c>
      <c r="BK338" s="312">
        <v>63726</v>
      </c>
      <c r="BL338" s="313">
        <f t="shared" si="139"/>
        <v>52140.6132</v>
      </c>
      <c r="BM338" s="308">
        <v>15</v>
      </c>
      <c r="BN338" s="309">
        <v>53001</v>
      </c>
      <c r="BO338" s="310">
        <f t="shared" si="140"/>
        <v>650481.27300000004</v>
      </c>
      <c r="BP338" s="311">
        <v>17</v>
      </c>
      <c r="BQ338" s="312">
        <v>60723</v>
      </c>
      <c r="BR338" s="313">
        <f t="shared" si="141"/>
        <v>844620.49620000005</v>
      </c>
      <c r="BS338" s="308"/>
      <c r="BT338" s="309"/>
      <c r="BU338" s="310">
        <f t="shared" si="142"/>
        <v>0</v>
      </c>
      <c r="BV338" s="311"/>
      <c r="BW338" s="312"/>
      <c r="BX338" s="313">
        <f t="shared" si="143"/>
        <v>0</v>
      </c>
    </row>
    <row r="339" spans="1:76">
      <c r="A339" s="333" t="s">
        <v>445</v>
      </c>
      <c r="B339" s="334" t="s">
        <v>269</v>
      </c>
      <c r="C339" s="333">
        <v>199281</v>
      </c>
      <c r="D339" s="335">
        <v>5</v>
      </c>
      <c r="E339" s="308">
        <v>33</v>
      </c>
      <c r="F339" s="309">
        <v>87750</v>
      </c>
      <c r="G339" s="310">
        <f t="shared" si="120"/>
        <v>2895750</v>
      </c>
      <c r="H339" s="311">
        <v>53</v>
      </c>
      <c r="I339" s="312">
        <v>85479</v>
      </c>
      <c r="J339" s="313">
        <f t="shared" si="121"/>
        <v>4530387</v>
      </c>
      <c r="K339" s="308">
        <v>51</v>
      </c>
      <c r="L339" s="309">
        <v>67816</v>
      </c>
      <c r="M339" s="310">
        <f t="shared" si="122"/>
        <v>3458616</v>
      </c>
      <c r="N339" s="311">
        <v>52</v>
      </c>
      <c r="O339" s="312">
        <v>66883</v>
      </c>
      <c r="P339" s="313">
        <f t="shared" si="123"/>
        <v>3477916</v>
      </c>
      <c r="Q339" s="308">
        <v>100</v>
      </c>
      <c r="R339" s="309">
        <v>57349</v>
      </c>
      <c r="S339" s="310">
        <f t="shared" si="124"/>
        <v>5734900</v>
      </c>
      <c r="T339" s="311">
        <v>101</v>
      </c>
      <c r="U339" s="312">
        <v>58224</v>
      </c>
      <c r="V339" s="313">
        <f t="shared" si="125"/>
        <v>5880624</v>
      </c>
      <c r="W339" s="308">
        <v>3</v>
      </c>
      <c r="X339" s="309">
        <v>55876</v>
      </c>
      <c r="Y339" s="310">
        <f t="shared" si="126"/>
        <v>167628</v>
      </c>
      <c r="Z339" s="311">
        <v>2</v>
      </c>
      <c r="AA339" s="312">
        <v>51732</v>
      </c>
      <c r="AB339" s="313">
        <f t="shared" si="127"/>
        <v>103464</v>
      </c>
      <c r="AC339" s="308">
        <v>89</v>
      </c>
      <c r="AD339" s="309">
        <v>46944</v>
      </c>
      <c r="AE339" s="310">
        <f t="shared" si="128"/>
        <v>4178016</v>
      </c>
      <c r="AF339" s="311">
        <v>74</v>
      </c>
      <c r="AG339" s="312">
        <v>49694</v>
      </c>
      <c r="AH339" s="313">
        <f t="shared" si="129"/>
        <v>3677356</v>
      </c>
      <c r="AI339" s="308"/>
      <c r="AJ339" s="309"/>
      <c r="AK339" s="310">
        <f t="shared" si="130"/>
        <v>0</v>
      </c>
      <c r="AL339" s="311"/>
      <c r="AM339" s="312"/>
      <c r="AN339" s="313">
        <f t="shared" si="131"/>
        <v>0</v>
      </c>
      <c r="AO339" s="308">
        <v>3</v>
      </c>
      <c r="AP339" s="309">
        <v>82598</v>
      </c>
      <c r="AQ339" s="310">
        <f t="shared" si="132"/>
        <v>202745.0508</v>
      </c>
      <c r="AR339" s="311">
        <v>2</v>
      </c>
      <c r="AS339" s="312">
        <v>71644</v>
      </c>
      <c r="AT339" s="313">
        <f t="shared" si="133"/>
        <v>117238.24160000001</v>
      </c>
      <c r="AU339" s="308">
        <v>1</v>
      </c>
      <c r="AV339" s="309">
        <v>97448</v>
      </c>
      <c r="AW339" s="310">
        <f t="shared" si="134"/>
        <v>79731.953600000008</v>
      </c>
      <c r="AX339" s="311">
        <v>1</v>
      </c>
      <c r="AY339" s="312">
        <v>98000</v>
      </c>
      <c r="AZ339" s="313">
        <f t="shared" si="135"/>
        <v>80183.600000000006</v>
      </c>
      <c r="BA339" s="308"/>
      <c r="BB339" s="309"/>
      <c r="BC339" s="310">
        <f t="shared" si="136"/>
        <v>0</v>
      </c>
      <c r="BD339" s="311">
        <v>3</v>
      </c>
      <c r="BE339" s="312">
        <v>73896</v>
      </c>
      <c r="BF339" s="313">
        <f t="shared" si="137"/>
        <v>181385.12160000001</v>
      </c>
      <c r="BG339" s="308"/>
      <c r="BH339" s="309"/>
      <c r="BI339" s="310">
        <f t="shared" si="138"/>
        <v>0</v>
      </c>
      <c r="BJ339" s="311"/>
      <c r="BK339" s="312"/>
      <c r="BL339" s="313">
        <f t="shared" si="139"/>
        <v>0</v>
      </c>
      <c r="BM339" s="308">
        <v>5</v>
      </c>
      <c r="BN339" s="309">
        <v>73881</v>
      </c>
      <c r="BO339" s="310">
        <f t="shared" si="140"/>
        <v>302247.17100000003</v>
      </c>
      <c r="BP339" s="311">
        <v>3</v>
      </c>
      <c r="BQ339" s="312">
        <v>68354</v>
      </c>
      <c r="BR339" s="313">
        <f t="shared" si="141"/>
        <v>167781.72840000002</v>
      </c>
      <c r="BS339" s="308"/>
      <c r="BT339" s="309"/>
      <c r="BU339" s="310">
        <f t="shared" si="142"/>
        <v>0</v>
      </c>
      <c r="BV339" s="311"/>
      <c r="BW339" s="312"/>
      <c r="BX339" s="313">
        <f t="shared" si="143"/>
        <v>0</v>
      </c>
    </row>
    <row r="340" spans="1:76">
      <c r="A340" s="333" t="s">
        <v>445</v>
      </c>
      <c r="B340" s="334" t="s">
        <v>272</v>
      </c>
      <c r="C340" s="333">
        <v>199999</v>
      </c>
      <c r="D340" s="335">
        <v>5</v>
      </c>
      <c r="E340" s="308">
        <v>26</v>
      </c>
      <c r="F340" s="309">
        <v>88372</v>
      </c>
      <c r="G340" s="310">
        <f t="shared" si="120"/>
        <v>2297672</v>
      </c>
      <c r="H340" s="311">
        <v>26</v>
      </c>
      <c r="I340" s="312">
        <v>89895</v>
      </c>
      <c r="J340" s="313">
        <f t="shared" si="121"/>
        <v>2337270</v>
      </c>
      <c r="K340" s="308">
        <v>83</v>
      </c>
      <c r="L340" s="309">
        <v>71773</v>
      </c>
      <c r="M340" s="310">
        <f t="shared" si="122"/>
        <v>5957159</v>
      </c>
      <c r="N340" s="311">
        <v>89</v>
      </c>
      <c r="O340" s="312">
        <v>74582</v>
      </c>
      <c r="P340" s="313">
        <f t="shared" si="123"/>
        <v>6637798</v>
      </c>
      <c r="Q340" s="308">
        <v>95</v>
      </c>
      <c r="R340" s="309">
        <v>66403</v>
      </c>
      <c r="S340" s="310">
        <f t="shared" si="124"/>
        <v>6308285</v>
      </c>
      <c r="T340" s="311">
        <v>96</v>
      </c>
      <c r="U340" s="312">
        <v>67801</v>
      </c>
      <c r="V340" s="313">
        <f t="shared" si="125"/>
        <v>6508896</v>
      </c>
      <c r="W340" s="308">
        <v>22</v>
      </c>
      <c r="X340" s="309">
        <v>56033</v>
      </c>
      <c r="Y340" s="310">
        <f t="shared" si="126"/>
        <v>1232726</v>
      </c>
      <c r="Z340" s="311">
        <v>30</v>
      </c>
      <c r="AA340" s="312">
        <v>59930</v>
      </c>
      <c r="AB340" s="313">
        <f t="shared" si="127"/>
        <v>1797900</v>
      </c>
      <c r="AC340" s="308">
        <v>10</v>
      </c>
      <c r="AD340" s="309">
        <v>56605</v>
      </c>
      <c r="AE340" s="310">
        <f t="shared" si="128"/>
        <v>566050</v>
      </c>
      <c r="AF340" s="311">
        <v>7</v>
      </c>
      <c r="AG340" s="312">
        <v>54550</v>
      </c>
      <c r="AH340" s="313">
        <f t="shared" si="129"/>
        <v>381850</v>
      </c>
      <c r="AI340" s="308"/>
      <c r="AJ340" s="309"/>
      <c r="AK340" s="310">
        <f t="shared" si="130"/>
        <v>0</v>
      </c>
      <c r="AL340" s="311"/>
      <c r="AM340" s="312"/>
      <c r="AN340" s="313">
        <f t="shared" si="131"/>
        <v>0</v>
      </c>
      <c r="AO340" s="308">
        <v>7</v>
      </c>
      <c r="AP340" s="309">
        <v>118983</v>
      </c>
      <c r="AQ340" s="310">
        <f t="shared" si="132"/>
        <v>681463.23420000006</v>
      </c>
      <c r="AR340" s="311">
        <v>7</v>
      </c>
      <c r="AS340" s="312">
        <v>117070</v>
      </c>
      <c r="AT340" s="313">
        <f t="shared" si="133"/>
        <v>670506.71799999999</v>
      </c>
      <c r="AU340" s="308">
        <v>32</v>
      </c>
      <c r="AV340" s="309">
        <v>90046</v>
      </c>
      <c r="AW340" s="310">
        <f t="shared" si="134"/>
        <v>2357620.3903999999</v>
      </c>
      <c r="AX340" s="311">
        <v>35</v>
      </c>
      <c r="AY340" s="312">
        <v>94872</v>
      </c>
      <c r="AZ340" s="313">
        <f t="shared" si="135"/>
        <v>2716849.4640000002</v>
      </c>
      <c r="BA340" s="308">
        <v>24</v>
      </c>
      <c r="BB340" s="309">
        <v>81661</v>
      </c>
      <c r="BC340" s="310">
        <f t="shared" si="136"/>
        <v>1603560.7248</v>
      </c>
      <c r="BD340" s="311">
        <v>30</v>
      </c>
      <c r="BE340" s="312">
        <v>81318</v>
      </c>
      <c r="BF340" s="313">
        <f t="shared" si="137"/>
        <v>1996031.628</v>
      </c>
      <c r="BG340" s="308">
        <v>1</v>
      </c>
      <c r="BH340" s="309">
        <v>49920</v>
      </c>
      <c r="BI340" s="310">
        <f t="shared" si="138"/>
        <v>40844.544000000002</v>
      </c>
      <c r="BJ340" s="311">
        <v>4</v>
      </c>
      <c r="BK340" s="312">
        <v>62894</v>
      </c>
      <c r="BL340" s="313">
        <f t="shared" si="139"/>
        <v>205839.48320000002</v>
      </c>
      <c r="BM340" s="308">
        <v>19</v>
      </c>
      <c r="BN340" s="309">
        <v>71479</v>
      </c>
      <c r="BO340" s="310">
        <f t="shared" si="140"/>
        <v>1111198.2382</v>
      </c>
      <c r="BP340" s="311">
        <v>14</v>
      </c>
      <c r="BQ340" s="312">
        <v>71926</v>
      </c>
      <c r="BR340" s="313">
        <f t="shared" si="141"/>
        <v>823897.94480000006</v>
      </c>
      <c r="BS340" s="308"/>
      <c r="BT340" s="309"/>
      <c r="BU340" s="310">
        <f t="shared" si="142"/>
        <v>0</v>
      </c>
      <c r="BV340" s="311"/>
      <c r="BW340" s="312"/>
      <c r="BX340" s="313">
        <f t="shared" si="143"/>
        <v>0</v>
      </c>
    </row>
    <row r="341" spans="1:76">
      <c r="A341" s="333" t="s">
        <v>445</v>
      </c>
      <c r="B341" s="334" t="s">
        <v>270</v>
      </c>
      <c r="C341" s="333">
        <v>198507</v>
      </c>
      <c r="D341" s="335">
        <v>6</v>
      </c>
      <c r="E341" s="308">
        <v>34</v>
      </c>
      <c r="F341" s="309">
        <v>79500</v>
      </c>
      <c r="G341" s="310">
        <f t="shared" si="120"/>
        <v>2703000</v>
      </c>
      <c r="H341" s="311">
        <v>34</v>
      </c>
      <c r="I341" s="312">
        <v>83836</v>
      </c>
      <c r="J341" s="313">
        <f t="shared" si="121"/>
        <v>2850424</v>
      </c>
      <c r="K341" s="308">
        <v>42</v>
      </c>
      <c r="L341" s="309">
        <v>71050</v>
      </c>
      <c r="M341" s="310">
        <f t="shared" si="122"/>
        <v>2984100</v>
      </c>
      <c r="N341" s="311">
        <v>39</v>
      </c>
      <c r="O341" s="312">
        <v>72525</v>
      </c>
      <c r="P341" s="313">
        <f t="shared" si="123"/>
        <v>2828475</v>
      </c>
      <c r="Q341" s="308">
        <v>38</v>
      </c>
      <c r="R341" s="309">
        <v>60003</v>
      </c>
      <c r="S341" s="310">
        <f t="shared" si="124"/>
        <v>2280114</v>
      </c>
      <c r="T341" s="311">
        <v>39</v>
      </c>
      <c r="U341" s="312">
        <v>63034</v>
      </c>
      <c r="V341" s="313">
        <f t="shared" si="125"/>
        <v>2458326</v>
      </c>
      <c r="W341" s="308">
        <v>4</v>
      </c>
      <c r="X341" s="309">
        <v>49789</v>
      </c>
      <c r="Y341" s="310">
        <f t="shared" si="126"/>
        <v>199156</v>
      </c>
      <c r="Z341" s="311">
        <v>4</v>
      </c>
      <c r="AA341" s="312">
        <v>53386</v>
      </c>
      <c r="AB341" s="313">
        <f t="shared" si="127"/>
        <v>213544</v>
      </c>
      <c r="AC341" s="308">
        <v>47</v>
      </c>
      <c r="AD341" s="309">
        <v>56615</v>
      </c>
      <c r="AE341" s="310">
        <f t="shared" si="128"/>
        <v>2660905</v>
      </c>
      <c r="AF341" s="311">
        <v>39</v>
      </c>
      <c r="AG341" s="312">
        <v>60507</v>
      </c>
      <c r="AH341" s="313">
        <f t="shared" si="129"/>
        <v>2359773</v>
      </c>
      <c r="AI341" s="308"/>
      <c r="AJ341" s="309"/>
      <c r="AK341" s="310">
        <f t="shared" si="130"/>
        <v>0</v>
      </c>
      <c r="AL341" s="311"/>
      <c r="AM341" s="312"/>
      <c r="AN341" s="313">
        <f t="shared" si="131"/>
        <v>0</v>
      </c>
      <c r="AO341" s="308"/>
      <c r="AP341" s="309"/>
      <c r="AQ341" s="310">
        <f t="shared" si="132"/>
        <v>0</v>
      </c>
      <c r="AR341" s="311"/>
      <c r="AS341" s="312"/>
      <c r="AT341" s="313">
        <f t="shared" si="133"/>
        <v>0</v>
      </c>
      <c r="AU341" s="308">
        <v>2</v>
      </c>
      <c r="AV341" s="309">
        <v>77028</v>
      </c>
      <c r="AW341" s="310">
        <f t="shared" si="134"/>
        <v>126048.6192</v>
      </c>
      <c r="AX341" s="311"/>
      <c r="AY341" s="312"/>
      <c r="AZ341" s="313">
        <f t="shared" si="135"/>
        <v>0</v>
      </c>
      <c r="BA341" s="308">
        <v>2</v>
      </c>
      <c r="BB341" s="309">
        <v>81124</v>
      </c>
      <c r="BC341" s="310">
        <f t="shared" si="136"/>
        <v>132751.31359999999</v>
      </c>
      <c r="BD341" s="311">
        <v>2</v>
      </c>
      <c r="BE341" s="312">
        <v>87351</v>
      </c>
      <c r="BF341" s="313">
        <f t="shared" si="137"/>
        <v>142941.1764</v>
      </c>
      <c r="BG341" s="308"/>
      <c r="BH341" s="309"/>
      <c r="BI341" s="310">
        <f t="shared" si="138"/>
        <v>0</v>
      </c>
      <c r="BJ341" s="311"/>
      <c r="BK341" s="312"/>
      <c r="BL341" s="313">
        <f t="shared" si="139"/>
        <v>0</v>
      </c>
      <c r="BM341" s="308">
        <v>6</v>
      </c>
      <c r="BN341" s="309">
        <v>53113</v>
      </c>
      <c r="BO341" s="310">
        <f t="shared" si="140"/>
        <v>260742.33960000001</v>
      </c>
      <c r="BP341" s="311">
        <v>4</v>
      </c>
      <c r="BQ341" s="312">
        <v>72293</v>
      </c>
      <c r="BR341" s="313">
        <f t="shared" si="141"/>
        <v>236600.53040000002</v>
      </c>
      <c r="BS341" s="308"/>
      <c r="BT341" s="309"/>
      <c r="BU341" s="310">
        <f t="shared" si="142"/>
        <v>0</v>
      </c>
      <c r="BV341" s="311"/>
      <c r="BW341" s="312"/>
      <c r="BX341" s="313">
        <f t="shared" si="143"/>
        <v>0</v>
      </c>
    </row>
    <row r="342" spans="1:76">
      <c r="A342" s="333" t="s">
        <v>445</v>
      </c>
      <c r="B342" s="334" t="s">
        <v>271</v>
      </c>
      <c r="C342" s="333">
        <v>199111</v>
      </c>
      <c r="D342" s="335">
        <v>6</v>
      </c>
      <c r="E342" s="308">
        <v>58</v>
      </c>
      <c r="F342" s="309">
        <v>83982</v>
      </c>
      <c r="G342" s="310">
        <f t="shared" si="120"/>
        <v>4870956</v>
      </c>
      <c r="H342" s="311">
        <v>58</v>
      </c>
      <c r="I342" s="312">
        <v>87733</v>
      </c>
      <c r="J342" s="313">
        <f t="shared" si="121"/>
        <v>5088514</v>
      </c>
      <c r="K342" s="308">
        <v>59</v>
      </c>
      <c r="L342" s="309">
        <v>65496</v>
      </c>
      <c r="M342" s="310">
        <f t="shared" si="122"/>
        <v>3864264</v>
      </c>
      <c r="N342" s="311">
        <v>55</v>
      </c>
      <c r="O342" s="312">
        <v>67808</v>
      </c>
      <c r="P342" s="313">
        <f t="shared" si="123"/>
        <v>3729440</v>
      </c>
      <c r="Q342" s="308">
        <v>47</v>
      </c>
      <c r="R342" s="309">
        <v>57958</v>
      </c>
      <c r="S342" s="310">
        <f t="shared" si="124"/>
        <v>2724026</v>
      </c>
      <c r="T342" s="311">
        <v>50</v>
      </c>
      <c r="U342" s="312">
        <v>61016</v>
      </c>
      <c r="V342" s="313">
        <f t="shared" si="125"/>
        <v>3050800</v>
      </c>
      <c r="W342" s="308"/>
      <c r="X342" s="309"/>
      <c r="Y342" s="310">
        <f t="shared" si="126"/>
        <v>0</v>
      </c>
      <c r="Z342" s="311"/>
      <c r="AA342" s="312"/>
      <c r="AB342" s="313">
        <f t="shared" si="127"/>
        <v>0</v>
      </c>
      <c r="AC342" s="308">
        <v>42</v>
      </c>
      <c r="AD342" s="309">
        <v>48106</v>
      </c>
      <c r="AE342" s="310">
        <f t="shared" si="128"/>
        <v>2020452</v>
      </c>
      <c r="AF342" s="311">
        <v>44</v>
      </c>
      <c r="AG342" s="312">
        <v>48467</v>
      </c>
      <c r="AH342" s="313">
        <f t="shared" si="129"/>
        <v>2132548</v>
      </c>
      <c r="AI342" s="308"/>
      <c r="AJ342" s="309"/>
      <c r="AK342" s="310">
        <f t="shared" si="130"/>
        <v>0</v>
      </c>
      <c r="AL342" s="311"/>
      <c r="AM342" s="312"/>
      <c r="AN342" s="313">
        <f t="shared" si="131"/>
        <v>0</v>
      </c>
      <c r="AO342" s="308"/>
      <c r="AP342" s="309"/>
      <c r="AQ342" s="310">
        <f t="shared" si="132"/>
        <v>0</v>
      </c>
      <c r="AR342" s="311"/>
      <c r="AS342" s="312"/>
      <c r="AT342" s="313">
        <f t="shared" si="133"/>
        <v>0</v>
      </c>
      <c r="AU342" s="308"/>
      <c r="AV342" s="309"/>
      <c r="AW342" s="310">
        <f t="shared" si="134"/>
        <v>0</v>
      </c>
      <c r="AX342" s="311"/>
      <c r="AY342" s="312"/>
      <c r="AZ342" s="313">
        <f t="shared" si="135"/>
        <v>0</v>
      </c>
      <c r="BA342" s="308">
        <v>1</v>
      </c>
      <c r="BB342" s="309">
        <v>56667</v>
      </c>
      <c r="BC342" s="310">
        <f t="shared" si="136"/>
        <v>46364.939400000003</v>
      </c>
      <c r="BD342" s="311"/>
      <c r="BE342" s="312"/>
      <c r="BF342" s="313">
        <f t="shared" si="137"/>
        <v>0</v>
      </c>
      <c r="BG342" s="308"/>
      <c r="BH342" s="309"/>
      <c r="BI342" s="310">
        <f t="shared" si="138"/>
        <v>0</v>
      </c>
      <c r="BJ342" s="311"/>
      <c r="BK342" s="312"/>
      <c r="BL342" s="313">
        <f t="shared" si="139"/>
        <v>0</v>
      </c>
      <c r="BM342" s="308"/>
      <c r="BN342" s="309"/>
      <c r="BO342" s="310">
        <f t="shared" si="140"/>
        <v>0</v>
      </c>
      <c r="BP342" s="311"/>
      <c r="BQ342" s="312"/>
      <c r="BR342" s="313">
        <f t="shared" si="141"/>
        <v>0</v>
      </c>
      <c r="BS342" s="308"/>
      <c r="BT342" s="309"/>
      <c r="BU342" s="310">
        <f t="shared" si="142"/>
        <v>0</v>
      </c>
      <c r="BV342" s="311"/>
      <c r="BW342" s="312"/>
      <c r="BX342" s="313">
        <f t="shared" si="143"/>
        <v>0</v>
      </c>
    </row>
    <row r="343" spans="1:76">
      <c r="A343" s="304" t="s">
        <v>445</v>
      </c>
      <c r="B343" s="332" t="s">
        <v>273</v>
      </c>
      <c r="C343" s="304">
        <v>197887</v>
      </c>
      <c r="D343" s="307">
        <v>8</v>
      </c>
      <c r="E343" s="308"/>
      <c r="F343" s="309"/>
      <c r="G343" s="310">
        <f t="shared" si="120"/>
        <v>0</v>
      </c>
      <c r="H343" s="311"/>
      <c r="I343" s="312"/>
      <c r="J343" s="313">
        <f t="shared" si="121"/>
        <v>0</v>
      </c>
      <c r="K343" s="308"/>
      <c r="L343" s="309"/>
      <c r="M343" s="310">
        <f t="shared" si="122"/>
        <v>0</v>
      </c>
      <c r="N343" s="311"/>
      <c r="O343" s="312"/>
      <c r="P343" s="313">
        <f t="shared" si="123"/>
        <v>0</v>
      </c>
      <c r="Q343" s="308"/>
      <c r="R343" s="309"/>
      <c r="S343" s="310">
        <f t="shared" si="124"/>
        <v>0</v>
      </c>
      <c r="T343" s="311"/>
      <c r="U343" s="312"/>
      <c r="V343" s="313">
        <f t="shared" si="125"/>
        <v>0</v>
      </c>
      <c r="W343" s="308"/>
      <c r="X343" s="309"/>
      <c r="Y343" s="310">
        <f t="shared" si="126"/>
        <v>0</v>
      </c>
      <c r="Z343" s="311"/>
      <c r="AA343" s="312"/>
      <c r="AB343" s="313">
        <f t="shared" si="127"/>
        <v>0</v>
      </c>
      <c r="AC343" s="308"/>
      <c r="AD343" s="309"/>
      <c r="AE343" s="310">
        <f t="shared" si="128"/>
        <v>0</v>
      </c>
      <c r="AF343" s="311"/>
      <c r="AG343" s="312"/>
      <c r="AH343" s="313">
        <f t="shared" si="129"/>
        <v>0</v>
      </c>
      <c r="AI343" s="308">
        <v>157</v>
      </c>
      <c r="AJ343" s="309">
        <v>46347</v>
      </c>
      <c r="AK343" s="310">
        <f t="shared" si="130"/>
        <v>7276479</v>
      </c>
      <c r="AL343" s="393">
        <v>162</v>
      </c>
      <c r="AM343" s="394">
        <v>47375</v>
      </c>
      <c r="AN343" s="313">
        <f t="shared" si="131"/>
        <v>7674750</v>
      </c>
      <c r="AO343" s="308"/>
      <c r="AP343" s="309"/>
      <c r="AQ343" s="310">
        <f t="shared" si="132"/>
        <v>0</v>
      </c>
      <c r="AR343" s="311"/>
      <c r="AS343" s="312"/>
      <c r="AT343" s="313">
        <f t="shared" si="133"/>
        <v>0</v>
      </c>
      <c r="AU343" s="308"/>
      <c r="AV343" s="309"/>
      <c r="AW343" s="310">
        <f t="shared" si="134"/>
        <v>0</v>
      </c>
      <c r="AX343" s="311"/>
      <c r="AY343" s="312"/>
      <c r="AZ343" s="313">
        <f t="shared" si="135"/>
        <v>0</v>
      </c>
      <c r="BA343" s="308"/>
      <c r="BB343" s="309"/>
      <c r="BC343" s="310">
        <f t="shared" si="136"/>
        <v>0</v>
      </c>
      <c r="BD343" s="311"/>
      <c r="BE343" s="312"/>
      <c r="BF343" s="313">
        <f t="shared" si="137"/>
        <v>0</v>
      </c>
      <c r="BG343" s="308"/>
      <c r="BH343" s="309"/>
      <c r="BI343" s="310">
        <f t="shared" si="138"/>
        <v>0</v>
      </c>
      <c r="BJ343" s="311"/>
      <c r="BK343" s="312"/>
      <c r="BL343" s="313">
        <f t="shared" si="139"/>
        <v>0</v>
      </c>
      <c r="BM343" s="308"/>
      <c r="BN343" s="309"/>
      <c r="BO343" s="310">
        <f t="shared" si="140"/>
        <v>0</v>
      </c>
      <c r="BP343" s="311"/>
      <c r="BQ343" s="312"/>
      <c r="BR343" s="313">
        <f t="shared" si="141"/>
        <v>0</v>
      </c>
      <c r="BS343" s="308"/>
      <c r="BT343" s="309"/>
      <c r="BU343" s="310">
        <f t="shared" si="142"/>
        <v>0</v>
      </c>
      <c r="BV343" s="311"/>
      <c r="BW343" s="312"/>
      <c r="BX343" s="313">
        <f t="shared" si="143"/>
        <v>0</v>
      </c>
    </row>
    <row r="344" spans="1:76">
      <c r="A344" s="304" t="s">
        <v>445</v>
      </c>
      <c r="B344" s="332" t="s">
        <v>274</v>
      </c>
      <c r="C344" s="304">
        <v>198154</v>
      </c>
      <c r="D344" s="307">
        <v>8</v>
      </c>
      <c r="E344" s="308"/>
      <c r="F344" s="309"/>
      <c r="G344" s="310">
        <f t="shared" si="120"/>
        <v>0</v>
      </c>
      <c r="H344" s="311"/>
      <c r="I344" s="312"/>
      <c r="J344" s="313">
        <f t="shared" si="121"/>
        <v>0</v>
      </c>
      <c r="K344" s="308"/>
      <c r="L344" s="309"/>
      <c r="M344" s="310">
        <f t="shared" si="122"/>
        <v>0</v>
      </c>
      <c r="N344" s="311"/>
      <c r="O344" s="312"/>
      <c r="P344" s="313">
        <f t="shared" si="123"/>
        <v>0</v>
      </c>
      <c r="Q344" s="308"/>
      <c r="R344" s="309"/>
      <c r="S344" s="310">
        <f t="shared" si="124"/>
        <v>0</v>
      </c>
      <c r="T344" s="311"/>
      <c r="U344" s="312"/>
      <c r="V344" s="313">
        <f t="shared" si="125"/>
        <v>0</v>
      </c>
      <c r="W344" s="308"/>
      <c r="X344" s="309"/>
      <c r="Y344" s="310">
        <f t="shared" si="126"/>
        <v>0</v>
      </c>
      <c r="Z344" s="311"/>
      <c r="AA344" s="312"/>
      <c r="AB344" s="313">
        <f t="shared" si="127"/>
        <v>0</v>
      </c>
      <c r="AC344" s="308"/>
      <c r="AD344" s="309"/>
      <c r="AE344" s="310">
        <f t="shared" si="128"/>
        <v>0</v>
      </c>
      <c r="AF344" s="311"/>
      <c r="AG344" s="312"/>
      <c r="AH344" s="313">
        <f t="shared" si="129"/>
        <v>0</v>
      </c>
      <c r="AI344" s="308">
        <v>227</v>
      </c>
      <c r="AJ344" s="309">
        <v>46350</v>
      </c>
      <c r="AK344" s="310">
        <f t="shared" si="130"/>
        <v>10521450</v>
      </c>
      <c r="AL344" s="393">
        <v>235</v>
      </c>
      <c r="AM344" s="394">
        <v>47965</v>
      </c>
      <c r="AN344" s="313">
        <f t="shared" si="131"/>
        <v>11271775</v>
      </c>
      <c r="AO344" s="308"/>
      <c r="AP344" s="309"/>
      <c r="AQ344" s="310">
        <f t="shared" si="132"/>
        <v>0</v>
      </c>
      <c r="AR344" s="311"/>
      <c r="AS344" s="312"/>
      <c r="AT344" s="313">
        <f t="shared" si="133"/>
        <v>0</v>
      </c>
      <c r="AU344" s="308"/>
      <c r="AV344" s="309"/>
      <c r="AW344" s="310">
        <f t="shared" si="134"/>
        <v>0</v>
      </c>
      <c r="AX344" s="311"/>
      <c r="AY344" s="312"/>
      <c r="AZ344" s="313">
        <f t="shared" si="135"/>
        <v>0</v>
      </c>
      <c r="BA344" s="308"/>
      <c r="BB344" s="309"/>
      <c r="BC344" s="310">
        <f t="shared" si="136"/>
        <v>0</v>
      </c>
      <c r="BD344" s="311"/>
      <c r="BE344" s="312"/>
      <c r="BF344" s="313">
        <f t="shared" si="137"/>
        <v>0</v>
      </c>
      <c r="BG344" s="308"/>
      <c r="BH344" s="309"/>
      <c r="BI344" s="310">
        <f t="shared" si="138"/>
        <v>0</v>
      </c>
      <c r="BJ344" s="311"/>
      <c r="BK344" s="312"/>
      <c r="BL344" s="313">
        <f t="shared" si="139"/>
        <v>0</v>
      </c>
      <c r="BM344" s="308"/>
      <c r="BN344" s="309"/>
      <c r="BO344" s="310">
        <f t="shared" si="140"/>
        <v>0</v>
      </c>
      <c r="BP344" s="311"/>
      <c r="BQ344" s="312"/>
      <c r="BR344" s="313">
        <f t="shared" si="141"/>
        <v>0</v>
      </c>
      <c r="BS344" s="308"/>
      <c r="BT344" s="309"/>
      <c r="BU344" s="310">
        <f t="shared" si="142"/>
        <v>0</v>
      </c>
      <c r="BV344" s="311"/>
      <c r="BW344" s="312"/>
      <c r="BX344" s="313">
        <f t="shared" si="143"/>
        <v>0</v>
      </c>
    </row>
    <row r="345" spans="1:76">
      <c r="A345" s="304" t="s">
        <v>445</v>
      </c>
      <c r="B345" s="332" t="s">
        <v>275</v>
      </c>
      <c r="C345" s="304">
        <v>198233</v>
      </c>
      <c r="D345" s="307">
        <v>8</v>
      </c>
      <c r="E345" s="308"/>
      <c r="F345" s="309"/>
      <c r="G345" s="310">
        <f t="shared" si="120"/>
        <v>0</v>
      </c>
      <c r="H345" s="311"/>
      <c r="I345" s="312"/>
      <c r="J345" s="313">
        <f t="shared" si="121"/>
        <v>0</v>
      </c>
      <c r="K345" s="308"/>
      <c r="L345" s="309"/>
      <c r="M345" s="310">
        <f t="shared" si="122"/>
        <v>0</v>
      </c>
      <c r="N345" s="311"/>
      <c r="O345" s="312"/>
      <c r="P345" s="313">
        <f t="shared" si="123"/>
        <v>0</v>
      </c>
      <c r="Q345" s="308"/>
      <c r="R345" s="309"/>
      <c r="S345" s="310">
        <f t="shared" si="124"/>
        <v>0</v>
      </c>
      <c r="T345" s="311"/>
      <c r="U345" s="312"/>
      <c r="V345" s="313">
        <f t="shared" si="125"/>
        <v>0</v>
      </c>
      <c r="W345" s="308"/>
      <c r="X345" s="309"/>
      <c r="Y345" s="310">
        <f t="shared" si="126"/>
        <v>0</v>
      </c>
      <c r="Z345" s="311"/>
      <c r="AA345" s="312"/>
      <c r="AB345" s="313">
        <f t="shared" si="127"/>
        <v>0</v>
      </c>
      <c r="AC345" s="308"/>
      <c r="AD345" s="309"/>
      <c r="AE345" s="310">
        <f t="shared" si="128"/>
        <v>0</v>
      </c>
      <c r="AF345" s="311"/>
      <c r="AG345" s="312"/>
      <c r="AH345" s="313">
        <f t="shared" si="129"/>
        <v>0</v>
      </c>
      <c r="AI345" s="308">
        <v>124</v>
      </c>
      <c r="AJ345" s="309">
        <v>44568</v>
      </c>
      <c r="AK345" s="310">
        <f t="shared" si="130"/>
        <v>5526432</v>
      </c>
      <c r="AL345" s="393">
        <v>125</v>
      </c>
      <c r="AM345" s="394">
        <v>45888</v>
      </c>
      <c r="AN345" s="313">
        <f t="shared" si="131"/>
        <v>5736000</v>
      </c>
      <c r="AO345" s="308"/>
      <c r="AP345" s="309"/>
      <c r="AQ345" s="310">
        <f t="shared" si="132"/>
        <v>0</v>
      </c>
      <c r="AR345" s="311"/>
      <c r="AS345" s="312"/>
      <c r="AT345" s="313">
        <f t="shared" si="133"/>
        <v>0</v>
      </c>
      <c r="AU345" s="308"/>
      <c r="AV345" s="309"/>
      <c r="AW345" s="310">
        <f t="shared" si="134"/>
        <v>0</v>
      </c>
      <c r="AX345" s="311"/>
      <c r="AY345" s="312"/>
      <c r="AZ345" s="313">
        <f t="shared" si="135"/>
        <v>0</v>
      </c>
      <c r="BA345" s="308"/>
      <c r="BB345" s="309"/>
      <c r="BC345" s="310">
        <f t="shared" si="136"/>
        <v>0</v>
      </c>
      <c r="BD345" s="311"/>
      <c r="BE345" s="312"/>
      <c r="BF345" s="313">
        <f t="shared" si="137"/>
        <v>0</v>
      </c>
      <c r="BG345" s="308"/>
      <c r="BH345" s="309"/>
      <c r="BI345" s="310">
        <f t="shared" si="138"/>
        <v>0</v>
      </c>
      <c r="BJ345" s="311"/>
      <c r="BK345" s="312"/>
      <c r="BL345" s="313">
        <f t="shared" si="139"/>
        <v>0</v>
      </c>
      <c r="BM345" s="308"/>
      <c r="BN345" s="309"/>
      <c r="BO345" s="310">
        <f t="shared" si="140"/>
        <v>0</v>
      </c>
      <c r="BP345" s="311"/>
      <c r="BQ345" s="312"/>
      <c r="BR345" s="313">
        <f t="shared" si="141"/>
        <v>0</v>
      </c>
      <c r="BS345" s="308"/>
      <c r="BT345" s="309"/>
      <c r="BU345" s="310">
        <f t="shared" si="142"/>
        <v>0</v>
      </c>
      <c r="BV345" s="311"/>
      <c r="BW345" s="312"/>
      <c r="BX345" s="313">
        <f t="shared" si="143"/>
        <v>0</v>
      </c>
    </row>
    <row r="346" spans="1:76">
      <c r="A346" s="304" t="s">
        <v>445</v>
      </c>
      <c r="B346" s="332" t="s">
        <v>276</v>
      </c>
      <c r="C346" s="304">
        <v>198251</v>
      </c>
      <c r="D346" s="307">
        <v>8</v>
      </c>
      <c r="E346" s="308"/>
      <c r="F346" s="309"/>
      <c r="G346" s="310">
        <f t="shared" si="120"/>
        <v>0</v>
      </c>
      <c r="H346" s="311"/>
      <c r="I346" s="312"/>
      <c r="J346" s="313">
        <f t="shared" si="121"/>
        <v>0</v>
      </c>
      <c r="K346" s="308"/>
      <c r="L346" s="309"/>
      <c r="M346" s="310">
        <f t="shared" si="122"/>
        <v>0</v>
      </c>
      <c r="N346" s="311"/>
      <c r="O346" s="312"/>
      <c r="P346" s="313">
        <f t="shared" si="123"/>
        <v>0</v>
      </c>
      <c r="Q346" s="308"/>
      <c r="R346" s="309"/>
      <c r="S346" s="310">
        <f t="shared" si="124"/>
        <v>0</v>
      </c>
      <c r="T346" s="311"/>
      <c r="U346" s="312"/>
      <c r="V346" s="313">
        <f t="shared" si="125"/>
        <v>0</v>
      </c>
      <c r="W346" s="308"/>
      <c r="X346" s="309"/>
      <c r="Y346" s="310">
        <f t="shared" si="126"/>
        <v>0</v>
      </c>
      <c r="Z346" s="311"/>
      <c r="AA346" s="312"/>
      <c r="AB346" s="313">
        <f t="shared" si="127"/>
        <v>0</v>
      </c>
      <c r="AC346" s="308"/>
      <c r="AD346" s="309"/>
      <c r="AE346" s="310">
        <f t="shared" si="128"/>
        <v>0</v>
      </c>
      <c r="AF346" s="311"/>
      <c r="AG346" s="312"/>
      <c r="AH346" s="313">
        <f t="shared" si="129"/>
        <v>0</v>
      </c>
      <c r="AI346" s="308">
        <v>140</v>
      </c>
      <c r="AJ346" s="309">
        <v>42644</v>
      </c>
      <c r="AK346" s="310">
        <f t="shared" si="130"/>
        <v>5970160</v>
      </c>
      <c r="AL346" s="393">
        <v>146</v>
      </c>
      <c r="AM346" s="394">
        <v>42833</v>
      </c>
      <c r="AN346" s="313">
        <f t="shared" si="131"/>
        <v>6253618</v>
      </c>
      <c r="AO346" s="308"/>
      <c r="AP346" s="309"/>
      <c r="AQ346" s="310">
        <f t="shared" si="132"/>
        <v>0</v>
      </c>
      <c r="AR346" s="311"/>
      <c r="AS346" s="312"/>
      <c r="AT346" s="313">
        <f t="shared" si="133"/>
        <v>0</v>
      </c>
      <c r="AU346" s="308"/>
      <c r="AV346" s="309"/>
      <c r="AW346" s="310">
        <f t="shared" si="134"/>
        <v>0</v>
      </c>
      <c r="AX346" s="311"/>
      <c r="AY346" s="312"/>
      <c r="AZ346" s="313">
        <f t="shared" si="135"/>
        <v>0</v>
      </c>
      <c r="BA346" s="308"/>
      <c r="BB346" s="309"/>
      <c r="BC346" s="310">
        <f t="shared" si="136"/>
        <v>0</v>
      </c>
      <c r="BD346" s="311"/>
      <c r="BE346" s="312"/>
      <c r="BF346" s="313">
        <f t="shared" si="137"/>
        <v>0</v>
      </c>
      <c r="BG346" s="308"/>
      <c r="BH346" s="309"/>
      <c r="BI346" s="310">
        <f t="shared" si="138"/>
        <v>0</v>
      </c>
      <c r="BJ346" s="311"/>
      <c r="BK346" s="312"/>
      <c r="BL346" s="313">
        <f t="shared" si="139"/>
        <v>0</v>
      </c>
      <c r="BM346" s="308"/>
      <c r="BN346" s="309"/>
      <c r="BO346" s="310">
        <f t="shared" si="140"/>
        <v>0</v>
      </c>
      <c r="BP346" s="311"/>
      <c r="BQ346" s="312"/>
      <c r="BR346" s="313">
        <f t="shared" si="141"/>
        <v>0</v>
      </c>
      <c r="BS346" s="308"/>
      <c r="BT346" s="309"/>
      <c r="BU346" s="310">
        <f t="shared" si="142"/>
        <v>0</v>
      </c>
      <c r="BV346" s="311"/>
      <c r="BW346" s="312"/>
      <c r="BX346" s="313">
        <f t="shared" si="143"/>
        <v>0</v>
      </c>
    </row>
    <row r="347" spans="1:76">
      <c r="A347" s="304" t="s">
        <v>445</v>
      </c>
      <c r="B347" s="332" t="s">
        <v>277</v>
      </c>
      <c r="C347" s="304">
        <v>198260</v>
      </c>
      <c r="D347" s="307">
        <v>8</v>
      </c>
      <c r="E347" s="308"/>
      <c r="F347" s="309"/>
      <c r="G347" s="310">
        <f t="shared" si="120"/>
        <v>0</v>
      </c>
      <c r="H347" s="311"/>
      <c r="I347" s="312"/>
      <c r="J347" s="313">
        <f t="shared" si="121"/>
        <v>0</v>
      </c>
      <c r="K347" s="308"/>
      <c r="L347" s="309"/>
      <c r="M347" s="310">
        <f t="shared" si="122"/>
        <v>0</v>
      </c>
      <c r="N347" s="311"/>
      <c r="O347" s="312"/>
      <c r="P347" s="313">
        <f t="shared" si="123"/>
        <v>0</v>
      </c>
      <c r="Q347" s="308"/>
      <c r="R347" s="309"/>
      <c r="S347" s="310">
        <f t="shared" si="124"/>
        <v>0</v>
      </c>
      <c r="T347" s="311"/>
      <c r="U347" s="312"/>
      <c r="V347" s="313">
        <f t="shared" si="125"/>
        <v>0</v>
      </c>
      <c r="W347" s="308"/>
      <c r="X347" s="309"/>
      <c r="Y347" s="310">
        <f t="shared" si="126"/>
        <v>0</v>
      </c>
      <c r="Z347" s="311"/>
      <c r="AA347" s="312"/>
      <c r="AB347" s="313">
        <f t="shared" si="127"/>
        <v>0</v>
      </c>
      <c r="AC347" s="308"/>
      <c r="AD347" s="309"/>
      <c r="AE347" s="310">
        <f t="shared" si="128"/>
        <v>0</v>
      </c>
      <c r="AF347" s="311"/>
      <c r="AG347" s="312"/>
      <c r="AH347" s="313">
        <f t="shared" si="129"/>
        <v>0</v>
      </c>
      <c r="AI347" s="308">
        <v>286</v>
      </c>
      <c r="AJ347" s="309">
        <v>51883</v>
      </c>
      <c r="AK347" s="310">
        <f t="shared" si="130"/>
        <v>14838538</v>
      </c>
      <c r="AL347" s="393">
        <v>304</v>
      </c>
      <c r="AM347" s="394">
        <v>53118</v>
      </c>
      <c r="AN347" s="313">
        <f t="shared" si="131"/>
        <v>16147872</v>
      </c>
      <c r="AO347" s="308"/>
      <c r="AP347" s="309"/>
      <c r="AQ347" s="310">
        <f t="shared" si="132"/>
        <v>0</v>
      </c>
      <c r="AR347" s="311"/>
      <c r="AS347" s="312"/>
      <c r="AT347" s="313">
        <f t="shared" si="133"/>
        <v>0</v>
      </c>
      <c r="AU347" s="308"/>
      <c r="AV347" s="309"/>
      <c r="AW347" s="310">
        <f t="shared" si="134"/>
        <v>0</v>
      </c>
      <c r="AX347" s="311"/>
      <c r="AY347" s="312"/>
      <c r="AZ347" s="313">
        <f t="shared" si="135"/>
        <v>0</v>
      </c>
      <c r="BA347" s="308"/>
      <c r="BB347" s="309"/>
      <c r="BC347" s="310">
        <f t="shared" si="136"/>
        <v>0</v>
      </c>
      <c r="BD347" s="311"/>
      <c r="BE347" s="312"/>
      <c r="BF347" s="313">
        <f t="shared" si="137"/>
        <v>0</v>
      </c>
      <c r="BG347" s="308"/>
      <c r="BH347" s="309"/>
      <c r="BI347" s="310">
        <f t="shared" si="138"/>
        <v>0</v>
      </c>
      <c r="BJ347" s="311"/>
      <c r="BK347" s="312"/>
      <c r="BL347" s="313">
        <f t="shared" si="139"/>
        <v>0</v>
      </c>
      <c r="BM347" s="308"/>
      <c r="BN347" s="309"/>
      <c r="BO347" s="310">
        <f t="shared" si="140"/>
        <v>0</v>
      </c>
      <c r="BP347" s="311"/>
      <c r="BQ347" s="312"/>
      <c r="BR347" s="313">
        <f t="shared" si="141"/>
        <v>0</v>
      </c>
      <c r="BS347" s="308"/>
      <c r="BT347" s="309"/>
      <c r="BU347" s="310">
        <f t="shared" si="142"/>
        <v>0</v>
      </c>
      <c r="BV347" s="311"/>
      <c r="BW347" s="312"/>
      <c r="BX347" s="313">
        <f t="shared" si="143"/>
        <v>0</v>
      </c>
    </row>
    <row r="348" spans="1:76">
      <c r="A348" s="304" t="s">
        <v>445</v>
      </c>
      <c r="B348" s="332" t="s">
        <v>292</v>
      </c>
      <c r="C348" s="304">
        <v>198455</v>
      </c>
      <c r="D348" s="307">
        <v>8</v>
      </c>
      <c r="E348" s="308"/>
      <c r="F348" s="309"/>
      <c r="G348" s="310">
        <f t="shared" si="120"/>
        <v>0</v>
      </c>
      <c r="H348" s="311"/>
      <c r="I348" s="312"/>
      <c r="J348" s="313">
        <f t="shared" si="121"/>
        <v>0</v>
      </c>
      <c r="K348" s="308"/>
      <c r="L348" s="309"/>
      <c r="M348" s="310">
        <f t="shared" si="122"/>
        <v>0</v>
      </c>
      <c r="N348" s="311"/>
      <c r="O348" s="312"/>
      <c r="P348" s="313">
        <f t="shared" si="123"/>
        <v>0</v>
      </c>
      <c r="Q348" s="308"/>
      <c r="R348" s="309"/>
      <c r="S348" s="310">
        <f t="shared" si="124"/>
        <v>0</v>
      </c>
      <c r="T348" s="311"/>
      <c r="U348" s="312"/>
      <c r="V348" s="313">
        <f t="shared" si="125"/>
        <v>0</v>
      </c>
      <c r="W348" s="308"/>
      <c r="X348" s="309"/>
      <c r="Y348" s="310">
        <f t="shared" si="126"/>
        <v>0</v>
      </c>
      <c r="Z348" s="311"/>
      <c r="AA348" s="312"/>
      <c r="AB348" s="313">
        <f t="shared" si="127"/>
        <v>0</v>
      </c>
      <c r="AC348" s="308"/>
      <c r="AD348" s="309"/>
      <c r="AE348" s="310">
        <f t="shared" si="128"/>
        <v>0</v>
      </c>
      <c r="AF348" s="311"/>
      <c r="AG348" s="312"/>
      <c r="AH348" s="313">
        <f t="shared" si="129"/>
        <v>0</v>
      </c>
      <c r="AI348" s="308">
        <v>146</v>
      </c>
      <c r="AJ348" s="309">
        <v>49925</v>
      </c>
      <c r="AK348" s="310">
        <f t="shared" si="130"/>
        <v>7289050</v>
      </c>
      <c r="AL348" s="393">
        <v>142</v>
      </c>
      <c r="AM348" s="394">
        <v>51128</v>
      </c>
      <c r="AN348" s="313">
        <f t="shared" si="131"/>
        <v>7260176</v>
      </c>
      <c r="AO348" s="308"/>
      <c r="AP348" s="309"/>
      <c r="AQ348" s="310">
        <f t="shared" si="132"/>
        <v>0</v>
      </c>
      <c r="AR348" s="311"/>
      <c r="AS348" s="312"/>
      <c r="AT348" s="313">
        <f t="shared" si="133"/>
        <v>0</v>
      </c>
      <c r="AU348" s="308"/>
      <c r="AV348" s="309"/>
      <c r="AW348" s="310">
        <f t="shared" si="134"/>
        <v>0</v>
      </c>
      <c r="AX348" s="311"/>
      <c r="AY348" s="312"/>
      <c r="AZ348" s="313">
        <f t="shared" si="135"/>
        <v>0</v>
      </c>
      <c r="BA348" s="308"/>
      <c r="BB348" s="309"/>
      <c r="BC348" s="310">
        <f t="shared" si="136"/>
        <v>0</v>
      </c>
      <c r="BD348" s="311"/>
      <c r="BE348" s="312"/>
      <c r="BF348" s="313">
        <f t="shared" si="137"/>
        <v>0</v>
      </c>
      <c r="BG348" s="308"/>
      <c r="BH348" s="309"/>
      <c r="BI348" s="310">
        <f t="shared" si="138"/>
        <v>0</v>
      </c>
      <c r="BJ348" s="311"/>
      <c r="BK348" s="312"/>
      <c r="BL348" s="313">
        <f t="shared" si="139"/>
        <v>0</v>
      </c>
      <c r="BM348" s="308"/>
      <c r="BN348" s="309"/>
      <c r="BO348" s="310">
        <f t="shared" si="140"/>
        <v>0</v>
      </c>
      <c r="BP348" s="311"/>
      <c r="BQ348" s="312"/>
      <c r="BR348" s="313">
        <f t="shared" si="141"/>
        <v>0</v>
      </c>
      <c r="BS348" s="308"/>
      <c r="BT348" s="309"/>
      <c r="BU348" s="310">
        <f t="shared" si="142"/>
        <v>0</v>
      </c>
      <c r="BV348" s="311"/>
      <c r="BW348" s="312"/>
      <c r="BX348" s="313">
        <f t="shared" si="143"/>
        <v>0</v>
      </c>
    </row>
    <row r="349" spans="1:76">
      <c r="A349" s="304" t="s">
        <v>445</v>
      </c>
      <c r="B349" s="332" t="s">
        <v>278</v>
      </c>
      <c r="C349" s="304">
        <v>198534</v>
      </c>
      <c r="D349" s="307">
        <v>8</v>
      </c>
      <c r="E349" s="308"/>
      <c r="F349" s="309"/>
      <c r="G349" s="310">
        <f t="shared" si="120"/>
        <v>0</v>
      </c>
      <c r="H349" s="311"/>
      <c r="I349" s="312"/>
      <c r="J349" s="313">
        <f t="shared" si="121"/>
        <v>0</v>
      </c>
      <c r="K349" s="308"/>
      <c r="L349" s="309"/>
      <c r="M349" s="310">
        <f t="shared" si="122"/>
        <v>0</v>
      </c>
      <c r="N349" s="311"/>
      <c r="O349" s="312"/>
      <c r="P349" s="313">
        <f t="shared" si="123"/>
        <v>0</v>
      </c>
      <c r="Q349" s="308"/>
      <c r="R349" s="309"/>
      <c r="S349" s="310">
        <f t="shared" si="124"/>
        <v>0</v>
      </c>
      <c r="T349" s="311"/>
      <c r="U349" s="312"/>
      <c r="V349" s="313">
        <f t="shared" si="125"/>
        <v>0</v>
      </c>
      <c r="W349" s="308"/>
      <c r="X349" s="309"/>
      <c r="Y349" s="310">
        <f t="shared" si="126"/>
        <v>0</v>
      </c>
      <c r="Z349" s="311"/>
      <c r="AA349" s="312"/>
      <c r="AB349" s="313">
        <f t="shared" si="127"/>
        <v>0</v>
      </c>
      <c r="AC349" s="308"/>
      <c r="AD349" s="309"/>
      <c r="AE349" s="310">
        <f t="shared" si="128"/>
        <v>0</v>
      </c>
      <c r="AF349" s="311"/>
      <c r="AG349" s="312"/>
      <c r="AH349" s="313">
        <f t="shared" si="129"/>
        <v>0</v>
      </c>
      <c r="AI349" s="308">
        <v>249</v>
      </c>
      <c r="AJ349" s="309">
        <v>47564</v>
      </c>
      <c r="AK349" s="310">
        <f t="shared" si="130"/>
        <v>11843436</v>
      </c>
      <c r="AL349" s="393">
        <v>247</v>
      </c>
      <c r="AM349" s="394">
        <v>48535</v>
      </c>
      <c r="AN349" s="313">
        <f t="shared" si="131"/>
        <v>11988145</v>
      </c>
      <c r="AO349" s="308"/>
      <c r="AP349" s="309"/>
      <c r="AQ349" s="310">
        <f t="shared" si="132"/>
        <v>0</v>
      </c>
      <c r="AR349" s="311"/>
      <c r="AS349" s="312"/>
      <c r="AT349" s="313">
        <f t="shared" si="133"/>
        <v>0</v>
      </c>
      <c r="AU349" s="308"/>
      <c r="AV349" s="309"/>
      <c r="AW349" s="310">
        <f t="shared" si="134"/>
        <v>0</v>
      </c>
      <c r="AX349" s="311"/>
      <c r="AY349" s="312"/>
      <c r="AZ349" s="313">
        <f t="shared" si="135"/>
        <v>0</v>
      </c>
      <c r="BA349" s="308"/>
      <c r="BB349" s="309"/>
      <c r="BC349" s="310">
        <f t="shared" si="136"/>
        <v>0</v>
      </c>
      <c r="BD349" s="311"/>
      <c r="BE349" s="312"/>
      <c r="BF349" s="313">
        <f t="shared" si="137"/>
        <v>0</v>
      </c>
      <c r="BG349" s="308"/>
      <c r="BH349" s="309"/>
      <c r="BI349" s="310">
        <f t="shared" si="138"/>
        <v>0</v>
      </c>
      <c r="BJ349" s="311"/>
      <c r="BK349" s="312"/>
      <c r="BL349" s="313">
        <f t="shared" si="139"/>
        <v>0</v>
      </c>
      <c r="BM349" s="308"/>
      <c r="BN349" s="309"/>
      <c r="BO349" s="310">
        <f t="shared" si="140"/>
        <v>0</v>
      </c>
      <c r="BP349" s="311"/>
      <c r="BQ349" s="312"/>
      <c r="BR349" s="313">
        <f t="shared" si="141"/>
        <v>0</v>
      </c>
      <c r="BS349" s="308"/>
      <c r="BT349" s="309"/>
      <c r="BU349" s="310">
        <f t="shared" si="142"/>
        <v>0</v>
      </c>
      <c r="BV349" s="311"/>
      <c r="BW349" s="312"/>
      <c r="BX349" s="313">
        <f t="shared" si="143"/>
        <v>0</v>
      </c>
    </row>
    <row r="350" spans="1:76">
      <c r="A350" s="304" t="s">
        <v>445</v>
      </c>
      <c r="B350" s="332" t="s">
        <v>279</v>
      </c>
      <c r="C350" s="304">
        <v>198552</v>
      </c>
      <c r="D350" s="307">
        <v>8</v>
      </c>
      <c r="E350" s="308"/>
      <c r="F350" s="309"/>
      <c r="G350" s="310">
        <f t="shared" si="120"/>
        <v>0</v>
      </c>
      <c r="H350" s="311"/>
      <c r="I350" s="312"/>
      <c r="J350" s="313">
        <f t="shared" si="121"/>
        <v>0</v>
      </c>
      <c r="K350" s="308"/>
      <c r="L350" s="309"/>
      <c r="M350" s="310">
        <f t="shared" si="122"/>
        <v>0</v>
      </c>
      <c r="N350" s="311"/>
      <c r="O350" s="312"/>
      <c r="P350" s="313">
        <f t="shared" si="123"/>
        <v>0</v>
      </c>
      <c r="Q350" s="308"/>
      <c r="R350" s="309"/>
      <c r="S350" s="310">
        <f t="shared" si="124"/>
        <v>0</v>
      </c>
      <c r="T350" s="311"/>
      <c r="U350" s="312"/>
      <c r="V350" s="313">
        <f t="shared" si="125"/>
        <v>0</v>
      </c>
      <c r="W350" s="308"/>
      <c r="X350" s="309"/>
      <c r="Y350" s="310">
        <f t="shared" si="126"/>
        <v>0</v>
      </c>
      <c r="Z350" s="311"/>
      <c r="AA350" s="312"/>
      <c r="AB350" s="313">
        <f t="shared" si="127"/>
        <v>0</v>
      </c>
      <c r="AC350" s="308"/>
      <c r="AD350" s="309"/>
      <c r="AE350" s="310">
        <f t="shared" si="128"/>
        <v>0</v>
      </c>
      <c r="AF350" s="311"/>
      <c r="AG350" s="312"/>
      <c r="AH350" s="313">
        <f t="shared" si="129"/>
        <v>0</v>
      </c>
      <c r="AI350" s="308">
        <v>175</v>
      </c>
      <c r="AJ350" s="309">
        <v>43122</v>
      </c>
      <c r="AK350" s="310">
        <f t="shared" si="130"/>
        <v>7546350</v>
      </c>
      <c r="AL350" s="393">
        <v>176</v>
      </c>
      <c r="AM350" s="394">
        <v>44290</v>
      </c>
      <c r="AN350" s="313">
        <f t="shared" si="131"/>
        <v>7795040</v>
      </c>
      <c r="AO350" s="308"/>
      <c r="AP350" s="309"/>
      <c r="AQ350" s="310">
        <f t="shared" si="132"/>
        <v>0</v>
      </c>
      <c r="AR350" s="311"/>
      <c r="AS350" s="312"/>
      <c r="AT350" s="313">
        <f t="shared" si="133"/>
        <v>0</v>
      </c>
      <c r="AU350" s="308"/>
      <c r="AV350" s="309"/>
      <c r="AW350" s="310">
        <f t="shared" si="134"/>
        <v>0</v>
      </c>
      <c r="AX350" s="311"/>
      <c r="AY350" s="312"/>
      <c r="AZ350" s="313">
        <f t="shared" si="135"/>
        <v>0</v>
      </c>
      <c r="BA350" s="308"/>
      <c r="BB350" s="309"/>
      <c r="BC350" s="310">
        <f t="shared" si="136"/>
        <v>0</v>
      </c>
      <c r="BD350" s="311"/>
      <c r="BE350" s="312"/>
      <c r="BF350" s="313">
        <f t="shared" si="137"/>
        <v>0</v>
      </c>
      <c r="BG350" s="308"/>
      <c r="BH350" s="309"/>
      <c r="BI350" s="310">
        <f t="shared" si="138"/>
        <v>0</v>
      </c>
      <c r="BJ350" s="311"/>
      <c r="BK350" s="312"/>
      <c r="BL350" s="313">
        <f t="shared" si="139"/>
        <v>0</v>
      </c>
      <c r="BM350" s="308"/>
      <c r="BN350" s="309"/>
      <c r="BO350" s="310">
        <f t="shared" si="140"/>
        <v>0</v>
      </c>
      <c r="BP350" s="311"/>
      <c r="BQ350" s="312"/>
      <c r="BR350" s="313">
        <f t="shared" si="141"/>
        <v>0</v>
      </c>
      <c r="BS350" s="308"/>
      <c r="BT350" s="309"/>
      <c r="BU350" s="310">
        <f t="shared" si="142"/>
        <v>0</v>
      </c>
      <c r="BV350" s="311"/>
      <c r="BW350" s="312"/>
      <c r="BX350" s="313">
        <f t="shared" si="143"/>
        <v>0</v>
      </c>
    </row>
    <row r="351" spans="1:76">
      <c r="A351" s="304" t="s">
        <v>445</v>
      </c>
      <c r="B351" s="332" t="s">
        <v>280</v>
      </c>
      <c r="C351" s="304">
        <v>198622</v>
      </c>
      <c r="D351" s="307">
        <v>8</v>
      </c>
      <c r="E351" s="308"/>
      <c r="F351" s="309"/>
      <c r="G351" s="310">
        <f t="shared" si="120"/>
        <v>0</v>
      </c>
      <c r="H351" s="311"/>
      <c r="I351" s="312"/>
      <c r="J351" s="313">
        <f t="shared" si="121"/>
        <v>0</v>
      </c>
      <c r="K351" s="308"/>
      <c r="L351" s="309"/>
      <c r="M351" s="310">
        <f t="shared" si="122"/>
        <v>0</v>
      </c>
      <c r="N351" s="311"/>
      <c r="O351" s="312"/>
      <c r="P351" s="313">
        <f t="shared" si="123"/>
        <v>0</v>
      </c>
      <c r="Q351" s="308"/>
      <c r="R351" s="309"/>
      <c r="S351" s="310">
        <f t="shared" si="124"/>
        <v>0</v>
      </c>
      <c r="T351" s="311"/>
      <c r="U351" s="312"/>
      <c r="V351" s="313">
        <f t="shared" si="125"/>
        <v>0</v>
      </c>
      <c r="W351" s="308"/>
      <c r="X351" s="309"/>
      <c r="Y351" s="310">
        <f t="shared" si="126"/>
        <v>0</v>
      </c>
      <c r="Z351" s="311"/>
      <c r="AA351" s="312"/>
      <c r="AB351" s="313">
        <f t="shared" si="127"/>
        <v>0</v>
      </c>
      <c r="AC351" s="308"/>
      <c r="AD351" s="309"/>
      <c r="AE351" s="310">
        <f t="shared" si="128"/>
        <v>0</v>
      </c>
      <c r="AF351" s="311"/>
      <c r="AG351" s="312"/>
      <c r="AH351" s="313">
        <f t="shared" si="129"/>
        <v>0</v>
      </c>
      <c r="AI351" s="308">
        <v>251</v>
      </c>
      <c r="AJ351" s="309">
        <v>50260</v>
      </c>
      <c r="AK351" s="310">
        <f t="shared" si="130"/>
        <v>12615260</v>
      </c>
      <c r="AL351" s="393">
        <v>264</v>
      </c>
      <c r="AM351" s="394">
        <v>52900</v>
      </c>
      <c r="AN351" s="313">
        <f t="shared" si="131"/>
        <v>13965600</v>
      </c>
      <c r="AO351" s="308"/>
      <c r="AP351" s="309"/>
      <c r="AQ351" s="310">
        <f t="shared" si="132"/>
        <v>0</v>
      </c>
      <c r="AR351" s="311"/>
      <c r="AS351" s="312"/>
      <c r="AT351" s="313">
        <f t="shared" si="133"/>
        <v>0</v>
      </c>
      <c r="AU351" s="308"/>
      <c r="AV351" s="309"/>
      <c r="AW351" s="310">
        <f t="shared" si="134"/>
        <v>0</v>
      </c>
      <c r="AX351" s="311"/>
      <c r="AY351" s="312"/>
      <c r="AZ351" s="313">
        <f t="shared" si="135"/>
        <v>0</v>
      </c>
      <c r="BA351" s="308"/>
      <c r="BB351" s="309"/>
      <c r="BC351" s="310">
        <f t="shared" si="136"/>
        <v>0</v>
      </c>
      <c r="BD351" s="311"/>
      <c r="BE351" s="312"/>
      <c r="BF351" s="313">
        <f t="shared" si="137"/>
        <v>0</v>
      </c>
      <c r="BG351" s="308"/>
      <c r="BH351" s="309"/>
      <c r="BI351" s="310">
        <f t="shared" si="138"/>
        <v>0</v>
      </c>
      <c r="BJ351" s="311"/>
      <c r="BK351" s="312"/>
      <c r="BL351" s="313">
        <f t="shared" si="139"/>
        <v>0</v>
      </c>
      <c r="BM351" s="308"/>
      <c r="BN351" s="309"/>
      <c r="BO351" s="310">
        <f t="shared" si="140"/>
        <v>0</v>
      </c>
      <c r="BP351" s="311"/>
      <c r="BQ351" s="312"/>
      <c r="BR351" s="313">
        <f t="shared" si="141"/>
        <v>0</v>
      </c>
      <c r="BS351" s="308"/>
      <c r="BT351" s="309"/>
      <c r="BU351" s="310">
        <f t="shared" si="142"/>
        <v>0</v>
      </c>
      <c r="BV351" s="311"/>
      <c r="BW351" s="312"/>
      <c r="BX351" s="313">
        <f t="shared" si="143"/>
        <v>0</v>
      </c>
    </row>
    <row r="352" spans="1:76">
      <c r="A352" s="304" t="s">
        <v>445</v>
      </c>
      <c r="B352" s="332" t="s">
        <v>281</v>
      </c>
      <c r="C352" s="304">
        <v>199333</v>
      </c>
      <c r="D352" s="307">
        <v>8</v>
      </c>
      <c r="E352" s="308"/>
      <c r="F352" s="309"/>
      <c r="G352" s="310">
        <f t="shared" si="120"/>
        <v>0</v>
      </c>
      <c r="H352" s="311"/>
      <c r="I352" s="312"/>
      <c r="J352" s="313">
        <f t="shared" si="121"/>
        <v>0</v>
      </c>
      <c r="K352" s="308"/>
      <c r="L352" s="309"/>
      <c r="M352" s="310">
        <f t="shared" si="122"/>
        <v>0</v>
      </c>
      <c r="N352" s="311"/>
      <c r="O352" s="312"/>
      <c r="P352" s="313">
        <f t="shared" si="123"/>
        <v>0</v>
      </c>
      <c r="Q352" s="308"/>
      <c r="R352" s="309"/>
      <c r="S352" s="310">
        <f t="shared" si="124"/>
        <v>0</v>
      </c>
      <c r="T352" s="311"/>
      <c r="U352" s="312"/>
      <c r="V352" s="313">
        <f t="shared" si="125"/>
        <v>0</v>
      </c>
      <c r="W352" s="308"/>
      <c r="X352" s="309"/>
      <c r="Y352" s="310">
        <f t="shared" si="126"/>
        <v>0</v>
      </c>
      <c r="Z352" s="311"/>
      <c r="AA352" s="312"/>
      <c r="AB352" s="313">
        <f t="shared" si="127"/>
        <v>0</v>
      </c>
      <c r="AC352" s="308"/>
      <c r="AD352" s="309"/>
      <c r="AE352" s="310">
        <f t="shared" si="128"/>
        <v>0</v>
      </c>
      <c r="AF352" s="311"/>
      <c r="AG352" s="312"/>
      <c r="AH352" s="313">
        <f t="shared" si="129"/>
        <v>0</v>
      </c>
      <c r="AI352" s="308">
        <v>172</v>
      </c>
      <c r="AJ352" s="309">
        <v>47032</v>
      </c>
      <c r="AK352" s="310">
        <f t="shared" si="130"/>
        <v>8089504</v>
      </c>
      <c r="AL352" s="393">
        <v>182</v>
      </c>
      <c r="AM352" s="394">
        <v>47777</v>
      </c>
      <c r="AN352" s="313">
        <f t="shared" si="131"/>
        <v>8695414</v>
      </c>
      <c r="AO352" s="308"/>
      <c r="AP352" s="309"/>
      <c r="AQ352" s="310">
        <f t="shared" si="132"/>
        <v>0</v>
      </c>
      <c r="AR352" s="311"/>
      <c r="AS352" s="312"/>
      <c r="AT352" s="313">
        <f t="shared" si="133"/>
        <v>0</v>
      </c>
      <c r="AU352" s="308"/>
      <c r="AV352" s="309"/>
      <c r="AW352" s="310">
        <f t="shared" si="134"/>
        <v>0</v>
      </c>
      <c r="AX352" s="311"/>
      <c r="AY352" s="312"/>
      <c r="AZ352" s="313">
        <f t="shared" si="135"/>
        <v>0</v>
      </c>
      <c r="BA352" s="308"/>
      <c r="BB352" s="309"/>
      <c r="BC352" s="310">
        <f t="shared" si="136"/>
        <v>0</v>
      </c>
      <c r="BD352" s="311"/>
      <c r="BE352" s="312"/>
      <c r="BF352" s="313">
        <f t="shared" si="137"/>
        <v>0</v>
      </c>
      <c r="BG352" s="308"/>
      <c r="BH352" s="309"/>
      <c r="BI352" s="310">
        <f t="shared" si="138"/>
        <v>0</v>
      </c>
      <c r="BJ352" s="311"/>
      <c r="BK352" s="312"/>
      <c r="BL352" s="313">
        <f t="shared" si="139"/>
        <v>0</v>
      </c>
      <c r="BM352" s="308"/>
      <c r="BN352" s="309"/>
      <c r="BO352" s="310">
        <f t="shared" si="140"/>
        <v>0</v>
      </c>
      <c r="BP352" s="311"/>
      <c r="BQ352" s="312"/>
      <c r="BR352" s="313">
        <f t="shared" si="141"/>
        <v>0</v>
      </c>
      <c r="BS352" s="308"/>
      <c r="BT352" s="309"/>
      <c r="BU352" s="310">
        <f t="shared" si="142"/>
        <v>0</v>
      </c>
      <c r="BV352" s="311"/>
      <c r="BW352" s="312"/>
      <c r="BX352" s="313">
        <f t="shared" si="143"/>
        <v>0</v>
      </c>
    </row>
    <row r="353" spans="1:76">
      <c r="A353" s="304" t="s">
        <v>445</v>
      </c>
      <c r="B353" s="332" t="s">
        <v>306</v>
      </c>
      <c r="C353" s="304">
        <v>199494</v>
      </c>
      <c r="D353" s="307">
        <v>8</v>
      </c>
      <c r="E353" s="308"/>
      <c r="F353" s="309"/>
      <c r="G353" s="310">
        <f t="shared" si="120"/>
        <v>0</v>
      </c>
      <c r="H353" s="311"/>
      <c r="I353" s="312"/>
      <c r="J353" s="313">
        <f t="shared" si="121"/>
        <v>0</v>
      </c>
      <c r="K353" s="308"/>
      <c r="L353" s="309"/>
      <c r="M353" s="310">
        <f t="shared" si="122"/>
        <v>0</v>
      </c>
      <c r="N353" s="311"/>
      <c r="O353" s="312"/>
      <c r="P353" s="313">
        <f t="shared" si="123"/>
        <v>0</v>
      </c>
      <c r="Q353" s="308"/>
      <c r="R353" s="309"/>
      <c r="S353" s="310">
        <f t="shared" si="124"/>
        <v>0</v>
      </c>
      <c r="T353" s="311"/>
      <c r="U353" s="312"/>
      <c r="V353" s="313">
        <f t="shared" si="125"/>
        <v>0</v>
      </c>
      <c r="W353" s="308"/>
      <c r="X353" s="309"/>
      <c r="Y353" s="310">
        <f t="shared" si="126"/>
        <v>0</v>
      </c>
      <c r="Z353" s="311"/>
      <c r="AA353" s="312"/>
      <c r="AB353" s="313">
        <f t="shared" si="127"/>
        <v>0</v>
      </c>
      <c r="AC353" s="308"/>
      <c r="AD353" s="309"/>
      <c r="AE353" s="310">
        <f t="shared" si="128"/>
        <v>0</v>
      </c>
      <c r="AF353" s="311"/>
      <c r="AG353" s="312"/>
      <c r="AH353" s="313">
        <f t="shared" si="129"/>
        <v>0</v>
      </c>
      <c r="AI353" s="308">
        <v>137</v>
      </c>
      <c r="AJ353" s="309">
        <v>48785</v>
      </c>
      <c r="AK353" s="310">
        <f t="shared" si="130"/>
        <v>6683545</v>
      </c>
      <c r="AL353" s="393">
        <v>138</v>
      </c>
      <c r="AM353" s="394">
        <v>49505</v>
      </c>
      <c r="AN353" s="313">
        <f t="shared" si="131"/>
        <v>6831690</v>
      </c>
      <c r="AO353" s="308"/>
      <c r="AP353" s="309"/>
      <c r="AQ353" s="310">
        <f t="shared" si="132"/>
        <v>0</v>
      </c>
      <c r="AR353" s="311"/>
      <c r="AS353" s="312"/>
      <c r="AT353" s="313">
        <f t="shared" si="133"/>
        <v>0</v>
      </c>
      <c r="AU353" s="308"/>
      <c r="AV353" s="309"/>
      <c r="AW353" s="310">
        <f t="shared" si="134"/>
        <v>0</v>
      </c>
      <c r="AX353" s="311"/>
      <c r="AY353" s="312"/>
      <c r="AZ353" s="313">
        <f t="shared" si="135"/>
        <v>0</v>
      </c>
      <c r="BA353" s="308"/>
      <c r="BB353" s="309"/>
      <c r="BC353" s="310">
        <f t="shared" si="136"/>
        <v>0</v>
      </c>
      <c r="BD353" s="311"/>
      <c r="BE353" s="312"/>
      <c r="BF353" s="313">
        <f t="shared" si="137"/>
        <v>0</v>
      </c>
      <c r="BG353" s="308"/>
      <c r="BH353" s="309"/>
      <c r="BI353" s="310">
        <f t="shared" si="138"/>
        <v>0</v>
      </c>
      <c r="BJ353" s="311"/>
      <c r="BK353" s="312"/>
      <c r="BL353" s="313">
        <f t="shared" si="139"/>
        <v>0</v>
      </c>
      <c r="BM353" s="308"/>
      <c r="BN353" s="309"/>
      <c r="BO353" s="310">
        <f t="shared" si="140"/>
        <v>0</v>
      </c>
      <c r="BP353" s="311"/>
      <c r="BQ353" s="312"/>
      <c r="BR353" s="313">
        <f t="shared" si="141"/>
        <v>0</v>
      </c>
      <c r="BS353" s="308"/>
      <c r="BT353" s="309"/>
      <c r="BU353" s="310">
        <f t="shared" si="142"/>
        <v>0</v>
      </c>
      <c r="BV353" s="311"/>
      <c r="BW353" s="312"/>
      <c r="BX353" s="313">
        <f t="shared" si="143"/>
        <v>0</v>
      </c>
    </row>
    <row r="354" spans="1:76">
      <c r="A354" s="304" t="s">
        <v>445</v>
      </c>
      <c r="B354" s="332" t="s">
        <v>282</v>
      </c>
      <c r="C354" s="304">
        <v>199856</v>
      </c>
      <c r="D354" s="307">
        <v>8</v>
      </c>
      <c r="E354" s="308"/>
      <c r="F354" s="309"/>
      <c r="G354" s="310">
        <f t="shared" si="120"/>
        <v>0</v>
      </c>
      <c r="H354" s="311"/>
      <c r="I354" s="312"/>
      <c r="J354" s="313">
        <f t="shared" si="121"/>
        <v>0</v>
      </c>
      <c r="K354" s="308"/>
      <c r="L354" s="309"/>
      <c r="M354" s="310">
        <f t="shared" si="122"/>
        <v>0</v>
      </c>
      <c r="N354" s="311"/>
      <c r="O354" s="312"/>
      <c r="P354" s="313">
        <f t="shared" si="123"/>
        <v>0</v>
      </c>
      <c r="Q354" s="308"/>
      <c r="R354" s="309"/>
      <c r="S354" s="310">
        <f t="shared" si="124"/>
        <v>0</v>
      </c>
      <c r="T354" s="311"/>
      <c r="U354" s="312"/>
      <c r="V354" s="313">
        <f t="shared" si="125"/>
        <v>0</v>
      </c>
      <c r="W354" s="308"/>
      <c r="X354" s="309"/>
      <c r="Y354" s="310">
        <f t="shared" si="126"/>
        <v>0</v>
      </c>
      <c r="Z354" s="311"/>
      <c r="AA354" s="312"/>
      <c r="AB354" s="313">
        <f t="shared" si="127"/>
        <v>0</v>
      </c>
      <c r="AC354" s="308"/>
      <c r="AD354" s="309"/>
      <c r="AE354" s="310">
        <f t="shared" si="128"/>
        <v>0</v>
      </c>
      <c r="AF354" s="311"/>
      <c r="AG354" s="312"/>
      <c r="AH354" s="313">
        <f t="shared" si="129"/>
        <v>0</v>
      </c>
      <c r="AI354" s="308">
        <v>385</v>
      </c>
      <c r="AJ354" s="309">
        <v>43022</v>
      </c>
      <c r="AK354" s="310">
        <f t="shared" si="130"/>
        <v>16563470</v>
      </c>
      <c r="AL354" s="393">
        <v>412</v>
      </c>
      <c r="AM354" s="394">
        <v>44500</v>
      </c>
      <c r="AN354" s="313">
        <f t="shared" si="131"/>
        <v>18334000</v>
      </c>
      <c r="AO354" s="308"/>
      <c r="AP354" s="309"/>
      <c r="AQ354" s="310">
        <f t="shared" si="132"/>
        <v>0</v>
      </c>
      <c r="AR354" s="311"/>
      <c r="AS354" s="312"/>
      <c r="AT354" s="313">
        <f t="shared" si="133"/>
        <v>0</v>
      </c>
      <c r="AU354" s="308"/>
      <c r="AV354" s="309"/>
      <c r="AW354" s="310">
        <f t="shared" si="134"/>
        <v>0</v>
      </c>
      <c r="AX354" s="311"/>
      <c r="AY354" s="312"/>
      <c r="AZ354" s="313">
        <f t="shared" si="135"/>
        <v>0</v>
      </c>
      <c r="BA354" s="308"/>
      <c r="BB354" s="309"/>
      <c r="BC354" s="310">
        <f t="shared" si="136"/>
        <v>0</v>
      </c>
      <c r="BD354" s="311"/>
      <c r="BE354" s="312"/>
      <c r="BF354" s="313">
        <f t="shared" si="137"/>
        <v>0</v>
      </c>
      <c r="BG354" s="308"/>
      <c r="BH354" s="309"/>
      <c r="BI354" s="310">
        <f t="shared" si="138"/>
        <v>0</v>
      </c>
      <c r="BJ354" s="311"/>
      <c r="BK354" s="312"/>
      <c r="BL354" s="313">
        <f t="shared" si="139"/>
        <v>0</v>
      </c>
      <c r="BM354" s="308"/>
      <c r="BN354" s="309"/>
      <c r="BO354" s="310">
        <f t="shared" si="140"/>
        <v>0</v>
      </c>
      <c r="BP354" s="311"/>
      <c r="BQ354" s="312"/>
      <c r="BR354" s="313">
        <f t="shared" si="141"/>
        <v>0</v>
      </c>
      <c r="BS354" s="308"/>
      <c r="BT354" s="309"/>
      <c r="BU354" s="310">
        <f t="shared" si="142"/>
        <v>0</v>
      </c>
      <c r="BV354" s="311"/>
      <c r="BW354" s="312"/>
      <c r="BX354" s="313">
        <f t="shared" si="143"/>
        <v>0</v>
      </c>
    </row>
    <row r="355" spans="1:76">
      <c r="A355" s="304" t="s">
        <v>445</v>
      </c>
      <c r="B355" s="332" t="s">
        <v>283</v>
      </c>
      <c r="C355" s="304">
        <v>199786</v>
      </c>
      <c r="D355" s="307">
        <v>9</v>
      </c>
      <c r="E355" s="308"/>
      <c r="F355" s="309"/>
      <c r="G355" s="310">
        <f t="shared" si="120"/>
        <v>0</v>
      </c>
      <c r="H355" s="311"/>
      <c r="I355" s="312"/>
      <c r="J355" s="313">
        <f t="shared" si="121"/>
        <v>0</v>
      </c>
      <c r="K355" s="308"/>
      <c r="L355" s="309"/>
      <c r="M355" s="310">
        <f t="shared" si="122"/>
        <v>0</v>
      </c>
      <c r="N355" s="311"/>
      <c r="O355" s="312"/>
      <c r="P355" s="313">
        <f t="shared" si="123"/>
        <v>0</v>
      </c>
      <c r="Q355" s="308"/>
      <c r="R355" s="309"/>
      <c r="S355" s="310">
        <f t="shared" si="124"/>
        <v>0</v>
      </c>
      <c r="T355" s="311"/>
      <c r="U355" s="312"/>
      <c r="V355" s="313">
        <f t="shared" si="125"/>
        <v>0</v>
      </c>
      <c r="W355" s="308"/>
      <c r="X355" s="309"/>
      <c r="Y355" s="310">
        <f t="shared" si="126"/>
        <v>0</v>
      </c>
      <c r="Z355" s="311"/>
      <c r="AA355" s="312"/>
      <c r="AB355" s="313">
        <f t="shared" si="127"/>
        <v>0</v>
      </c>
      <c r="AC355" s="308"/>
      <c r="AD355" s="309"/>
      <c r="AE355" s="310">
        <f t="shared" si="128"/>
        <v>0</v>
      </c>
      <c r="AF355" s="311"/>
      <c r="AG355" s="312"/>
      <c r="AH355" s="313">
        <f t="shared" si="129"/>
        <v>0</v>
      </c>
      <c r="AI355" s="308">
        <v>108</v>
      </c>
      <c r="AJ355" s="309">
        <v>46764</v>
      </c>
      <c r="AK355" s="310">
        <f t="shared" si="130"/>
        <v>5050512</v>
      </c>
      <c r="AL355" s="393">
        <v>105</v>
      </c>
      <c r="AM355" s="394">
        <v>49256</v>
      </c>
      <c r="AN355" s="313">
        <f t="shared" si="131"/>
        <v>5171880</v>
      </c>
      <c r="AO355" s="308"/>
      <c r="AP355" s="309"/>
      <c r="AQ355" s="310">
        <f t="shared" si="132"/>
        <v>0</v>
      </c>
      <c r="AR355" s="311"/>
      <c r="AS355" s="312"/>
      <c r="AT355" s="313">
        <f t="shared" si="133"/>
        <v>0</v>
      </c>
      <c r="AU355" s="308"/>
      <c r="AV355" s="309"/>
      <c r="AW355" s="310">
        <f t="shared" si="134"/>
        <v>0</v>
      </c>
      <c r="AX355" s="311"/>
      <c r="AY355" s="312"/>
      <c r="AZ355" s="313">
        <f t="shared" si="135"/>
        <v>0</v>
      </c>
      <c r="BA355" s="308"/>
      <c r="BB355" s="309"/>
      <c r="BC355" s="310">
        <f t="shared" si="136"/>
        <v>0</v>
      </c>
      <c r="BD355" s="311"/>
      <c r="BE355" s="312"/>
      <c r="BF355" s="313">
        <f t="shared" si="137"/>
        <v>0</v>
      </c>
      <c r="BG355" s="308"/>
      <c r="BH355" s="309"/>
      <c r="BI355" s="310">
        <f t="shared" si="138"/>
        <v>0</v>
      </c>
      <c r="BJ355" s="311"/>
      <c r="BK355" s="312"/>
      <c r="BL355" s="313">
        <f t="shared" si="139"/>
        <v>0</v>
      </c>
      <c r="BM355" s="308"/>
      <c r="BN355" s="309"/>
      <c r="BO355" s="310">
        <f t="shared" si="140"/>
        <v>0</v>
      </c>
      <c r="BP355" s="311"/>
      <c r="BQ355" s="312"/>
      <c r="BR355" s="313">
        <f t="shared" si="141"/>
        <v>0</v>
      </c>
      <c r="BS355" s="308"/>
      <c r="BT355" s="309"/>
      <c r="BU355" s="310">
        <f t="shared" si="142"/>
        <v>0</v>
      </c>
      <c r="BV355" s="311"/>
      <c r="BW355" s="312"/>
      <c r="BX355" s="313">
        <f t="shared" si="143"/>
        <v>0</v>
      </c>
    </row>
    <row r="356" spans="1:76">
      <c r="A356" s="304" t="s">
        <v>445</v>
      </c>
      <c r="B356" s="332" t="s">
        <v>285</v>
      </c>
      <c r="C356" s="304">
        <v>198039</v>
      </c>
      <c r="D356" s="307">
        <v>9</v>
      </c>
      <c r="E356" s="308"/>
      <c r="F356" s="309"/>
      <c r="G356" s="310">
        <f t="shared" si="120"/>
        <v>0</v>
      </c>
      <c r="H356" s="311"/>
      <c r="I356" s="312"/>
      <c r="J356" s="313">
        <f t="shared" si="121"/>
        <v>0</v>
      </c>
      <c r="K356" s="308"/>
      <c r="L356" s="309"/>
      <c r="M356" s="310">
        <f t="shared" si="122"/>
        <v>0</v>
      </c>
      <c r="N356" s="311"/>
      <c r="O356" s="312"/>
      <c r="P356" s="313">
        <f t="shared" si="123"/>
        <v>0</v>
      </c>
      <c r="Q356" s="308"/>
      <c r="R356" s="309"/>
      <c r="S356" s="310">
        <f t="shared" si="124"/>
        <v>0</v>
      </c>
      <c r="T356" s="311"/>
      <c r="U356" s="312"/>
      <c r="V356" s="313">
        <f t="shared" si="125"/>
        <v>0</v>
      </c>
      <c r="W356" s="308"/>
      <c r="X356" s="309"/>
      <c r="Y356" s="310">
        <f t="shared" si="126"/>
        <v>0</v>
      </c>
      <c r="Z356" s="311"/>
      <c r="AA356" s="312"/>
      <c r="AB356" s="313">
        <f t="shared" si="127"/>
        <v>0</v>
      </c>
      <c r="AC356" s="308"/>
      <c r="AD356" s="309"/>
      <c r="AE356" s="310">
        <f t="shared" si="128"/>
        <v>0</v>
      </c>
      <c r="AF356" s="311"/>
      <c r="AG356" s="312"/>
      <c r="AH356" s="313">
        <f t="shared" si="129"/>
        <v>0</v>
      </c>
      <c r="AI356" s="308">
        <v>55</v>
      </c>
      <c r="AJ356" s="309">
        <v>42566</v>
      </c>
      <c r="AK356" s="310">
        <f t="shared" si="130"/>
        <v>2341130</v>
      </c>
      <c r="AL356" s="393">
        <v>57</v>
      </c>
      <c r="AM356" s="394">
        <v>46454</v>
      </c>
      <c r="AN356" s="313">
        <f t="shared" si="131"/>
        <v>2647878</v>
      </c>
      <c r="AO356" s="308"/>
      <c r="AP356" s="309"/>
      <c r="AQ356" s="310">
        <f t="shared" si="132"/>
        <v>0</v>
      </c>
      <c r="AR356" s="311"/>
      <c r="AS356" s="312"/>
      <c r="AT356" s="313">
        <f t="shared" si="133"/>
        <v>0</v>
      </c>
      <c r="AU356" s="308"/>
      <c r="AV356" s="309"/>
      <c r="AW356" s="310">
        <f t="shared" si="134"/>
        <v>0</v>
      </c>
      <c r="AX356" s="311"/>
      <c r="AY356" s="312"/>
      <c r="AZ356" s="313">
        <f t="shared" si="135"/>
        <v>0</v>
      </c>
      <c r="BA356" s="308"/>
      <c r="BB356" s="309"/>
      <c r="BC356" s="310">
        <f t="shared" si="136"/>
        <v>0</v>
      </c>
      <c r="BD356" s="311"/>
      <c r="BE356" s="312"/>
      <c r="BF356" s="313">
        <f t="shared" si="137"/>
        <v>0</v>
      </c>
      <c r="BG356" s="308"/>
      <c r="BH356" s="309"/>
      <c r="BI356" s="310">
        <f t="shared" si="138"/>
        <v>0</v>
      </c>
      <c r="BJ356" s="311"/>
      <c r="BK356" s="312"/>
      <c r="BL356" s="313">
        <f t="shared" si="139"/>
        <v>0</v>
      </c>
      <c r="BM356" s="308"/>
      <c r="BN356" s="309"/>
      <c r="BO356" s="310">
        <f t="shared" si="140"/>
        <v>0</v>
      </c>
      <c r="BP356" s="311"/>
      <c r="BQ356" s="312"/>
      <c r="BR356" s="313">
        <f t="shared" si="141"/>
        <v>0</v>
      </c>
      <c r="BS356" s="308"/>
      <c r="BT356" s="309"/>
      <c r="BU356" s="310">
        <f t="shared" si="142"/>
        <v>0</v>
      </c>
      <c r="BV356" s="311"/>
      <c r="BW356" s="312"/>
      <c r="BX356" s="313">
        <f t="shared" si="143"/>
        <v>0</v>
      </c>
    </row>
    <row r="357" spans="1:76">
      <c r="A357" s="304" t="s">
        <v>445</v>
      </c>
      <c r="B357" s="332" t="s">
        <v>286</v>
      </c>
      <c r="C357" s="304">
        <v>198118</v>
      </c>
      <c r="D357" s="307">
        <v>9</v>
      </c>
      <c r="E357" s="308"/>
      <c r="F357" s="309"/>
      <c r="G357" s="310">
        <f t="shared" si="120"/>
        <v>0</v>
      </c>
      <c r="H357" s="311"/>
      <c r="I357" s="312"/>
      <c r="J357" s="313">
        <f t="shared" si="121"/>
        <v>0</v>
      </c>
      <c r="K357" s="308"/>
      <c r="L357" s="309"/>
      <c r="M357" s="310">
        <f t="shared" si="122"/>
        <v>0</v>
      </c>
      <c r="N357" s="311"/>
      <c r="O357" s="312"/>
      <c r="P357" s="313">
        <f t="shared" si="123"/>
        <v>0</v>
      </c>
      <c r="Q357" s="308"/>
      <c r="R357" s="309"/>
      <c r="S357" s="310">
        <f t="shared" si="124"/>
        <v>0</v>
      </c>
      <c r="T357" s="311"/>
      <c r="U357" s="312"/>
      <c r="V357" s="313">
        <f t="shared" si="125"/>
        <v>0</v>
      </c>
      <c r="W357" s="308"/>
      <c r="X357" s="309"/>
      <c r="Y357" s="310">
        <f t="shared" si="126"/>
        <v>0</v>
      </c>
      <c r="Z357" s="311"/>
      <c r="AA357" s="312"/>
      <c r="AB357" s="313">
        <f t="shared" si="127"/>
        <v>0</v>
      </c>
      <c r="AC357" s="308"/>
      <c r="AD357" s="309"/>
      <c r="AE357" s="310">
        <f t="shared" si="128"/>
        <v>0</v>
      </c>
      <c r="AF357" s="311"/>
      <c r="AG357" s="312"/>
      <c r="AH357" s="313">
        <f t="shared" si="129"/>
        <v>0</v>
      </c>
      <c r="AI357" s="308">
        <v>115</v>
      </c>
      <c r="AJ357" s="309">
        <v>43659</v>
      </c>
      <c r="AK357" s="310">
        <f t="shared" si="130"/>
        <v>5020785</v>
      </c>
      <c r="AL357" s="393">
        <v>121</v>
      </c>
      <c r="AM357" s="394">
        <v>44646</v>
      </c>
      <c r="AN357" s="313">
        <f t="shared" si="131"/>
        <v>5402166</v>
      </c>
      <c r="AO357" s="308"/>
      <c r="AP357" s="309"/>
      <c r="AQ357" s="310">
        <f t="shared" si="132"/>
        <v>0</v>
      </c>
      <c r="AR357" s="311"/>
      <c r="AS357" s="312"/>
      <c r="AT357" s="313">
        <f t="shared" si="133"/>
        <v>0</v>
      </c>
      <c r="AU357" s="308"/>
      <c r="AV357" s="309"/>
      <c r="AW357" s="310">
        <f t="shared" si="134"/>
        <v>0</v>
      </c>
      <c r="AX357" s="311"/>
      <c r="AY357" s="312"/>
      <c r="AZ357" s="313">
        <f t="shared" si="135"/>
        <v>0</v>
      </c>
      <c r="BA357" s="308"/>
      <c r="BB357" s="309"/>
      <c r="BC357" s="310">
        <f t="shared" si="136"/>
        <v>0</v>
      </c>
      <c r="BD357" s="311"/>
      <c r="BE357" s="312"/>
      <c r="BF357" s="313">
        <f t="shared" si="137"/>
        <v>0</v>
      </c>
      <c r="BG357" s="308"/>
      <c r="BH357" s="309"/>
      <c r="BI357" s="310">
        <f t="shared" si="138"/>
        <v>0</v>
      </c>
      <c r="BJ357" s="311"/>
      <c r="BK357" s="312"/>
      <c r="BL357" s="313">
        <f t="shared" si="139"/>
        <v>0</v>
      </c>
      <c r="BM357" s="308"/>
      <c r="BN357" s="309"/>
      <c r="BO357" s="310">
        <f t="shared" si="140"/>
        <v>0</v>
      </c>
      <c r="BP357" s="311"/>
      <c r="BQ357" s="312"/>
      <c r="BR357" s="313">
        <f t="shared" si="141"/>
        <v>0</v>
      </c>
      <c r="BS357" s="308"/>
      <c r="BT357" s="309"/>
      <c r="BU357" s="310">
        <f t="shared" si="142"/>
        <v>0</v>
      </c>
      <c r="BV357" s="311"/>
      <c r="BW357" s="312"/>
      <c r="BX357" s="313">
        <f t="shared" si="143"/>
        <v>0</v>
      </c>
    </row>
    <row r="358" spans="1:76">
      <c r="A358" s="304" t="s">
        <v>445</v>
      </c>
      <c r="B358" s="332" t="s">
        <v>287</v>
      </c>
      <c r="C358" s="304">
        <v>198321</v>
      </c>
      <c r="D358" s="307">
        <v>9</v>
      </c>
      <c r="E358" s="308"/>
      <c r="F358" s="309"/>
      <c r="G358" s="310">
        <f t="shared" si="120"/>
        <v>0</v>
      </c>
      <c r="H358" s="311"/>
      <c r="I358" s="312"/>
      <c r="J358" s="313">
        <f t="shared" si="121"/>
        <v>0</v>
      </c>
      <c r="K358" s="308"/>
      <c r="L358" s="309"/>
      <c r="M358" s="310">
        <f t="shared" si="122"/>
        <v>0</v>
      </c>
      <c r="N358" s="311"/>
      <c r="O358" s="312"/>
      <c r="P358" s="313">
        <f t="shared" si="123"/>
        <v>0</v>
      </c>
      <c r="Q358" s="308"/>
      <c r="R358" s="309"/>
      <c r="S358" s="310">
        <f t="shared" si="124"/>
        <v>0</v>
      </c>
      <c r="T358" s="311"/>
      <c r="U358" s="312"/>
      <c r="V358" s="313">
        <f t="shared" si="125"/>
        <v>0</v>
      </c>
      <c r="W358" s="308"/>
      <c r="X358" s="309"/>
      <c r="Y358" s="310">
        <f t="shared" si="126"/>
        <v>0</v>
      </c>
      <c r="Z358" s="311"/>
      <c r="AA358" s="312"/>
      <c r="AB358" s="313">
        <f t="shared" si="127"/>
        <v>0</v>
      </c>
      <c r="AC358" s="308"/>
      <c r="AD358" s="309"/>
      <c r="AE358" s="310">
        <f t="shared" si="128"/>
        <v>0</v>
      </c>
      <c r="AF358" s="311"/>
      <c r="AG358" s="312"/>
      <c r="AH358" s="313">
        <f t="shared" si="129"/>
        <v>0</v>
      </c>
      <c r="AI358" s="308">
        <v>81</v>
      </c>
      <c r="AJ358" s="309">
        <v>44427</v>
      </c>
      <c r="AK358" s="310">
        <f t="shared" si="130"/>
        <v>3598587</v>
      </c>
      <c r="AL358" s="393">
        <v>81</v>
      </c>
      <c r="AM358" s="394">
        <v>45843</v>
      </c>
      <c r="AN358" s="313">
        <f t="shared" si="131"/>
        <v>3713283</v>
      </c>
      <c r="AO358" s="308"/>
      <c r="AP358" s="309"/>
      <c r="AQ358" s="310">
        <f t="shared" si="132"/>
        <v>0</v>
      </c>
      <c r="AR358" s="311"/>
      <c r="AS358" s="312"/>
      <c r="AT358" s="313">
        <f t="shared" si="133"/>
        <v>0</v>
      </c>
      <c r="AU358" s="308"/>
      <c r="AV358" s="309"/>
      <c r="AW358" s="310">
        <f t="shared" si="134"/>
        <v>0</v>
      </c>
      <c r="AX358" s="311"/>
      <c r="AY358" s="312"/>
      <c r="AZ358" s="313">
        <f t="shared" si="135"/>
        <v>0</v>
      </c>
      <c r="BA358" s="308"/>
      <c r="BB358" s="309"/>
      <c r="BC358" s="310">
        <f t="shared" si="136"/>
        <v>0</v>
      </c>
      <c r="BD358" s="311"/>
      <c r="BE358" s="312"/>
      <c r="BF358" s="313">
        <f t="shared" si="137"/>
        <v>0</v>
      </c>
      <c r="BG358" s="308"/>
      <c r="BH358" s="309"/>
      <c r="BI358" s="310">
        <f t="shared" si="138"/>
        <v>0</v>
      </c>
      <c r="BJ358" s="311"/>
      <c r="BK358" s="312"/>
      <c r="BL358" s="313">
        <f t="shared" si="139"/>
        <v>0</v>
      </c>
      <c r="BM358" s="308"/>
      <c r="BN358" s="309"/>
      <c r="BO358" s="310">
        <f t="shared" si="140"/>
        <v>0</v>
      </c>
      <c r="BP358" s="311"/>
      <c r="BQ358" s="312"/>
      <c r="BR358" s="313">
        <f t="shared" si="141"/>
        <v>0</v>
      </c>
      <c r="BS358" s="308"/>
      <c r="BT358" s="309"/>
      <c r="BU358" s="310">
        <f t="shared" si="142"/>
        <v>0</v>
      </c>
      <c r="BV358" s="311"/>
      <c r="BW358" s="312"/>
      <c r="BX358" s="313">
        <f t="shared" si="143"/>
        <v>0</v>
      </c>
    </row>
    <row r="359" spans="1:76">
      <c r="A359" s="304" t="s">
        <v>445</v>
      </c>
      <c r="B359" s="425" t="s">
        <v>288</v>
      </c>
      <c r="C359" s="304">
        <v>198330</v>
      </c>
      <c r="D359" s="307">
        <v>9</v>
      </c>
      <c r="E359" s="308"/>
      <c r="F359" s="309"/>
      <c r="G359" s="310">
        <f t="shared" si="120"/>
        <v>0</v>
      </c>
      <c r="H359" s="311"/>
      <c r="I359" s="312"/>
      <c r="J359" s="313">
        <f t="shared" si="121"/>
        <v>0</v>
      </c>
      <c r="K359" s="308"/>
      <c r="L359" s="309"/>
      <c r="M359" s="310">
        <f t="shared" si="122"/>
        <v>0</v>
      </c>
      <c r="N359" s="311"/>
      <c r="O359" s="312"/>
      <c r="P359" s="313">
        <f t="shared" si="123"/>
        <v>0</v>
      </c>
      <c r="Q359" s="308"/>
      <c r="R359" s="309"/>
      <c r="S359" s="310">
        <f t="shared" si="124"/>
        <v>0</v>
      </c>
      <c r="T359" s="311"/>
      <c r="U359" s="312"/>
      <c r="V359" s="313">
        <f t="shared" si="125"/>
        <v>0</v>
      </c>
      <c r="W359" s="308"/>
      <c r="X359" s="309"/>
      <c r="Y359" s="310">
        <f t="shared" si="126"/>
        <v>0</v>
      </c>
      <c r="Z359" s="311"/>
      <c r="AA359" s="312"/>
      <c r="AB359" s="313">
        <f t="shared" si="127"/>
        <v>0</v>
      </c>
      <c r="AC359" s="308"/>
      <c r="AD359" s="309"/>
      <c r="AE359" s="310">
        <f t="shared" si="128"/>
        <v>0</v>
      </c>
      <c r="AF359" s="311"/>
      <c r="AG359" s="312"/>
      <c r="AH359" s="313">
        <f t="shared" si="129"/>
        <v>0</v>
      </c>
      <c r="AI359" s="308">
        <v>128</v>
      </c>
      <c r="AJ359" s="309">
        <v>44085</v>
      </c>
      <c r="AK359" s="310">
        <f t="shared" si="130"/>
        <v>5642880</v>
      </c>
      <c r="AL359" s="393">
        <v>128</v>
      </c>
      <c r="AM359" s="394">
        <v>44988</v>
      </c>
      <c r="AN359" s="313">
        <f t="shared" si="131"/>
        <v>5758464</v>
      </c>
      <c r="AO359" s="308"/>
      <c r="AP359" s="309"/>
      <c r="AQ359" s="310">
        <f t="shared" si="132"/>
        <v>0</v>
      </c>
      <c r="AR359" s="311"/>
      <c r="AS359" s="312"/>
      <c r="AT359" s="313">
        <f t="shared" si="133"/>
        <v>0</v>
      </c>
      <c r="AU359" s="308"/>
      <c r="AV359" s="309"/>
      <c r="AW359" s="310">
        <f t="shared" si="134"/>
        <v>0</v>
      </c>
      <c r="AX359" s="311"/>
      <c r="AY359" s="312"/>
      <c r="AZ359" s="313">
        <f t="shared" si="135"/>
        <v>0</v>
      </c>
      <c r="BA359" s="308"/>
      <c r="BB359" s="309"/>
      <c r="BC359" s="310">
        <f t="shared" si="136"/>
        <v>0</v>
      </c>
      <c r="BD359" s="311"/>
      <c r="BE359" s="312"/>
      <c r="BF359" s="313">
        <f t="shared" si="137"/>
        <v>0</v>
      </c>
      <c r="BG359" s="308"/>
      <c r="BH359" s="309"/>
      <c r="BI359" s="310">
        <f t="shared" si="138"/>
        <v>0</v>
      </c>
      <c r="BJ359" s="311"/>
      <c r="BK359" s="312"/>
      <c r="BL359" s="313">
        <f t="shared" si="139"/>
        <v>0</v>
      </c>
      <c r="BM359" s="308"/>
      <c r="BN359" s="309"/>
      <c r="BO359" s="310">
        <f t="shared" si="140"/>
        <v>0</v>
      </c>
      <c r="BP359" s="311"/>
      <c r="BQ359" s="312"/>
      <c r="BR359" s="313">
        <f t="shared" si="141"/>
        <v>0</v>
      </c>
      <c r="BS359" s="308"/>
      <c r="BT359" s="309"/>
      <c r="BU359" s="310">
        <f t="shared" si="142"/>
        <v>0</v>
      </c>
      <c r="BV359" s="311"/>
      <c r="BW359" s="312"/>
      <c r="BX359" s="313">
        <f t="shared" si="143"/>
        <v>0</v>
      </c>
    </row>
    <row r="360" spans="1:76">
      <c r="A360" s="304" t="s">
        <v>445</v>
      </c>
      <c r="B360" s="332" t="s">
        <v>289</v>
      </c>
      <c r="C360" s="304">
        <v>197814</v>
      </c>
      <c r="D360" s="307">
        <v>9</v>
      </c>
      <c r="E360" s="308"/>
      <c r="F360" s="309"/>
      <c r="G360" s="310">
        <f t="shared" si="120"/>
        <v>0</v>
      </c>
      <c r="H360" s="311"/>
      <c r="I360" s="312"/>
      <c r="J360" s="313">
        <f t="shared" si="121"/>
        <v>0</v>
      </c>
      <c r="K360" s="308"/>
      <c r="L360" s="309"/>
      <c r="M360" s="310">
        <f t="shared" si="122"/>
        <v>0</v>
      </c>
      <c r="N360" s="311"/>
      <c r="O360" s="312"/>
      <c r="P360" s="313">
        <f t="shared" si="123"/>
        <v>0</v>
      </c>
      <c r="Q360" s="308"/>
      <c r="R360" s="309"/>
      <c r="S360" s="310">
        <f t="shared" si="124"/>
        <v>0</v>
      </c>
      <c r="T360" s="311"/>
      <c r="U360" s="312"/>
      <c r="V360" s="313">
        <f t="shared" si="125"/>
        <v>0</v>
      </c>
      <c r="W360" s="308"/>
      <c r="X360" s="309"/>
      <c r="Y360" s="310">
        <f t="shared" si="126"/>
        <v>0</v>
      </c>
      <c r="Z360" s="311"/>
      <c r="AA360" s="312"/>
      <c r="AB360" s="313">
        <f t="shared" si="127"/>
        <v>0</v>
      </c>
      <c r="AC360" s="308"/>
      <c r="AD360" s="309"/>
      <c r="AE360" s="310">
        <f t="shared" si="128"/>
        <v>0</v>
      </c>
      <c r="AF360" s="311"/>
      <c r="AG360" s="312"/>
      <c r="AH360" s="313">
        <f t="shared" si="129"/>
        <v>0</v>
      </c>
      <c r="AI360" s="308">
        <v>76</v>
      </c>
      <c r="AJ360" s="309">
        <v>40827</v>
      </c>
      <c r="AK360" s="310">
        <f t="shared" si="130"/>
        <v>3102852</v>
      </c>
      <c r="AL360" s="393">
        <v>76</v>
      </c>
      <c r="AM360" s="394">
        <v>43141</v>
      </c>
      <c r="AN360" s="313">
        <f t="shared" si="131"/>
        <v>3278716</v>
      </c>
      <c r="AO360" s="308"/>
      <c r="AP360" s="309"/>
      <c r="AQ360" s="310">
        <f t="shared" si="132"/>
        <v>0</v>
      </c>
      <c r="AR360" s="311"/>
      <c r="AS360" s="312"/>
      <c r="AT360" s="313">
        <f t="shared" si="133"/>
        <v>0</v>
      </c>
      <c r="AU360" s="308"/>
      <c r="AV360" s="309"/>
      <c r="AW360" s="310">
        <f t="shared" si="134"/>
        <v>0</v>
      </c>
      <c r="AX360" s="311"/>
      <c r="AY360" s="312"/>
      <c r="AZ360" s="313">
        <f t="shared" si="135"/>
        <v>0</v>
      </c>
      <c r="BA360" s="308"/>
      <c r="BB360" s="309"/>
      <c r="BC360" s="310">
        <f t="shared" si="136"/>
        <v>0</v>
      </c>
      <c r="BD360" s="311"/>
      <c r="BE360" s="312"/>
      <c r="BF360" s="313">
        <f t="shared" si="137"/>
        <v>0</v>
      </c>
      <c r="BG360" s="308"/>
      <c r="BH360" s="309"/>
      <c r="BI360" s="310">
        <f t="shared" si="138"/>
        <v>0</v>
      </c>
      <c r="BJ360" s="311"/>
      <c r="BK360" s="312"/>
      <c r="BL360" s="313">
        <f t="shared" si="139"/>
        <v>0</v>
      </c>
      <c r="BM360" s="308"/>
      <c r="BN360" s="309"/>
      <c r="BO360" s="310">
        <f t="shared" si="140"/>
        <v>0</v>
      </c>
      <c r="BP360" s="311"/>
      <c r="BQ360" s="312"/>
      <c r="BR360" s="313">
        <f t="shared" si="141"/>
        <v>0</v>
      </c>
      <c r="BS360" s="308"/>
      <c r="BT360" s="309"/>
      <c r="BU360" s="310">
        <f t="shared" si="142"/>
        <v>0</v>
      </c>
      <c r="BV360" s="311"/>
      <c r="BW360" s="312"/>
      <c r="BX360" s="313">
        <f t="shared" si="143"/>
        <v>0</v>
      </c>
    </row>
    <row r="361" spans="1:76">
      <c r="A361" s="304" t="s">
        <v>445</v>
      </c>
      <c r="B361" s="332" t="s">
        <v>290</v>
      </c>
      <c r="C361" s="304">
        <v>198367</v>
      </c>
      <c r="D361" s="307">
        <v>9</v>
      </c>
      <c r="E361" s="308"/>
      <c r="F361" s="309"/>
      <c r="G361" s="310">
        <f t="shared" si="120"/>
        <v>0</v>
      </c>
      <c r="H361" s="311"/>
      <c r="I361" s="312"/>
      <c r="J361" s="313">
        <f t="shared" si="121"/>
        <v>0</v>
      </c>
      <c r="K361" s="308"/>
      <c r="L361" s="309"/>
      <c r="M361" s="310">
        <f t="shared" si="122"/>
        <v>0</v>
      </c>
      <c r="N361" s="311"/>
      <c r="O361" s="312"/>
      <c r="P361" s="313">
        <f t="shared" si="123"/>
        <v>0</v>
      </c>
      <c r="Q361" s="308"/>
      <c r="R361" s="309"/>
      <c r="S361" s="310">
        <f t="shared" si="124"/>
        <v>0</v>
      </c>
      <c r="T361" s="311"/>
      <c r="U361" s="312"/>
      <c r="V361" s="313">
        <f t="shared" si="125"/>
        <v>0</v>
      </c>
      <c r="W361" s="308"/>
      <c r="X361" s="309"/>
      <c r="Y361" s="310">
        <f t="shared" si="126"/>
        <v>0</v>
      </c>
      <c r="Z361" s="311"/>
      <c r="AA361" s="312"/>
      <c r="AB361" s="313">
        <f t="shared" si="127"/>
        <v>0</v>
      </c>
      <c r="AC361" s="308"/>
      <c r="AD361" s="309"/>
      <c r="AE361" s="310">
        <f t="shared" si="128"/>
        <v>0</v>
      </c>
      <c r="AF361" s="311"/>
      <c r="AG361" s="312"/>
      <c r="AH361" s="313">
        <f t="shared" si="129"/>
        <v>0</v>
      </c>
      <c r="AI361" s="308">
        <v>72</v>
      </c>
      <c r="AJ361" s="309">
        <v>47485</v>
      </c>
      <c r="AK361" s="310">
        <f t="shared" si="130"/>
        <v>3418920</v>
      </c>
      <c r="AL361" s="393">
        <v>70</v>
      </c>
      <c r="AM361" s="394">
        <v>49665</v>
      </c>
      <c r="AN361" s="313">
        <f t="shared" si="131"/>
        <v>3476550</v>
      </c>
      <c r="AO361" s="308"/>
      <c r="AP361" s="309"/>
      <c r="AQ361" s="310">
        <f t="shared" si="132"/>
        <v>0</v>
      </c>
      <c r="AR361" s="311"/>
      <c r="AS361" s="312"/>
      <c r="AT361" s="313">
        <f t="shared" si="133"/>
        <v>0</v>
      </c>
      <c r="AU361" s="308"/>
      <c r="AV361" s="309"/>
      <c r="AW361" s="310">
        <f t="shared" si="134"/>
        <v>0</v>
      </c>
      <c r="AX361" s="311"/>
      <c r="AY361" s="312"/>
      <c r="AZ361" s="313">
        <f t="shared" si="135"/>
        <v>0</v>
      </c>
      <c r="BA361" s="308"/>
      <c r="BB361" s="309"/>
      <c r="BC361" s="310">
        <f t="shared" si="136"/>
        <v>0</v>
      </c>
      <c r="BD361" s="311"/>
      <c r="BE361" s="312"/>
      <c r="BF361" s="313">
        <f t="shared" si="137"/>
        <v>0</v>
      </c>
      <c r="BG361" s="308"/>
      <c r="BH361" s="309"/>
      <c r="BI361" s="310">
        <f t="shared" si="138"/>
        <v>0</v>
      </c>
      <c r="BJ361" s="311"/>
      <c r="BK361" s="312"/>
      <c r="BL361" s="313">
        <f t="shared" si="139"/>
        <v>0</v>
      </c>
      <c r="BM361" s="308"/>
      <c r="BN361" s="309"/>
      <c r="BO361" s="310">
        <f t="shared" si="140"/>
        <v>0</v>
      </c>
      <c r="BP361" s="311"/>
      <c r="BQ361" s="312"/>
      <c r="BR361" s="313">
        <f t="shared" si="141"/>
        <v>0</v>
      </c>
      <c r="BS361" s="308"/>
      <c r="BT361" s="309"/>
      <c r="BU361" s="310">
        <f t="shared" si="142"/>
        <v>0</v>
      </c>
      <c r="BV361" s="311"/>
      <c r="BW361" s="312"/>
      <c r="BX361" s="313">
        <f t="shared" si="143"/>
        <v>0</v>
      </c>
    </row>
    <row r="362" spans="1:76">
      <c r="A362" s="304" t="s">
        <v>445</v>
      </c>
      <c r="B362" s="332" t="s">
        <v>291</v>
      </c>
      <c r="C362" s="304">
        <v>198376</v>
      </c>
      <c r="D362" s="307">
        <v>9</v>
      </c>
      <c r="E362" s="308"/>
      <c r="F362" s="309"/>
      <c r="G362" s="310">
        <f t="shared" si="120"/>
        <v>0</v>
      </c>
      <c r="H362" s="311"/>
      <c r="I362" s="312"/>
      <c r="J362" s="313">
        <f t="shared" si="121"/>
        <v>0</v>
      </c>
      <c r="K362" s="308"/>
      <c r="L362" s="309"/>
      <c r="M362" s="310">
        <f t="shared" si="122"/>
        <v>0</v>
      </c>
      <c r="N362" s="311"/>
      <c r="O362" s="312"/>
      <c r="P362" s="313">
        <f t="shared" si="123"/>
        <v>0</v>
      </c>
      <c r="Q362" s="308"/>
      <c r="R362" s="309"/>
      <c r="S362" s="310">
        <f t="shared" si="124"/>
        <v>0</v>
      </c>
      <c r="T362" s="311"/>
      <c r="U362" s="312"/>
      <c r="V362" s="313">
        <f t="shared" si="125"/>
        <v>0</v>
      </c>
      <c r="W362" s="308"/>
      <c r="X362" s="309"/>
      <c r="Y362" s="310">
        <f t="shared" si="126"/>
        <v>0</v>
      </c>
      <c r="Z362" s="311"/>
      <c r="AA362" s="312"/>
      <c r="AB362" s="313">
        <f t="shared" si="127"/>
        <v>0</v>
      </c>
      <c r="AC362" s="308"/>
      <c r="AD362" s="309"/>
      <c r="AE362" s="310">
        <f t="shared" si="128"/>
        <v>0</v>
      </c>
      <c r="AF362" s="311"/>
      <c r="AG362" s="312"/>
      <c r="AH362" s="313">
        <f t="shared" si="129"/>
        <v>0</v>
      </c>
      <c r="AI362" s="308">
        <v>94</v>
      </c>
      <c r="AJ362" s="309">
        <v>47112</v>
      </c>
      <c r="AK362" s="310">
        <f t="shared" si="130"/>
        <v>4428528</v>
      </c>
      <c r="AL362" s="393">
        <v>89</v>
      </c>
      <c r="AM362" s="394">
        <v>47682</v>
      </c>
      <c r="AN362" s="313">
        <f t="shared" si="131"/>
        <v>4243698</v>
      </c>
      <c r="AO362" s="308"/>
      <c r="AP362" s="309"/>
      <c r="AQ362" s="310">
        <f t="shared" si="132"/>
        <v>0</v>
      </c>
      <c r="AR362" s="311"/>
      <c r="AS362" s="312"/>
      <c r="AT362" s="313">
        <f t="shared" si="133"/>
        <v>0</v>
      </c>
      <c r="AU362" s="308"/>
      <c r="AV362" s="309"/>
      <c r="AW362" s="310">
        <f t="shared" si="134"/>
        <v>0</v>
      </c>
      <c r="AX362" s="311"/>
      <c r="AY362" s="312"/>
      <c r="AZ362" s="313">
        <f t="shared" si="135"/>
        <v>0</v>
      </c>
      <c r="BA362" s="308"/>
      <c r="BB362" s="309"/>
      <c r="BC362" s="310">
        <f t="shared" si="136"/>
        <v>0</v>
      </c>
      <c r="BD362" s="311"/>
      <c r="BE362" s="312"/>
      <c r="BF362" s="313">
        <f t="shared" si="137"/>
        <v>0</v>
      </c>
      <c r="BG362" s="308"/>
      <c r="BH362" s="309"/>
      <c r="BI362" s="310">
        <f t="shared" si="138"/>
        <v>0</v>
      </c>
      <c r="BJ362" s="311"/>
      <c r="BK362" s="312"/>
      <c r="BL362" s="313">
        <f t="shared" si="139"/>
        <v>0</v>
      </c>
      <c r="BM362" s="308"/>
      <c r="BN362" s="309"/>
      <c r="BO362" s="310">
        <f t="shared" si="140"/>
        <v>0</v>
      </c>
      <c r="BP362" s="311"/>
      <c r="BQ362" s="312"/>
      <c r="BR362" s="313">
        <f t="shared" si="141"/>
        <v>0</v>
      </c>
      <c r="BS362" s="308"/>
      <c r="BT362" s="309"/>
      <c r="BU362" s="310">
        <f t="shared" si="142"/>
        <v>0</v>
      </c>
      <c r="BV362" s="311"/>
      <c r="BW362" s="312"/>
      <c r="BX362" s="313">
        <f t="shared" si="143"/>
        <v>0</v>
      </c>
    </row>
    <row r="363" spans="1:76">
      <c r="A363" s="304" t="s">
        <v>445</v>
      </c>
      <c r="B363" s="332" t="s">
        <v>293</v>
      </c>
      <c r="C363" s="304">
        <v>198491</v>
      </c>
      <c r="D363" s="307">
        <v>9</v>
      </c>
      <c r="E363" s="308"/>
      <c r="F363" s="309"/>
      <c r="G363" s="310">
        <f t="shared" si="120"/>
        <v>0</v>
      </c>
      <c r="H363" s="311"/>
      <c r="I363" s="312"/>
      <c r="J363" s="313">
        <f t="shared" si="121"/>
        <v>0</v>
      </c>
      <c r="K363" s="308"/>
      <c r="L363" s="309"/>
      <c r="M363" s="310">
        <f t="shared" si="122"/>
        <v>0</v>
      </c>
      <c r="N363" s="311"/>
      <c r="O363" s="312"/>
      <c r="P363" s="313">
        <f t="shared" si="123"/>
        <v>0</v>
      </c>
      <c r="Q363" s="308"/>
      <c r="R363" s="309"/>
      <c r="S363" s="310">
        <f t="shared" si="124"/>
        <v>0</v>
      </c>
      <c r="T363" s="311"/>
      <c r="U363" s="312"/>
      <c r="V363" s="313">
        <f t="shared" si="125"/>
        <v>0</v>
      </c>
      <c r="W363" s="308"/>
      <c r="X363" s="309"/>
      <c r="Y363" s="310">
        <f t="shared" si="126"/>
        <v>0</v>
      </c>
      <c r="Z363" s="311"/>
      <c r="AA363" s="312"/>
      <c r="AB363" s="313">
        <f t="shared" si="127"/>
        <v>0</v>
      </c>
      <c r="AC363" s="308"/>
      <c r="AD363" s="309"/>
      <c r="AE363" s="310">
        <f t="shared" si="128"/>
        <v>0</v>
      </c>
      <c r="AF363" s="311"/>
      <c r="AG363" s="312"/>
      <c r="AH363" s="313">
        <f t="shared" si="129"/>
        <v>0</v>
      </c>
      <c r="AI363" s="308">
        <v>78</v>
      </c>
      <c r="AJ363" s="309">
        <v>43973</v>
      </c>
      <c r="AK363" s="310">
        <f t="shared" si="130"/>
        <v>3429894</v>
      </c>
      <c r="AL363" s="393">
        <v>73</v>
      </c>
      <c r="AM363" s="394">
        <v>45134</v>
      </c>
      <c r="AN363" s="313">
        <f t="shared" si="131"/>
        <v>3294782</v>
      </c>
      <c r="AO363" s="308"/>
      <c r="AP363" s="309"/>
      <c r="AQ363" s="310">
        <f t="shared" si="132"/>
        <v>0</v>
      </c>
      <c r="AR363" s="311"/>
      <c r="AS363" s="312"/>
      <c r="AT363" s="313">
        <f t="shared" si="133"/>
        <v>0</v>
      </c>
      <c r="AU363" s="308"/>
      <c r="AV363" s="309"/>
      <c r="AW363" s="310">
        <f t="shared" si="134"/>
        <v>0</v>
      </c>
      <c r="AX363" s="311"/>
      <c r="AY363" s="312"/>
      <c r="AZ363" s="313">
        <f t="shared" si="135"/>
        <v>0</v>
      </c>
      <c r="BA363" s="308"/>
      <c r="BB363" s="309"/>
      <c r="BC363" s="310">
        <f t="shared" si="136"/>
        <v>0</v>
      </c>
      <c r="BD363" s="311"/>
      <c r="BE363" s="312"/>
      <c r="BF363" s="313">
        <f t="shared" si="137"/>
        <v>0</v>
      </c>
      <c r="BG363" s="308"/>
      <c r="BH363" s="309"/>
      <c r="BI363" s="310">
        <f t="shared" si="138"/>
        <v>0</v>
      </c>
      <c r="BJ363" s="311"/>
      <c r="BK363" s="312"/>
      <c r="BL363" s="313">
        <f t="shared" si="139"/>
        <v>0</v>
      </c>
      <c r="BM363" s="308"/>
      <c r="BN363" s="309"/>
      <c r="BO363" s="310">
        <f t="shared" si="140"/>
        <v>0</v>
      </c>
      <c r="BP363" s="311"/>
      <c r="BQ363" s="312"/>
      <c r="BR363" s="313">
        <f t="shared" si="141"/>
        <v>0</v>
      </c>
      <c r="BS363" s="308"/>
      <c r="BT363" s="309"/>
      <c r="BU363" s="310">
        <f t="shared" si="142"/>
        <v>0</v>
      </c>
      <c r="BV363" s="311"/>
      <c r="BW363" s="312"/>
      <c r="BX363" s="313">
        <f t="shared" si="143"/>
        <v>0</v>
      </c>
    </row>
    <row r="364" spans="1:76">
      <c r="A364" s="304" t="s">
        <v>445</v>
      </c>
      <c r="B364" s="425" t="s">
        <v>294</v>
      </c>
      <c r="C364" s="304">
        <v>198570</v>
      </c>
      <c r="D364" s="307">
        <v>9</v>
      </c>
      <c r="E364" s="308"/>
      <c r="F364" s="309"/>
      <c r="G364" s="310">
        <f t="shared" si="120"/>
        <v>0</v>
      </c>
      <c r="H364" s="311"/>
      <c r="I364" s="312"/>
      <c r="J364" s="313">
        <f t="shared" si="121"/>
        <v>0</v>
      </c>
      <c r="K364" s="308"/>
      <c r="L364" s="309"/>
      <c r="M364" s="310">
        <f t="shared" si="122"/>
        <v>0</v>
      </c>
      <c r="N364" s="311"/>
      <c r="O364" s="312"/>
      <c r="P364" s="313">
        <f t="shared" si="123"/>
        <v>0</v>
      </c>
      <c r="Q364" s="308"/>
      <c r="R364" s="309"/>
      <c r="S364" s="310">
        <f t="shared" si="124"/>
        <v>0</v>
      </c>
      <c r="T364" s="311"/>
      <c r="U364" s="312"/>
      <c r="V364" s="313">
        <f t="shared" si="125"/>
        <v>0</v>
      </c>
      <c r="W364" s="308"/>
      <c r="X364" s="309"/>
      <c r="Y364" s="310">
        <f t="shared" si="126"/>
        <v>0</v>
      </c>
      <c r="Z364" s="311"/>
      <c r="AA364" s="312"/>
      <c r="AB364" s="313">
        <f t="shared" si="127"/>
        <v>0</v>
      </c>
      <c r="AC364" s="308"/>
      <c r="AD364" s="309"/>
      <c r="AE364" s="310">
        <f t="shared" si="128"/>
        <v>0</v>
      </c>
      <c r="AF364" s="311"/>
      <c r="AG364" s="312"/>
      <c r="AH364" s="313">
        <f t="shared" si="129"/>
        <v>0</v>
      </c>
      <c r="AI364" s="308">
        <v>127</v>
      </c>
      <c r="AJ364" s="309">
        <v>49739</v>
      </c>
      <c r="AK364" s="310">
        <f t="shared" si="130"/>
        <v>6316853</v>
      </c>
      <c r="AL364" s="393">
        <v>138</v>
      </c>
      <c r="AM364" s="394">
        <v>50665</v>
      </c>
      <c r="AN364" s="313">
        <f t="shared" si="131"/>
        <v>6991770</v>
      </c>
      <c r="AO364" s="308"/>
      <c r="AP364" s="309"/>
      <c r="AQ364" s="310">
        <f t="shared" si="132"/>
        <v>0</v>
      </c>
      <c r="AR364" s="311"/>
      <c r="AS364" s="312"/>
      <c r="AT364" s="313">
        <f t="shared" si="133"/>
        <v>0</v>
      </c>
      <c r="AU364" s="308"/>
      <c r="AV364" s="309"/>
      <c r="AW364" s="310">
        <f t="shared" si="134"/>
        <v>0</v>
      </c>
      <c r="AX364" s="311"/>
      <c r="AY364" s="312"/>
      <c r="AZ364" s="313">
        <f t="shared" si="135"/>
        <v>0</v>
      </c>
      <c r="BA364" s="308"/>
      <c r="BB364" s="309"/>
      <c r="BC364" s="310">
        <f t="shared" si="136"/>
        <v>0</v>
      </c>
      <c r="BD364" s="311"/>
      <c r="BE364" s="312"/>
      <c r="BF364" s="313">
        <f t="shared" si="137"/>
        <v>0</v>
      </c>
      <c r="BG364" s="308"/>
      <c r="BH364" s="309"/>
      <c r="BI364" s="310">
        <f t="shared" si="138"/>
        <v>0</v>
      </c>
      <c r="BJ364" s="311"/>
      <c r="BK364" s="312"/>
      <c r="BL364" s="313">
        <f t="shared" si="139"/>
        <v>0</v>
      </c>
      <c r="BM364" s="308"/>
      <c r="BN364" s="309"/>
      <c r="BO364" s="310">
        <f t="shared" si="140"/>
        <v>0</v>
      </c>
      <c r="BP364" s="311"/>
      <c r="BQ364" s="312"/>
      <c r="BR364" s="313">
        <f t="shared" si="141"/>
        <v>0</v>
      </c>
      <c r="BS364" s="308"/>
      <c r="BT364" s="309"/>
      <c r="BU364" s="310">
        <f t="shared" si="142"/>
        <v>0</v>
      </c>
      <c r="BV364" s="311"/>
      <c r="BW364" s="312"/>
      <c r="BX364" s="313">
        <f t="shared" si="143"/>
        <v>0</v>
      </c>
    </row>
    <row r="365" spans="1:76">
      <c r="A365" s="304" t="s">
        <v>445</v>
      </c>
      <c r="B365" s="332" t="s">
        <v>295</v>
      </c>
      <c r="C365" s="304">
        <v>198668</v>
      </c>
      <c r="D365" s="307">
        <v>9</v>
      </c>
      <c r="E365" s="308"/>
      <c r="F365" s="309"/>
      <c r="G365" s="310">
        <f t="shared" si="120"/>
        <v>0</v>
      </c>
      <c r="H365" s="311"/>
      <c r="I365" s="312"/>
      <c r="J365" s="313">
        <f t="shared" si="121"/>
        <v>0</v>
      </c>
      <c r="K365" s="308"/>
      <c r="L365" s="309"/>
      <c r="M365" s="310">
        <f t="shared" si="122"/>
        <v>0</v>
      </c>
      <c r="N365" s="311"/>
      <c r="O365" s="312"/>
      <c r="P365" s="313">
        <f t="shared" si="123"/>
        <v>0</v>
      </c>
      <c r="Q365" s="308"/>
      <c r="R365" s="309"/>
      <c r="S365" s="310">
        <f t="shared" si="124"/>
        <v>0</v>
      </c>
      <c r="T365" s="311"/>
      <c r="U365" s="312"/>
      <c r="V365" s="313">
        <f t="shared" si="125"/>
        <v>0</v>
      </c>
      <c r="W365" s="308"/>
      <c r="X365" s="309"/>
      <c r="Y365" s="310">
        <f t="shared" si="126"/>
        <v>0</v>
      </c>
      <c r="Z365" s="311"/>
      <c r="AA365" s="312"/>
      <c r="AB365" s="313">
        <f t="shared" si="127"/>
        <v>0</v>
      </c>
      <c r="AC365" s="308"/>
      <c r="AD365" s="309"/>
      <c r="AE365" s="310">
        <f t="shared" si="128"/>
        <v>0</v>
      </c>
      <c r="AF365" s="311"/>
      <c r="AG365" s="312"/>
      <c r="AH365" s="313">
        <f t="shared" si="129"/>
        <v>0</v>
      </c>
      <c r="AI365" s="308">
        <v>59</v>
      </c>
      <c r="AJ365" s="309">
        <v>47142</v>
      </c>
      <c r="AK365" s="310">
        <f t="shared" si="130"/>
        <v>2781378</v>
      </c>
      <c r="AL365" s="393">
        <v>62</v>
      </c>
      <c r="AM365" s="394">
        <v>48155</v>
      </c>
      <c r="AN365" s="313">
        <f t="shared" si="131"/>
        <v>2985610</v>
      </c>
      <c r="AO365" s="308"/>
      <c r="AP365" s="309"/>
      <c r="AQ365" s="310">
        <f t="shared" si="132"/>
        <v>0</v>
      </c>
      <c r="AR365" s="311"/>
      <c r="AS365" s="312"/>
      <c r="AT365" s="313">
        <f t="shared" si="133"/>
        <v>0</v>
      </c>
      <c r="AU365" s="308"/>
      <c r="AV365" s="309"/>
      <c r="AW365" s="310">
        <f t="shared" si="134"/>
        <v>0</v>
      </c>
      <c r="AX365" s="311"/>
      <c r="AY365" s="312"/>
      <c r="AZ365" s="313">
        <f t="shared" si="135"/>
        <v>0</v>
      </c>
      <c r="BA365" s="308"/>
      <c r="BB365" s="309"/>
      <c r="BC365" s="310">
        <f t="shared" si="136"/>
        <v>0</v>
      </c>
      <c r="BD365" s="311"/>
      <c r="BE365" s="312"/>
      <c r="BF365" s="313">
        <f t="shared" si="137"/>
        <v>0</v>
      </c>
      <c r="BG365" s="308"/>
      <c r="BH365" s="309"/>
      <c r="BI365" s="310">
        <f t="shared" si="138"/>
        <v>0</v>
      </c>
      <c r="BJ365" s="311"/>
      <c r="BK365" s="312"/>
      <c r="BL365" s="313">
        <f t="shared" si="139"/>
        <v>0</v>
      </c>
      <c r="BM365" s="308"/>
      <c r="BN365" s="309"/>
      <c r="BO365" s="310">
        <f t="shared" si="140"/>
        <v>0</v>
      </c>
      <c r="BP365" s="311"/>
      <c r="BQ365" s="312"/>
      <c r="BR365" s="313">
        <f t="shared" si="141"/>
        <v>0</v>
      </c>
      <c r="BS365" s="308"/>
      <c r="BT365" s="309"/>
      <c r="BU365" s="310">
        <f t="shared" si="142"/>
        <v>0</v>
      </c>
      <c r="BV365" s="311"/>
      <c r="BW365" s="312"/>
      <c r="BX365" s="313">
        <f t="shared" si="143"/>
        <v>0</v>
      </c>
    </row>
    <row r="366" spans="1:76">
      <c r="A366" s="304" t="s">
        <v>445</v>
      </c>
      <c r="B366" s="332" t="s">
        <v>296</v>
      </c>
      <c r="C366" s="304">
        <v>198710</v>
      </c>
      <c r="D366" s="307">
        <v>9</v>
      </c>
      <c r="E366" s="308"/>
      <c r="F366" s="309"/>
      <c r="G366" s="310">
        <f t="shared" si="120"/>
        <v>0</v>
      </c>
      <c r="H366" s="311"/>
      <c r="I366" s="312"/>
      <c r="J366" s="313">
        <f t="shared" si="121"/>
        <v>0</v>
      </c>
      <c r="K366" s="308"/>
      <c r="L366" s="309"/>
      <c r="M366" s="310">
        <f t="shared" si="122"/>
        <v>0</v>
      </c>
      <c r="N366" s="311"/>
      <c r="O366" s="312"/>
      <c r="P366" s="313">
        <f t="shared" si="123"/>
        <v>0</v>
      </c>
      <c r="Q366" s="308"/>
      <c r="R366" s="309"/>
      <c r="S366" s="310">
        <f t="shared" si="124"/>
        <v>0</v>
      </c>
      <c r="T366" s="311"/>
      <c r="U366" s="312"/>
      <c r="V366" s="313">
        <f t="shared" si="125"/>
        <v>0</v>
      </c>
      <c r="W366" s="308"/>
      <c r="X366" s="309"/>
      <c r="Y366" s="310">
        <f t="shared" si="126"/>
        <v>0</v>
      </c>
      <c r="Z366" s="311"/>
      <c r="AA366" s="312"/>
      <c r="AB366" s="313">
        <f t="shared" si="127"/>
        <v>0</v>
      </c>
      <c r="AC366" s="308"/>
      <c r="AD366" s="309"/>
      <c r="AE366" s="310">
        <f t="shared" si="128"/>
        <v>0</v>
      </c>
      <c r="AF366" s="311"/>
      <c r="AG366" s="312"/>
      <c r="AH366" s="313">
        <f t="shared" si="129"/>
        <v>0</v>
      </c>
      <c r="AI366" s="308">
        <v>69</v>
      </c>
      <c r="AJ366" s="309">
        <v>44770</v>
      </c>
      <c r="AK366" s="310">
        <f t="shared" si="130"/>
        <v>3089130</v>
      </c>
      <c r="AL366" s="393">
        <v>69</v>
      </c>
      <c r="AM366" s="394">
        <v>45311</v>
      </c>
      <c r="AN366" s="313">
        <f t="shared" si="131"/>
        <v>3126459</v>
      </c>
      <c r="AO366" s="308"/>
      <c r="AP366" s="309"/>
      <c r="AQ366" s="310">
        <f t="shared" si="132"/>
        <v>0</v>
      </c>
      <c r="AR366" s="311"/>
      <c r="AS366" s="312"/>
      <c r="AT366" s="313">
        <f t="shared" si="133"/>
        <v>0</v>
      </c>
      <c r="AU366" s="308"/>
      <c r="AV366" s="309"/>
      <c r="AW366" s="310">
        <f t="shared" si="134"/>
        <v>0</v>
      </c>
      <c r="AX366" s="311"/>
      <c r="AY366" s="312"/>
      <c r="AZ366" s="313">
        <f t="shared" si="135"/>
        <v>0</v>
      </c>
      <c r="BA366" s="308"/>
      <c r="BB366" s="309"/>
      <c r="BC366" s="310">
        <f t="shared" si="136"/>
        <v>0</v>
      </c>
      <c r="BD366" s="311"/>
      <c r="BE366" s="312"/>
      <c r="BF366" s="313">
        <f t="shared" si="137"/>
        <v>0</v>
      </c>
      <c r="BG366" s="308"/>
      <c r="BH366" s="309"/>
      <c r="BI366" s="310">
        <f t="shared" si="138"/>
        <v>0</v>
      </c>
      <c r="BJ366" s="311"/>
      <c r="BK366" s="312"/>
      <c r="BL366" s="313">
        <f t="shared" si="139"/>
        <v>0</v>
      </c>
      <c r="BM366" s="308"/>
      <c r="BN366" s="309"/>
      <c r="BO366" s="310">
        <f t="shared" si="140"/>
        <v>0</v>
      </c>
      <c r="BP366" s="311"/>
      <c r="BQ366" s="312"/>
      <c r="BR366" s="313">
        <f t="shared" si="141"/>
        <v>0</v>
      </c>
      <c r="BS366" s="308"/>
      <c r="BT366" s="309"/>
      <c r="BU366" s="310">
        <f t="shared" si="142"/>
        <v>0</v>
      </c>
      <c r="BV366" s="311"/>
      <c r="BW366" s="312"/>
      <c r="BX366" s="313">
        <f t="shared" si="143"/>
        <v>0</v>
      </c>
    </row>
    <row r="367" spans="1:76">
      <c r="A367" s="304" t="s">
        <v>445</v>
      </c>
      <c r="B367" s="332" t="s">
        <v>297</v>
      </c>
      <c r="C367" s="304">
        <v>198774</v>
      </c>
      <c r="D367" s="307">
        <v>9</v>
      </c>
      <c r="E367" s="308"/>
      <c r="F367" s="309"/>
      <c r="G367" s="310">
        <f t="shared" si="120"/>
        <v>0</v>
      </c>
      <c r="H367" s="311"/>
      <c r="I367" s="312"/>
      <c r="J367" s="313">
        <f t="shared" si="121"/>
        <v>0</v>
      </c>
      <c r="K367" s="308"/>
      <c r="L367" s="309"/>
      <c r="M367" s="310">
        <f t="shared" si="122"/>
        <v>0</v>
      </c>
      <c r="N367" s="311"/>
      <c r="O367" s="312"/>
      <c r="P367" s="313">
        <f t="shared" si="123"/>
        <v>0</v>
      </c>
      <c r="Q367" s="308"/>
      <c r="R367" s="309"/>
      <c r="S367" s="310">
        <f t="shared" si="124"/>
        <v>0</v>
      </c>
      <c r="T367" s="311"/>
      <c r="U367" s="312"/>
      <c r="V367" s="313">
        <f t="shared" si="125"/>
        <v>0</v>
      </c>
      <c r="W367" s="308"/>
      <c r="X367" s="309"/>
      <c r="Y367" s="310">
        <f t="shared" si="126"/>
        <v>0</v>
      </c>
      <c r="Z367" s="311"/>
      <c r="AA367" s="312"/>
      <c r="AB367" s="313">
        <f t="shared" si="127"/>
        <v>0</v>
      </c>
      <c r="AC367" s="308"/>
      <c r="AD367" s="309"/>
      <c r="AE367" s="310">
        <f t="shared" si="128"/>
        <v>0</v>
      </c>
      <c r="AF367" s="311"/>
      <c r="AG367" s="312"/>
      <c r="AH367" s="313">
        <f t="shared" si="129"/>
        <v>0</v>
      </c>
      <c r="AI367" s="308">
        <v>123</v>
      </c>
      <c r="AJ367" s="309">
        <v>50179</v>
      </c>
      <c r="AK367" s="310">
        <f t="shared" si="130"/>
        <v>6172017</v>
      </c>
      <c r="AL367" s="393">
        <v>127</v>
      </c>
      <c r="AM367" s="394">
        <v>51081</v>
      </c>
      <c r="AN367" s="313">
        <f t="shared" si="131"/>
        <v>6487287</v>
      </c>
      <c r="AO367" s="308"/>
      <c r="AP367" s="309"/>
      <c r="AQ367" s="310">
        <f t="shared" si="132"/>
        <v>0</v>
      </c>
      <c r="AR367" s="311"/>
      <c r="AS367" s="312"/>
      <c r="AT367" s="313">
        <f t="shared" si="133"/>
        <v>0</v>
      </c>
      <c r="AU367" s="308"/>
      <c r="AV367" s="309"/>
      <c r="AW367" s="310">
        <f t="shared" si="134"/>
        <v>0</v>
      </c>
      <c r="AX367" s="311"/>
      <c r="AY367" s="312"/>
      <c r="AZ367" s="313">
        <f t="shared" si="135"/>
        <v>0</v>
      </c>
      <c r="BA367" s="308"/>
      <c r="BB367" s="309"/>
      <c r="BC367" s="310">
        <f t="shared" si="136"/>
        <v>0</v>
      </c>
      <c r="BD367" s="311"/>
      <c r="BE367" s="312"/>
      <c r="BF367" s="313">
        <f t="shared" si="137"/>
        <v>0</v>
      </c>
      <c r="BG367" s="308"/>
      <c r="BH367" s="309"/>
      <c r="BI367" s="310">
        <f t="shared" si="138"/>
        <v>0</v>
      </c>
      <c r="BJ367" s="311"/>
      <c r="BK367" s="312"/>
      <c r="BL367" s="313">
        <f t="shared" si="139"/>
        <v>0</v>
      </c>
      <c r="BM367" s="308"/>
      <c r="BN367" s="309"/>
      <c r="BO367" s="310">
        <f t="shared" si="140"/>
        <v>0</v>
      </c>
      <c r="BP367" s="311"/>
      <c r="BQ367" s="312"/>
      <c r="BR367" s="313">
        <f t="shared" si="141"/>
        <v>0</v>
      </c>
      <c r="BS367" s="308"/>
      <c r="BT367" s="309"/>
      <c r="BU367" s="310">
        <f t="shared" si="142"/>
        <v>0</v>
      </c>
      <c r="BV367" s="311"/>
      <c r="BW367" s="312"/>
      <c r="BX367" s="313">
        <f t="shared" si="143"/>
        <v>0</v>
      </c>
    </row>
    <row r="368" spans="1:76">
      <c r="A368" s="304" t="s">
        <v>445</v>
      </c>
      <c r="B368" s="332" t="s">
        <v>298</v>
      </c>
      <c r="C368" s="304">
        <v>198817</v>
      </c>
      <c r="D368" s="307">
        <v>9</v>
      </c>
      <c r="E368" s="308"/>
      <c r="F368" s="309"/>
      <c r="G368" s="310">
        <f t="shared" si="120"/>
        <v>0</v>
      </c>
      <c r="H368" s="311"/>
      <c r="I368" s="312"/>
      <c r="J368" s="313">
        <f t="shared" si="121"/>
        <v>0</v>
      </c>
      <c r="K368" s="308"/>
      <c r="L368" s="309"/>
      <c r="M368" s="310">
        <f t="shared" si="122"/>
        <v>0</v>
      </c>
      <c r="N368" s="311"/>
      <c r="O368" s="312"/>
      <c r="P368" s="313">
        <f t="shared" si="123"/>
        <v>0</v>
      </c>
      <c r="Q368" s="308"/>
      <c r="R368" s="309"/>
      <c r="S368" s="310">
        <f t="shared" si="124"/>
        <v>0</v>
      </c>
      <c r="T368" s="311"/>
      <c r="U368" s="312"/>
      <c r="V368" s="313">
        <f t="shared" si="125"/>
        <v>0</v>
      </c>
      <c r="W368" s="308"/>
      <c r="X368" s="309"/>
      <c r="Y368" s="310">
        <f t="shared" si="126"/>
        <v>0</v>
      </c>
      <c r="Z368" s="311"/>
      <c r="AA368" s="312"/>
      <c r="AB368" s="313">
        <f t="shared" si="127"/>
        <v>0</v>
      </c>
      <c r="AC368" s="308"/>
      <c r="AD368" s="309"/>
      <c r="AE368" s="310">
        <f t="shared" si="128"/>
        <v>0</v>
      </c>
      <c r="AF368" s="311"/>
      <c r="AG368" s="312"/>
      <c r="AH368" s="313">
        <f t="shared" si="129"/>
        <v>0</v>
      </c>
      <c r="AI368" s="308">
        <v>96</v>
      </c>
      <c r="AJ368" s="309">
        <v>43172</v>
      </c>
      <c r="AK368" s="310">
        <f t="shared" si="130"/>
        <v>4144512</v>
      </c>
      <c r="AL368" s="393">
        <v>99</v>
      </c>
      <c r="AM368" s="394">
        <v>44630</v>
      </c>
      <c r="AN368" s="313">
        <f t="shared" si="131"/>
        <v>4418370</v>
      </c>
      <c r="AO368" s="308"/>
      <c r="AP368" s="309"/>
      <c r="AQ368" s="310">
        <f t="shared" si="132"/>
        <v>0</v>
      </c>
      <c r="AR368" s="311"/>
      <c r="AS368" s="312"/>
      <c r="AT368" s="313">
        <f t="shared" si="133"/>
        <v>0</v>
      </c>
      <c r="AU368" s="308"/>
      <c r="AV368" s="309"/>
      <c r="AW368" s="310">
        <f t="shared" si="134"/>
        <v>0</v>
      </c>
      <c r="AX368" s="311"/>
      <c r="AY368" s="312"/>
      <c r="AZ368" s="313">
        <f t="shared" si="135"/>
        <v>0</v>
      </c>
      <c r="BA368" s="308"/>
      <c r="BB368" s="309"/>
      <c r="BC368" s="310">
        <f t="shared" si="136"/>
        <v>0</v>
      </c>
      <c r="BD368" s="311"/>
      <c r="BE368" s="312"/>
      <c r="BF368" s="313">
        <f t="shared" si="137"/>
        <v>0</v>
      </c>
      <c r="BG368" s="308"/>
      <c r="BH368" s="309"/>
      <c r="BI368" s="310">
        <f t="shared" si="138"/>
        <v>0</v>
      </c>
      <c r="BJ368" s="311"/>
      <c r="BK368" s="312"/>
      <c r="BL368" s="313">
        <f t="shared" si="139"/>
        <v>0</v>
      </c>
      <c r="BM368" s="308"/>
      <c r="BN368" s="309"/>
      <c r="BO368" s="310">
        <f t="shared" si="140"/>
        <v>0</v>
      </c>
      <c r="BP368" s="311"/>
      <c r="BQ368" s="312"/>
      <c r="BR368" s="313">
        <f t="shared" si="141"/>
        <v>0</v>
      </c>
      <c r="BS368" s="308"/>
      <c r="BT368" s="309"/>
      <c r="BU368" s="310">
        <f t="shared" si="142"/>
        <v>0</v>
      </c>
      <c r="BV368" s="311"/>
      <c r="BW368" s="312"/>
      <c r="BX368" s="313">
        <f t="shared" si="143"/>
        <v>0</v>
      </c>
    </row>
    <row r="369" spans="1:76">
      <c r="A369" s="304" t="s">
        <v>445</v>
      </c>
      <c r="B369" s="426" t="s">
        <v>325</v>
      </c>
      <c r="C369" s="427">
        <v>198914</v>
      </c>
      <c r="D369" s="408">
        <v>9</v>
      </c>
      <c r="E369" s="308"/>
      <c r="F369" s="309"/>
      <c r="G369" s="310">
        <f t="shared" si="120"/>
        <v>0</v>
      </c>
      <c r="H369" s="311"/>
      <c r="I369" s="312"/>
      <c r="J369" s="313">
        <f t="shared" si="121"/>
        <v>0</v>
      </c>
      <c r="K369" s="308"/>
      <c r="L369" s="309"/>
      <c r="M369" s="310">
        <f t="shared" si="122"/>
        <v>0</v>
      </c>
      <c r="N369" s="311"/>
      <c r="O369" s="312"/>
      <c r="P369" s="313">
        <f t="shared" si="123"/>
        <v>0</v>
      </c>
      <c r="Q369" s="308"/>
      <c r="R369" s="309"/>
      <c r="S369" s="310">
        <f t="shared" si="124"/>
        <v>0</v>
      </c>
      <c r="T369" s="311"/>
      <c r="U369" s="312"/>
      <c r="V369" s="313">
        <f t="shared" si="125"/>
        <v>0</v>
      </c>
      <c r="W369" s="308"/>
      <c r="X369" s="309"/>
      <c r="Y369" s="310">
        <f t="shared" si="126"/>
        <v>0</v>
      </c>
      <c r="Z369" s="311"/>
      <c r="AA369" s="312"/>
      <c r="AB369" s="313">
        <f t="shared" si="127"/>
        <v>0</v>
      </c>
      <c r="AC369" s="308"/>
      <c r="AD369" s="309"/>
      <c r="AE369" s="310">
        <f t="shared" si="128"/>
        <v>0</v>
      </c>
      <c r="AF369" s="311"/>
      <c r="AG369" s="312"/>
      <c r="AH369" s="313">
        <f t="shared" si="129"/>
        <v>0</v>
      </c>
      <c r="AI369" s="308">
        <v>46</v>
      </c>
      <c r="AJ369" s="309">
        <v>42079</v>
      </c>
      <c r="AK369" s="310">
        <f t="shared" si="130"/>
        <v>1935634</v>
      </c>
      <c r="AL369" s="393">
        <v>42</v>
      </c>
      <c r="AM369" s="394">
        <v>43539</v>
      </c>
      <c r="AN369" s="313">
        <f t="shared" si="131"/>
        <v>1828638</v>
      </c>
      <c r="AO369" s="308"/>
      <c r="AP369" s="309"/>
      <c r="AQ369" s="310">
        <f t="shared" si="132"/>
        <v>0</v>
      </c>
      <c r="AR369" s="311"/>
      <c r="AS369" s="312"/>
      <c r="AT369" s="313">
        <f t="shared" si="133"/>
        <v>0</v>
      </c>
      <c r="AU369" s="308"/>
      <c r="AV369" s="309"/>
      <c r="AW369" s="310">
        <f t="shared" si="134"/>
        <v>0</v>
      </c>
      <c r="AX369" s="311"/>
      <c r="AY369" s="312"/>
      <c r="AZ369" s="313">
        <f t="shared" si="135"/>
        <v>0</v>
      </c>
      <c r="BA369" s="308"/>
      <c r="BB369" s="309"/>
      <c r="BC369" s="310">
        <f t="shared" si="136"/>
        <v>0</v>
      </c>
      <c r="BD369" s="311"/>
      <c r="BE369" s="312"/>
      <c r="BF369" s="313">
        <f t="shared" si="137"/>
        <v>0</v>
      </c>
      <c r="BG369" s="308"/>
      <c r="BH369" s="309"/>
      <c r="BI369" s="310">
        <f t="shared" si="138"/>
        <v>0</v>
      </c>
      <c r="BJ369" s="311"/>
      <c r="BK369" s="312"/>
      <c r="BL369" s="313">
        <f t="shared" si="139"/>
        <v>0</v>
      </c>
      <c r="BM369" s="308"/>
      <c r="BN369" s="309"/>
      <c r="BO369" s="310">
        <f t="shared" si="140"/>
        <v>0</v>
      </c>
      <c r="BP369" s="311"/>
      <c r="BQ369" s="312"/>
      <c r="BR369" s="313">
        <f t="shared" si="141"/>
        <v>0</v>
      </c>
      <c r="BS369" s="308"/>
      <c r="BT369" s="309"/>
      <c r="BU369" s="310">
        <f t="shared" si="142"/>
        <v>0</v>
      </c>
      <c r="BV369" s="311"/>
      <c r="BW369" s="312"/>
      <c r="BX369" s="313">
        <f t="shared" si="143"/>
        <v>0</v>
      </c>
    </row>
    <row r="370" spans="1:76">
      <c r="A370" s="304" t="s">
        <v>445</v>
      </c>
      <c r="B370" s="332" t="s">
        <v>299</v>
      </c>
      <c r="C370" s="304">
        <v>198987</v>
      </c>
      <c r="D370" s="307">
        <v>9</v>
      </c>
      <c r="E370" s="308"/>
      <c r="F370" s="309"/>
      <c r="G370" s="310">
        <f t="shared" si="120"/>
        <v>0</v>
      </c>
      <c r="H370" s="311"/>
      <c r="I370" s="312"/>
      <c r="J370" s="313">
        <f t="shared" si="121"/>
        <v>0</v>
      </c>
      <c r="K370" s="308"/>
      <c r="L370" s="309"/>
      <c r="M370" s="310">
        <f t="shared" si="122"/>
        <v>0</v>
      </c>
      <c r="N370" s="311"/>
      <c r="O370" s="312"/>
      <c r="P370" s="313">
        <f t="shared" si="123"/>
        <v>0</v>
      </c>
      <c r="Q370" s="308"/>
      <c r="R370" s="309"/>
      <c r="S370" s="310">
        <f t="shared" si="124"/>
        <v>0</v>
      </c>
      <c r="T370" s="311"/>
      <c r="U370" s="312"/>
      <c r="V370" s="313">
        <f t="shared" si="125"/>
        <v>0</v>
      </c>
      <c r="W370" s="308"/>
      <c r="X370" s="309"/>
      <c r="Y370" s="310">
        <f t="shared" si="126"/>
        <v>0</v>
      </c>
      <c r="Z370" s="311"/>
      <c r="AA370" s="312"/>
      <c r="AB370" s="313">
        <f t="shared" si="127"/>
        <v>0</v>
      </c>
      <c r="AC370" s="308"/>
      <c r="AD370" s="309"/>
      <c r="AE370" s="310">
        <f t="shared" si="128"/>
        <v>0</v>
      </c>
      <c r="AF370" s="311"/>
      <c r="AG370" s="312"/>
      <c r="AH370" s="313">
        <f t="shared" si="129"/>
        <v>0</v>
      </c>
      <c r="AI370" s="308">
        <v>71</v>
      </c>
      <c r="AJ370" s="309">
        <v>48057</v>
      </c>
      <c r="AK370" s="310">
        <f t="shared" si="130"/>
        <v>3412047</v>
      </c>
      <c r="AL370" s="393">
        <v>79</v>
      </c>
      <c r="AM370" s="394">
        <v>49061</v>
      </c>
      <c r="AN370" s="313">
        <f t="shared" si="131"/>
        <v>3875819</v>
      </c>
      <c r="AO370" s="308"/>
      <c r="AP370" s="309"/>
      <c r="AQ370" s="310">
        <f t="shared" si="132"/>
        <v>0</v>
      </c>
      <c r="AR370" s="311"/>
      <c r="AS370" s="312"/>
      <c r="AT370" s="313">
        <f t="shared" si="133"/>
        <v>0</v>
      </c>
      <c r="AU370" s="308"/>
      <c r="AV370" s="309"/>
      <c r="AW370" s="310">
        <f t="shared" si="134"/>
        <v>0</v>
      </c>
      <c r="AX370" s="311"/>
      <c r="AY370" s="312"/>
      <c r="AZ370" s="313">
        <f t="shared" si="135"/>
        <v>0</v>
      </c>
      <c r="BA370" s="308"/>
      <c r="BB370" s="309"/>
      <c r="BC370" s="310">
        <f t="shared" si="136"/>
        <v>0</v>
      </c>
      <c r="BD370" s="311"/>
      <c r="BE370" s="312"/>
      <c r="BF370" s="313">
        <f t="shared" si="137"/>
        <v>0</v>
      </c>
      <c r="BG370" s="308"/>
      <c r="BH370" s="309"/>
      <c r="BI370" s="310">
        <f t="shared" si="138"/>
        <v>0</v>
      </c>
      <c r="BJ370" s="311"/>
      <c r="BK370" s="312"/>
      <c r="BL370" s="313">
        <f t="shared" si="139"/>
        <v>0</v>
      </c>
      <c r="BM370" s="308"/>
      <c r="BN370" s="309"/>
      <c r="BO370" s="310">
        <f t="shared" si="140"/>
        <v>0</v>
      </c>
      <c r="BP370" s="311"/>
      <c r="BQ370" s="312"/>
      <c r="BR370" s="313">
        <f t="shared" si="141"/>
        <v>0</v>
      </c>
      <c r="BS370" s="308"/>
      <c r="BT370" s="309"/>
      <c r="BU370" s="310">
        <f t="shared" si="142"/>
        <v>0</v>
      </c>
      <c r="BV370" s="311"/>
      <c r="BW370" s="312"/>
      <c r="BX370" s="313">
        <f t="shared" si="143"/>
        <v>0</v>
      </c>
    </row>
    <row r="371" spans="1:76">
      <c r="A371" s="304" t="s">
        <v>445</v>
      </c>
      <c r="B371" s="332" t="s">
        <v>300</v>
      </c>
      <c r="C371" s="304">
        <v>199087</v>
      </c>
      <c r="D371" s="307">
        <v>9</v>
      </c>
      <c r="E371" s="308"/>
      <c r="F371" s="309"/>
      <c r="G371" s="310">
        <f t="shared" si="120"/>
        <v>0</v>
      </c>
      <c r="H371" s="311"/>
      <c r="I371" s="312"/>
      <c r="J371" s="313">
        <f t="shared" si="121"/>
        <v>0</v>
      </c>
      <c r="K371" s="308"/>
      <c r="L371" s="309"/>
      <c r="M371" s="310">
        <f t="shared" si="122"/>
        <v>0</v>
      </c>
      <c r="N371" s="311"/>
      <c r="O371" s="312"/>
      <c r="P371" s="313">
        <f t="shared" si="123"/>
        <v>0</v>
      </c>
      <c r="Q371" s="308"/>
      <c r="R371" s="309"/>
      <c r="S371" s="310">
        <f t="shared" si="124"/>
        <v>0</v>
      </c>
      <c r="T371" s="311"/>
      <c r="U371" s="312"/>
      <c r="V371" s="313">
        <f t="shared" si="125"/>
        <v>0</v>
      </c>
      <c r="W371" s="308"/>
      <c r="X371" s="309"/>
      <c r="Y371" s="310">
        <f t="shared" si="126"/>
        <v>0</v>
      </c>
      <c r="Z371" s="311"/>
      <c r="AA371" s="312"/>
      <c r="AB371" s="313">
        <f t="shared" si="127"/>
        <v>0</v>
      </c>
      <c r="AC371" s="308"/>
      <c r="AD371" s="309"/>
      <c r="AE371" s="310">
        <f t="shared" si="128"/>
        <v>0</v>
      </c>
      <c r="AF371" s="311"/>
      <c r="AG371" s="312"/>
      <c r="AH371" s="313">
        <f t="shared" si="129"/>
        <v>0</v>
      </c>
      <c r="AI371" s="308">
        <v>81</v>
      </c>
      <c r="AJ371" s="309">
        <v>46178</v>
      </c>
      <c r="AK371" s="310">
        <f t="shared" si="130"/>
        <v>3740418</v>
      </c>
      <c r="AL371" s="393">
        <v>87</v>
      </c>
      <c r="AM371" s="394">
        <v>46421</v>
      </c>
      <c r="AN371" s="313">
        <f t="shared" si="131"/>
        <v>4038627</v>
      </c>
      <c r="AO371" s="308"/>
      <c r="AP371" s="309"/>
      <c r="AQ371" s="310">
        <f t="shared" si="132"/>
        <v>0</v>
      </c>
      <c r="AR371" s="311"/>
      <c r="AS371" s="312"/>
      <c r="AT371" s="313">
        <f t="shared" si="133"/>
        <v>0</v>
      </c>
      <c r="AU371" s="308"/>
      <c r="AV371" s="309"/>
      <c r="AW371" s="310">
        <f t="shared" si="134"/>
        <v>0</v>
      </c>
      <c r="AX371" s="311"/>
      <c r="AY371" s="312"/>
      <c r="AZ371" s="313">
        <f t="shared" si="135"/>
        <v>0</v>
      </c>
      <c r="BA371" s="308"/>
      <c r="BB371" s="309"/>
      <c r="BC371" s="310">
        <f t="shared" si="136"/>
        <v>0</v>
      </c>
      <c r="BD371" s="311"/>
      <c r="BE371" s="312"/>
      <c r="BF371" s="313">
        <f t="shared" si="137"/>
        <v>0</v>
      </c>
      <c r="BG371" s="308"/>
      <c r="BH371" s="309"/>
      <c r="BI371" s="310">
        <f t="shared" si="138"/>
        <v>0</v>
      </c>
      <c r="BJ371" s="311"/>
      <c r="BK371" s="312"/>
      <c r="BL371" s="313">
        <f t="shared" si="139"/>
        <v>0</v>
      </c>
      <c r="BM371" s="308"/>
      <c r="BN371" s="309"/>
      <c r="BO371" s="310">
        <f t="shared" si="140"/>
        <v>0</v>
      </c>
      <c r="BP371" s="311"/>
      <c r="BQ371" s="312"/>
      <c r="BR371" s="313">
        <f t="shared" si="141"/>
        <v>0</v>
      </c>
      <c r="BS371" s="308"/>
      <c r="BT371" s="309"/>
      <c r="BU371" s="310">
        <f t="shared" si="142"/>
        <v>0</v>
      </c>
      <c r="BV371" s="311"/>
      <c r="BW371" s="312"/>
      <c r="BX371" s="313">
        <f t="shared" si="143"/>
        <v>0</v>
      </c>
    </row>
    <row r="372" spans="1:76">
      <c r="A372" s="304" t="s">
        <v>445</v>
      </c>
      <c r="B372" s="332" t="s">
        <v>301</v>
      </c>
      <c r="C372" s="304">
        <v>199324</v>
      </c>
      <c r="D372" s="307">
        <v>9</v>
      </c>
      <c r="E372" s="308"/>
      <c r="F372" s="309"/>
      <c r="G372" s="310">
        <f t="shared" si="120"/>
        <v>0</v>
      </c>
      <c r="H372" s="311"/>
      <c r="I372" s="312"/>
      <c r="J372" s="313">
        <f t="shared" si="121"/>
        <v>0</v>
      </c>
      <c r="K372" s="308"/>
      <c r="L372" s="309"/>
      <c r="M372" s="310">
        <f t="shared" si="122"/>
        <v>0</v>
      </c>
      <c r="N372" s="311"/>
      <c r="O372" s="312"/>
      <c r="P372" s="313">
        <f t="shared" si="123"/>
        <v>0</v>
      </c>
      <c r="Q372" s="308"/>
      <c r="R372" s="309"/>
      <c r="S372" s="310">
        <f t="shared" si="124"/>
        <v>0</v>
      </c>
      <c r="T372" s="311"/>
      <c r="U372" s="312"/>
      <c r="V372" s="313">
        <f t="shared" si="125"/>
        <v>0</v>
      </c>
      <c r="W372" s="308"/>
      <c r="X372" s="309"/>
      <c r="Y372" s="310">
        <f t="shared" si="126"/>
        <v>0</v>
      </c>
      <c r="Z372" s="311"/>
      <c r="AA372" s="312"/>
      <c r="AB372" s="313">
        <f t="shared" si="127"/>
        <v>0</v>
      </c>
      <c r="AC372" s="308"/>
      <c r="AD372" s="309"/>
      <c r="AE372" s="310">
        <f t="shared" si="128"/>
        <v>0</v>
      </c>
      <c r="AF372" s="311"/>
      <c r="AG372" s="312"/>
      <c r="AH372" s="313">
        <f t="shared" si="129"/>
        <v>0</v>
      </c>
      <c r="AI372" s="308">
        <v>83</v>
      </c>
      <c r="AJ372" s="309">
        <v>43858</v>
      </c>
      <c r="AK372" s="310">
        <f t="shared" si="130"/>
        <v>3640214</v>
      </c>
      <c r="AL372" s="393">
        <v>84</v>
      </c>
      <c r="AM372" s="394">
        <v>45864</v>
      </c>
      <c r="AN372" s="313">
        <f t="shared" si="131"/>
        <v>3852576</v>
      </c>
      <c r="AO372" s="308"/>
      <c r="AP372" s="309"/>
      <c r="AQ372" s="310">
        <f t="shared" si="132"/>
        <v>0</v>
      </c>
      <c r="AR372" s="311"/>
      <c r="AS372" s="312"/>
      <c r="AT372" s="313">
        <f t="shared" si="133"/>
        <v>0</v>
      </c>
      <c r="AU372" s="308"/>
      <c r="AV372" s="309"/>
      <c r="AW372" s="310">
        <f t="shared" si="134"/>
        <v>0</v>
      </c>
      <c r="AX372" s="311"/>
      <c r="AY372" s="312"/>
      <c r="AZ372" s="313">
        <f t="shared" si="135"/>
        <v>0</v>
      </c>
      <c r="BA372" s="308"/>
      <c r="BB372" s="309"/>
      <c r="BC372" s="310">
        <f t="shared" si="136"/>
        <v>0</v>
      </c>
      <c r="BD372" s="311"/>
      <c r="BE372" s="312"/>
      <c r="BF372" s="313">
        <f t="shared" si="137"/>
        <v>0</v>
      </c>
      <c r="BG372" s="308"/>
      <c r="BH372" s="309"/>
      <c r="BI372" s="310">
        <f t="shared" si="138"/>
        <v>0</v>
      </c>
      <c r="BJ372" s="311"/>
      <c r="BK372" s="312"/>
      <c r="BL372" s="313">
        <f t="shared" si="139"/>
        <v>0</v>
      </c>
      <c r="BM372" s="308"/>
      <c r="BN372" s="309"/>
      <c r="BO372" s="310">
        <f t="shared" si="140"/>
        <v>0</v>
      </c>
      <c r="BP372" s="311"/>
      <c r="BQ372" s="312"/>
      <c r="BR372" s="313">
        <f t="shared" si="141"/>
        <v>0</v>
      </c>
      <c r="BS372" s="308"/>
      <c r="BT372" s="309"/>
      <c r="BU372" s="310">
        <f t="shared" si="142"/>
        <v>0</v>
      </c>
      <c r="BV372" s="311"/>
      <c r="BW372" s="312"/>
      <c r="BX372" s="313">
        <f t="shared" si="143"/>
        <v>0</v>
      </c>
    </row>
    <row r="373" spans="1:76">
      <c r="A373" s="304" t="s">
        <v>445</v>
      </c>
      <c r="B373" s="332" t="s">
        <v>302</v>
      </c>
      <c r="C373" s="304">
        <v>199421</v>
      </c>
      <c r="D373" s="307">
        <v>9</v>
      </c>
      <c r="E373" s="308"/>
      <c r="F373" s="309"/>
      <c r="G373" s="310">
        <f t="shared" si="120"/>
        <v>0</v>
      </c>
      <c r="H373" s="311"/>
      <c r="I373" s="312"/>
      <c r="J373" s="313">
        <f t="shared" si="121"/>
        <v>0</v>
      </c>
      <c r="K373" s="308"/>
      <c r="L373" s="309"/>
      <c r="M373" s="310">
        <f t="shared" si="122"/>
        <v>0</v>
      </c>
      <c r="N373" s="311"/>
      <c r="O373" s="312"/>
      <c r="P373" s="313">
        <f t="shared" si="123"/>
        <v>0</v>
      </c>
      <c r="Q373" s="308"/>
      <c r="R373" s="309"/>
      <c r="S373" s="310">
        <f t="shared" si="124"/>
        <v>0</v>
      </c>
      <c r="T373" s="311"/>
      <c r="U373" s="312"/>
      <c r="V373" s="313">
        <f t="shared" si="125"/>
        <v>0</v>
      </c>
      <c r="W373" s="308"/>
      <c r="X373" s="309"/>
      <c r="Y373" s="310">
        <f t="shared" si="126"/>
        <v>0</v>
      </c>
      <c r="Z373" s="311"/>
      <c r="AA373" s="312"/>
      <c r="AB373" s="313">
        <f t="shared" si="127"/>
        <v>0</v>
      </c>
      <c r="AC373" s="308"/>
      <c r="AD373" s="309"/>
      <c r="AE373" s="310">
        <f t="shared" si="128"/>
        <v>0</v>
      </c>
      <c r="AF373" s="311"/>
      <c r="AG373" s="312"/>
      <c r="AH373" s="313">
        <f t="shared" si="129"/>
        <v>0</v>
      </c>
      <c r="AI373" s="308">
        <v>57</v>
      </c>
      <c r="AJ373" s="309">
        <v>44640</v>
      </c>
      <c r="AK373" s="310">
        <f t="shared" si="130"/>
        <v>2544480</v>
      </c>
      <c r="AL373" s="393">
        <v>57</v>
      </c>
      <c r="AM373" s="394">
        <v>46338</v>
      </c>
      <c r="AN373" s="313">
        <f t="shared" si="131"/>
        <v>2641266</v>
      </c>
      <c r="AO373" s="308"/>
      <c r="AP373" s="309"/>
      <c r="AQ373" s="310">
        <f t="shared" si="132"/>
        <v>0</v>
      </c>
      <c r="AR373" s="311"/>
      <c r="AS373" s="312"/>
      <c r="AT373" s="313">
        <f t="shared" si="133"/>
        <v>0</v>
      </c>
      <c r="AU373" s="308"/>
      <c r="AV373" s="309"/>
      <c r="AW373" s="310">
        <f t="shared" si="134"/>
        <v>0</v>
      </c>
      <c r="AX373" s="311"/>
      <c r="AY373" s="312"/>
      <c r="AZ373" s="313">
        <f t="shared" si="135"/>
        <v>0</v>
      </c>
      <c r="BA373" s="308"/>
      <c r="BB373" s="309"/>
      <c r="BC373" s="310">
        <f t="shared" si="136"/>
        <v>0</v>
      </c>
      <c r="BD373" s="311"/>
      <c r="BE373" s="312"/>
      <c r="BF373" s="313">
        <f t="shared" si="137"/>
        <v>0</v>
      </c>
      <c r="BG373" s="308"/>
      <c r="BH373" s="309"/>
      <c r="BI373" s="310">
        <f t="shared" si="138"/>
        <v>0</v>
      </c>
      <c r="BJ373" s="311"/>
      <c r="BK373" s="312"/>
      <c r="BL373" s="313">
        <f t="shared" si="139"/>
        <v>0</v>
      </c>
      <c r="BM373" s="308"/>
      <c r="BN373" s="309"/>
      <c r="BO373" s="310">
        <f t="shared" si="140"/>
        <v>0</v>
      </c>
      <c r="BP373" s="311"/>
      <c r="BQ373" s="312"/>
      <c r="BR373" s="313">
        <f t="shared" si="141"/>
        <v>0</v>
      </c>
      <c r="BS373" s="308"/>
      <c r="BT373" s="309"/>
      <c r="BU373" s="310">
        <f t="shared" si="142"/>
        <v>0</v>
      </c>
      <c r="BV373" s="311"/>
      <c r="BW373" s="312"/>
      <c r="BX373" s="313">
        <f t="shared" si="143"/>
        <v>0</v>
      </c>
    </row>
    <row r="374" spans="1:76">
      <c r="A374" s="304" t="s">
        <v>445</v>
      </c>
      <c r="B374" s="332" t="s">
        <v>303</v>
      </c>
      <c r="C374" s="304">
        <v>199449</v>
      </c>
      <c r="D374" s="307">
        <v>9</v>
      </c>
      <c r="E374" s="308"/>
      <c r="F374" s="309"/>
      <c r="G374" s="310">
        <f t="shared" si="120"/>
        <v>0</v>
      </c>
      <c r="H374" s="311"/>
      <c r="I374" s="312"/>
      <c r="J374" s="313">
        <f t="shared" si="121"/>
        <v>0</v>
      </c>
      <c r="K374" s="308"/>
      <c r="L374" s="309"/>
      <c r="M374" s="310">
        <f t="shared" si="122"/>
        <v>0</v>
      </c>
      <c r="N374" s="311"/>
      <c r="O374" s="312"/>
      <c r="P374" s="313">
        <f t="shared" si="123"/>
        <v>0</v>
      </c>
      <c r="Q374" s="308"/>
      <c r="R374" s="309"/>
      <c r="S374" s="310">
        <f t="shared" si="124"/>
        <v>0</v>
      </c>
      <c r="T374" s="311"/>
      <c r="U374" s="312"/>
      <c r="V374" s="313">
        <f t="shared" si="125"/>
        <v>0</v>
      </c>
      <c r="W374" s="308"/>
      <c r="X374" s="309"/>
      <c r="Y374" s="310">
        <f t="shared" si="126"/>
        <v>0</v>
      </c>
      <c r="Z374" s="311"/>
      <c r="AA374" s="312"/>
      <c r="AB374" s="313">
        <f t="shared" si="127"/>
        <v>0</v>
      </c>
      <c r="AC374" s="308"/>
      <c r="AD374" s="309"/>
      <c r="AE374" s="310">
        <f t="shared" si="128"/>
        <v>0</v>
      </c>
      <c r="AF374" s="311"/>
      <c r="AG374" s="312"/>
      <c r="AH374" s="313">
        <f t="shared" si="129"/>
        <v>0</v>
      </c>
      <c r="AI374" s="308">
        <v>50</v>
      </c>
      <c r="AJ374" s="309">
        <v>53879</v>
      </c>
      <c r="AK374" s="310">
        <f t="shared" si="130"/>
        <v>2693950</v>
      </c>
      <c r="AL374" s="393">
        <v>53</v>
      </c>
      <c r="AM374" s="394">
        <v>55704</v>
      </c>
      <c r="AN374" s="313">
        <f t="shared" si="131"/>
        <v>2952312</v>
      </c>
      <c r="AO374" s="308"/>
      <c r="AP374" s="309"/>
      <c r="AQ374" s="310">
        <f t="shared" si="132"/>
        <v>0</v>
      </c>
      <c r="AR374" s="311"/>
      <c r="AS374" s="312"/>
      <c r="AT374" s="313">
        <f t="shared" si="133"/>
        <v>0</v>
      </c>
      <c r="AU374" s="308"/>
      <c r="AV374" s="309"/>
      <c r="AW374" s="310">
        <f t="shared" si="134"/>
        <v>0</v>
      </c>
      <c r="AX374" s="311"/>
      <c r="AY374" s="312"/>
      <c r="AZ374" s="313">
        <f t="shared" si="135"/>
        <v>0</v>
      </c>
      <c r="BA374" s="308"/>
      <c r="BB374" s="309"/>
      <c r="BC374" s="310">
        <f t="shared" si="136"/>
        <v>0</v>
      </c>
      <c r="BD374" s="311"/>
      <c r="BE374" s="312"/>
      <c r="BF374" s="313">
        <f t="shared" si="137"/>
        <v>0</v>
      </c>
      <c r="BG374" s="308"/>
      <c r="BH374" s="309"/>
      <c r="BI374" s="310">
        <f t="shared" si="138"/>
        <v>0</v>
      </c>
      <c r="BJ374" s="311"/>
      <c r="BK374" s="312"/>
      <c r="BL374" s="313">
        <f t="shared" si="139"/>
        <v>0</v>
      </c>
      <c r="BM374" s="308"/>
      <c r="BN374" s="309"/>
      <c r="BO374" s="310">
        <f t="shared" si="140"/>
        <v>0</v>
      </c>
      <c r="BP374" s="311"/>
      <c r="BQ374" s="312"/>
      <c r="BR374" s="313">
        <f t="shared" si="141"/>
        <v>0</v>
      </c>
      <c r="BS374" s="308"/>
      <c r="BT374" s="309"/>
      <c r="BU374" s="310">
        <f t="shared" si="142"/>
        <v>0</v>
      </c>
      <c r="BV374" s="311"/>
      <c r="BW374" s="312"/>
      <c r="BX374" s="313">
        <f t="shared" si="143"/>
        <v>0</v>
      </c>
    </row>
    <row r="375" spans="1:76">
      <c r="A375" s="304" t="s">
        <v>445</v>
      </c>
      <c r="B375" s="332" t="s">
        <v>304</v>
      </c>
      <c r="C375" s="304">
        <v>199476</v>
      </c>
      <c r="D375" s="307">
        <v>9</v>
      </c>
      <c r="E375" s="308"/>
      <c r="F375" s="309"/>
      <c r="G375" s="310">
        <f t="shared" si="120"/>
        <v>0</v>
      </c>
      <c r="H375" s="311"/>
      <c r="I375" s="312"/>
      <c r="J375" s="313">
        <f t="shared" si="121"/>
        <v>0</v>
      </c>
      <c r="K375" s="308"/>
      <c r="L375" s="309"/>
      <c r="M375" s="310">
        <f t="shared" si="122"/>
        <v>0</v>
      </c>
      <c r="N375" s="311"/>
      <c r="O375" s="312"/>
      <c r="P375" s="313">
        <f t="shared" si="123"/>
        <v>0</v>
      </c>
      <c r="Q375" s="308"/>
      <c r="R375" s="309"/>
      <c r="S375" s="310">
        <f t="shared" si="124"/>
        <v>0</v>
      </c>
      <c r="T375" s="311"/>
      <c r="U375" s="312"/>
      <c r="V375" s="313">
        <f t="shared" si="125"/>
        <v>0</v>
      </c>
      <c r="W375" s="308"/>
      <c r="X375" s="309"/>
      <c r="Y375" s="310">
        <f t="shared" si="126"/>
        <v>0</v>
      </c>
      <c r="Z375" s="311"/>
      <c r="AA375" s="312"/>
      <c r="AB375" s="313">
        <f t="shared" si="127"/>
        <v>0</v>
      </c>
      <c r="AC375" s="308"/>
      <c r="AD375" s="309"/>
      <c r="AE375" s="310">
        <f t="shared" si="128"/>
        <v>0</v>
      </c>
      <c r="AF375" s="311"/>
      <c r="AG375" s="312"/>
      <c r="AH375" s="313">
        <f t="shared" si="129"/>
        <v>0</v>
      </c>
      <c r="AI375" s="308">
        <v>68</v>
      </c>
      <c r="AJ375" s="309">
        <v>48615</v>
      </c>
      <c r="AK375" s="310">
        <f t="shared" si="130"/>
        <v>3305820</v>
      </c>
      <c r="AL375" s="393">
        <v>66</v>
      </c>
      <c r="AM375" s="394">
        <v>49961</v>
      </c>
      <c r="AN375" s="313">
        <f t="shared" si="131"/>
        <v>3297426</v>
      </c>
      <c r="AO375" s="308"/>
      <c r="AP375" s="309"/>
      <c r="AQ375" s="310">
        <f t="shared" si="132"/>
        <v>0</v>
      </c>
      <c r="AR375" s="311"/>
      <c r="AS375" s="312"/>
      <c r="AT375" s="313">
        <f t="shared" si="133"/>
        <v>0</v>
      </c>
      <c r="AU375" s="308"/>
      <c r="AV375" s="309"/>
      <c r="AW375" s="310">
        <f t="shared" si="134"/>
        <v>0</v>
      </c>
      <c r="AX375" s="311"/>
      <c r="AY375" s="312"/>
      <c r="AZ375" s="313">
        <f t="shared" si="135"/>
        <v>0</v>
      </c>
      <c r="BA375" s="308"/>
      <c r="BB375" s="309"/>
      <c r="BC375" s="310">
        <f t="shared" si="136"/>
        <v>0</v>
      </c>
      <c r="BD375" s="311"/>
      <c r="BE375" s="312"/>
      <c r="BF375" s="313">
        <f t="shared" si="137"/>
        <v>0</v>
      </c>
      <c r="BG375" s="308"/>
      <c r="BH375" s="309"/>
      <c r="BI375" s="310">
        <f t="shared" si="138"/>
        <v>0</v>
      </c>
      <c r="BJ375" s="311"/>
      <c r="BK375" s="312"/>
      <c r="BL375" s="313">
        <f t="shared" si="139"/>
        <v>0</v>
      </c>
      <c r="BM375" s="308"/>
      <c r="BN375" s="309"/>
      <c r="BO375" s="310">
        <f t="shared" si="140"/>
        <v>0</v>
      </c>
      <c r="BP375" s="311"/>
      <c r="BQ375" s="312"/>
      <c r="BR375" s="313">
        <f t="shared" si="141"/>
        <v>0</v>
      </c>
      <c r="BS375" s="308"/>
      <c r="BT375" s="309"/>
      <c r="BU375" s="310">
        <f t="shared" si="142"/>
        <v>0</v>
      </c>
      <c r="BV375" s="311"/>
      <c r="BW375" s="312"/>
      <c r="BX375" s="313">
        <f t="shared" si="143"/>
        <v>0</v>
      </c>
    </row>
    <row r="376" spans="1:76">
      <c r="A376" s="304" t="s">
        <v>445</v>
      </c>
      <c r="B376" s="332" t="s">
        <v>305</v>
      </c>
      <c r="C376" s="304">
        <v>199485</v>
      </c>
      <c r="D376" s="307">
        <v>9</v>
      </c>
      <c r="E376" s="308"/>
      <c r="F376" s="309"/>
      <c r="G376" s="310">
        <f t="shared" si="120"/>
        <v>0</v>
      </c>
      <c r="H376" s="311"/>
      <c r="I376" s="312"/>
      <c r="J376" s="313">
        <f t="shared" si="121"/>
        <v>0</v>
      </c>
      <c r="K376" s="308"/>
      <c r="L376" s="309"/>
      <c r="M376" s="310">
        <f t="shared" si="122"/>
        <v>0</v>
      </c>
      <c r="N376" s="311"/>
      <c r="O376" s="312"/>
      <c r="P376" s="313">
        <f t="shared" si="123"/>
        <v>0</v>
      </c>
      <c r="Q376" s="308"/>
      <c r="R376" s="309"/>
      <c r="S376" s="310">
        <f t="shared" si="124"/>
        <v>0</v>
      </c>
      <c r="T376" s="311"/>
      <c r="U376" s="312"/>
      <c r="V376" s="313">
        <f t="shared" si="125"/>
        <v>0</v>
      </c>
      <c r="W376" s="308"/>
      <c r="X376" s="309"/>
      <c r="Y376" s="310">
        <f t="shared" si="126"/>
        <v>0</v>
      </c>
      <c r="Z376" s="311"/>
      <c r="AA376" s="312"/>
      <c r="AB376" s="313">
        <f t="shared" si="127"/>
        <v>0</v>
      </c>
      <c r="AC376" s="308"/>
      <c r="AD376" s="309"/>
      <c r="AE376" s="310">
        <f t="shared" si="128"/>
        <v>0</v>
      </c>
      <c r="AF376" s="311"/>
      <c r="AG376" s="312"/>
      <c r="AH376" s="313">
        <f t="shared" si="129"/>
        <v>0</v>
      </c>
      <c r="AI376" s="308">
        <v>69</v>
      </c>
      <c r="AJ376" s="309">
        <v>45075</v>
      </c>
      <c r="AK376" s="310">
        <f t="shared" si="130"/>
        <v>3110175</v>
      </c>
      <c r="AL376" s="393">
        <v>64</v>
      </c>
      <c r="AM376" s="394">
        <v>46406</v>
      </c>
      <c r="AN376" s="313">
        <f t="shared" si="131"/>
        <v>2969984</v>
      </c>
      <c r="AO376" s="308"/>
      <c r="AP376" s="309"/>
      <c r="AQ376" s="310">
        <f t="shared" si="132"/>
        <v>0</v>
      </c>
      <c r="AR376" s="311"/>
      <c r="AS376" s="312"/>
      <c r="AT376" s="313">
        <f t="shared" si="133"/>
        <v>0</v>
      </c>
      <c r="AU376" s="308"/>
      <c r="AV376" s="309"/>
      <c r="AW376" s="310">
        <f t="shared" si="134"/>
        <v>0</v>
      </c>
      <c r="AX376" s="311"/>
      <c r="AY376" s="312"/>
      <c r="AZ376" s="313">
        <f t="shared" si="135"/>
        <v>0</v>
      </c>
      <c r="BA376" s="308"/>
      <c r="BB376" s="309"/>
      <c r="BC376" s="310">
        <f t="shared" si="136"/>
        <v>0</v>
      </c>
      <c r="BD376" s="311"/>
      <c r="BE376" s="312"/>
      <c r="BF376" s="313">
        <f t="shared" si="137"/>
        <v>0</v>
      </c>
      <c r="BG376" s="308"/>
      <c r="BH376" s="309"/>
      <c r="BI376" s="310">
        <f t="shared" si="138"/>
        <v>0</v>
      </c>
      <c r="BJ376" s="311"/>
      <c r="BK376" s="312"/>
      <c r="BL376" s="313">
        <f t="shared" si="139"/>
        <v>0</v>
      </c>
      <c r="BM376" s="308"/>
      <c r="BN376" s="309"/>
      <c r="BO376" s="310">
        <f t="shared" si="140"/>
        <v>0</v>
      </c>
      <c r="BP376" s="311"/>
      <c r="BQ376" s="312"/>
      <c r="BR376" s="313">
        <f t="shared" si="141"/>
        <v>0</v>
      </c>
      <c r="BS376" s="308"/>
      <c r="BT376" s="309"/>
      <c r="BU376" s="310">
        <f t="shared" si="142"/>
        <v>0</v>
      </c>
      <c r="BV376" s="311"/>
      <c r="BW376" s="312"/>
      <c r="BX376" s="313">
        <f t="shared" si="143"/>
        <v>0</v>
      </c>
    </row>
    <row r="377" spans="1:76">
      <c r="A377" s="304" t="s">
        <v>445</v>
      </c>
      <c r="B377" s="332" t="s">
        <v>307</v>
      </c>
      <c r="C377" s="304">
        <v>199634</v>
      </c>
      <c r="D377" s="307">
        <v>9</v>
      </c>
      <c r="E377" s="308"/>
      <c r="F377" s="309"/>
      <c r="G377" s="310">
        <f t="shared" si="120"/>
        <v>0</v>
      </c>
      <c r="H377" s="311"/>
      <c r="I377" s="312"/>
      <c r="J377" s="313">
        <f t="shared" si="121"/>
        <v>0</v>
      </c>
      <c r="K377" s="308"/>
      <c r="L377" s="309"/>
      <c r="M377" s="310">
        <f t="shared" si="122"/>
        <v>0</v>
      </c>
      <c r="N377" s="311"/>
      <c r="O377" s="312"/>
      <c r="P377" s="313">
        <f t="shared" si="123"/>
        <v>0</v>
      </c>
      <c r="Q377" s="308"/>
      <c r="R377" s="309"/>
      <c r="S377" s="310">
        <f t="shared" si="124"/>
        <v>0</v>
      </c>
      <c r="T377" s="311"/>
      <c r="U377" s="312"/>
      <c r="V377" s="313">
        <f t="shared" si="125"/>
        <v>0</v>
      </c>
      <c r="W377" s="308"/>
      <c r="X377" s="309"/>
      <c r="Y377" s="310">
        <f t="shared" si="126"/>
        <v>0</v>
      </c>
      <c r="Z377" s="311"/>
      <c r="AA377" s="312"/>
      <c r="AB377" s="313">
        <f t="shared" si="127"/>
        <v>0</v>
      </c>
      <c r="AC377" s="308"/>
      <c r="AD377" s="309"/>
      <c r="AE377" s="310">
        <f t="shared" si="128"/>
        <v>0</v>
      </c>
      <c r="AF377" s="311"/>
      <c r="AG377" s="312"/>
      <c r="AH377" s="313">
        <f t="shared" si="129"/>
        <v>0</v>
      </c>
      <c r="AI377" s="308">
        <v>119</v>
      </c>
      <c r="AJ377" s="309">
        <v>50358</v>
      </c>
      <c r="AK377" s="310">
        <f t="shared" si="130"/>
        <v>5992602</v>
      </c>
      <c r="AL377" s="393">
        <v>116</v>
      </c>
      <c r="AM377" s="394">
        <v>51523</v>
      </c>
      <c r="AN377" s="313">
        <f t="shared" si="131"/>
        <v>5976668</v>
      </c>
      <c r="AO377" s="308"/>
      <c r="AP377" s="309"/>
      <c r="AQ377" s="310">
        <f t="shared" si="132"/>
        <v>0</v>
      </c>
      <c r="AR377" s="311"/>
      <c r="AS377" s="312"/>
      <c r="AT377" s="313">
        <f t="shared" si="133"/>
        <v>0</v>
      </c>
      <c r="AU377" s="308"/>
      <c r="AV377" s="309"/>
      <c r="AW377" s="310">
        <f t="shared" si="134"/>
        <v>0</v>
      </c>
      <c r="AX377" s="311"/>
      <c r="AY377" s="312"/>
      <c r="AZ377" s="313">
        <f t="shared" si="135"/>
        <v>0</v>
      </c>
      <c r="BA377" s="308"/>
      <c r="BB377" s="309"/>
      <c r="BC377" s="310">
        <f t="shared" si="136"/>
        <v>0</v>
      </c>
      <c r="BD377" s="311"/>
      <c r="BE377" s="312"/>
      <c r="BF377" s="313">
        <f t="shared" si="137"/>
        <v>0</v>
      </c>
      <c r="BG377" s="308"/>
      <c r="BH377" s="309"/>
      <c r="BI377" s="310">
        <f t="shared" si="138"/>
        <v>0</v>
      </c>
      <c r="BJ377" s="311"/>
      <c r="BK377" s="312"/>
      <c r="BL377" s="313">
        <f t="shared" si="139"/>
        <v>0</v>
      </c>
      <c r="BM377" s="308"/>
      <c r="BN377" s="309"/>
      <c r="BO377" s="310">
        <f t="shared" si="140"/>
        <v>0</v>
      </c>
      <c r="BP377" s="311"/>
      <c r="BQ377" s="312"/>
      <c r="BR377" s="313">
        <f t="shared" si="141"/>
        <v>0</v>
      </c>
      <c r="BS377" s="308"/>
      <c r="BT377" s="309"/>
      <c r="BU377" s="310">
        <f t="shared" si="142"/>
        <v>0</v>
      </c>
      <c r="BV377" s="311"/>
      <c r="BW377" s="312"/>
      <c r="BX377" s="313">
        <f t="shared" si="143"/>
        <v>0</v>
      </c>
    </row>
    <row r="378" spans="1:76">
      <c r="A378" s="304" t="s">
        <v>445</v>
      </c>
      <c r="B378" s="332" t="s">
        <v>308</v>
      </c>
      <c r="C378" s="304">
        <v>197850</v>
      </c>
      <c r="D378" s="307">
        <v>9</v>
      </c>
      <c r="E378" s="308"/>
      <c r="F378" s="309"/>
      <c r="G378" s="310">
        <f t="shared" si="120"/>
        <v>0</v>
      </c>
      <c r="H378" s="311"/>
      <c r="I378" s="312"/>
      <c r="J378" s="313">
        <f t="shared" si="121"/>
        <v>0</v>
      </c>
      <c r="K378" s="308"/>
      <c r="L378" s="309"/>
      <c r="M378" s="310">
        <f t="shared" si="122"/>
        <v>0</v>
      </c>
      <c r="N378" s="311"/>
      <c r="O378" s="312"/>
      <c r="P378" s="313">
        <f t="shared" si="123"/>
        <v>0</v>
      </c>
      <c r="Q378" s="308"/>
      <c r="R378" s="309"/>
      <c r="S378" s="310">
        <f t="shared" si="124"/>
        <v>0</v>
      </c>
      <c r="T378" s="311"/>
      <c r="U378" s="312"/>
      <c r="V378" s="313">
        <f t="shared" si="125"/>
        <v>0</v>
      </c>
      <c r="W378" s="308"/>
      <c r="X378" s="309"/>
      <c r="Y378" s="310">
        <f t="shared" si="126"/>
        <v>0</v>
      </c>
      <c r="Z378" s="311"/>
      <c r="AA378" s="312"/>
      <c r="AB378" s="313">
        <f t="shared" si="127"/>
        <v>0</v>
      </c>
      <c r="AC378" s="308"/>
      <c r="AD378" s="309"/>
      <c r="AE378" s="310">
        <f t="shared" si="128"/>
        <v>0</v>
      </c>
      <c r="AF378" s="311"/>
      <c r="AG378" s="312"/>
      <c r="AH378" s="313">
        <f t="shared" si="129"/>
        <v>0</v>
      </c>
      <c r="AI378" s="308">
        <v>61</v>
      </c>
      <c r="AJ378" s="309">
        <v>43128</v>
      </c>
      <c r="AK378" s="310">
        <f t="shared" si="130"/>
        <v>2630808</v>
      </c>
      <c r="AL378" s="393">
        <v>64</v>
      </c>
      <c r="AM378" s="394">
        <v>44770</v>
      </c>
      <c r="AN378" s="313">
        <f t="shared" si="131"/>
        <v>2865280</v>
      </c>
      <c r="AO378" s="308"/>
      <c r="AP378" s="309"/>
      <c r="AQ378" s="310">
        <f t="shared" si="132"/>
        <v>0</v>
      </c>
      <c r="AR378" s="311"/>
      <c r="AS378" s="312"/>
      <c r="AT378" s="313">
        <f t="shared" si="133"/>
        <v>0</v>
      </c>
      <c r="AU378" s="308"/>
      <c r="AV378" s="309"/>
      <c r="AW378" s="310">
        <f t="shared" si="134"/>
        <v>0</v>
      </c>
      <c r="AX378" s="311"/>
      <c r="AY378" s="312"/>
      <c r="AZ378" s="313">
        <f t="shared" si="135"/>
        <v>0</v>
      </c>
      <c r="BA378" s="308"/>
      <c r="BB378" s="309"/>
      <c r="BC378" s="310">
        <f t="shared" si="136"/>
        <v>0</v>
      </c>
      <c r="BD378" s="311"/>
      <c r="BE378" s="312"/>
      <c r="BF378" s="313">
        <f t="shared" si="137"/>
        <v>0</v>
      </c>
      <c r="BG378" s="308"/>
      <c r="BH378" s="309"/>
      <c r="BI378" s="310">
        <f t="shared" si="138"/>
        <v>0</v>
      </c>
      <c r="BJ378" s="311"/>
      <c r="BK378" s="312"/>
      <c r="BL378" s="313">
        <f t="shared" si="139"/>
        <v>0</v>
      </c>
      <c r="BM378" s="308"/>
      <c r="BN378" s="309"/>
      <c r="BO378" s="310">
        <f t="shared" si="140"/>
        <v>0</v>
      </c>
      <c r="BP378" s="311"/>
      <c r="BQ378" s="312"/>
      <c r="BR378" s="313">
        <f t="shared" si="141"/>
        <v>0</v>
      </c>
      <c r="BS378" s="308"/>
      <c r="BT378" s="309"/>
      <c r="BU378" s="310">
        <f t="shared" si="142"/>
        <v>0</v>
      </c>
      <c r="BV378" s="311"/>
      <c r="BW378" s="312"/>
      <c r="BX378" s="313">
        <f t="shared" si="143"/>
        <v>0</v>
      </c>
    </row>
    <row r="379" spans="1:76">
      <c r="A379" s="304" t="s">
        <v>445</v>
      </c>
      <c r="B379" s="332" t="s">
        <v>310</v>
      </c>
      <c r="C379" s="304">
        <v>199722</v>
      </c>
      <c r="D379" s="307">
        <v>9</v>
      </c>
      <c r="E379" s="308"/>
      <c r="F379" s="309"/>
      <c r="G379" s="310">
        <f t="shared" si="120"/>
        <v>0</v>
      </c>
      <c r="H379" s="311"/>
      <c r="I379" s="312"/>
      <c r="J379" s="313">
        <f t="shared" si="121"/>
        <v>0</v>
      </c>
      <c r="K379" s="308"/>
      <c r="L379" s="309"/>
      <c r="M379" s="310">
        <f t="shared" si="122"/>
        <v>0</v>
      </c>
      <c r="N379" s="311"/>
      <c r="O379" s="312"/>
      <c r="P379" s="313">
        <f t="shared" si="123"/>
        <v>0</v>
      </c>
      <c r="Q379" s="308"/>
      <c r="R379" s="309"/>
      <c r="S379" s="310">
        <f t="shared" si="124"/>
        <v>0</v>
      </c>
      <c r="T379" s="311"/>
      <c r="U379" s="312"/>
      <c r="V379" s="313">
        <f t="shared" si="125"/>
        <v>0</v>
      </c>
      <c r="W379" s="308"/>
      <c r="X379" s="309"/>
      <c r="Y379" s="310">
        <f t="shared" si="126"/>
        <v>0</v>
      </c>
      <c r="Z379" s="311"/>
      <c r="AA379" s="312"/>
      <c r="AB379" s="313">
        <f t="shared" si="127"/>
        <v>0</v>
      </c>
      <c r="AC379" s="308"/>
      <c r="AD379" s="309"/>
      <c r="AE379" s="310">
        <f t="shared" si="128"/>
        <v>0</v>
      </c>
      <c r="AF379" s="311"/>
      <c r="AG379" s="312"/>
      <c r="AH379" s="313">
        <f t="shared" si="129"/>
        <v>0</v>
      </c>
      <c r="AI379" s="308">
        <v>64</v>
      </c>
      <c r="AJ379" s="309">
        <v>53285</v>
      </c>
      <c r="AK379" s="310">
        <f t="shared" si="130"/>
        <v>3410240</v>
      </c>
      <c r="AL379" s="393">
        <v>61</v>
      </c>
      <c r="AM379" s="394">
        <v>53782</v>
      </c>
      <c r="AN379" s="313">
        <f t="shared" si="131"/>
        <v>3280702</v>
      </c>
      <c r="AO379" s="308"/>
      <c r="AP379" s="309"/>
      <c r="AQ379" s="310">
        <f t="shared" si="132"/>
        <v>0</v>
      </c>
      <c r="AR379" s="311"/>
      <c r="AS379" s="312"/>
      <c r="AT379" s="313">
        <f t="shared" si="133"/>
        <v>0</v>
      </c>
      <c r="AU379" s="308"/>
      <c r="AV379" s="309"/>
      <c r="AW379" s="310">
        <f t="shared" si="134"/>
        <v>0</v>
      </c>
      <c r="AX379" s="311"/>
      <c r="AY379" s="312"/>
      <c r="AZ379" s="313">
        <f t="shared" si="135"/>
        <v>0</v>
      </c>
      <c r="BA379" s="308"/>
      <c r="BB379" s="309"/>
      <c r="BC379" s="310">
        <f t="shared" si="136"/>
        <v>0</v>
      </c>
      <c r="BD379" s="311"/>
      <c r="BE379" s="312"/>
      <c r="BF379" s="313">
        <f t="shared" si="137"/>
        <v>0</v>
      </c>
      <c r="BG379" s="308"/>
      <c r="BH379" s="309"/>
      <c r="BI379" s="310">
        <f t="shared" si="138"/>
        <v>0</v>
      </c>
      <c r="BJ379" s="311"/>
      <c r="BK379" s="312"/>
      <c r="BL379" s="313">
        <f t="shared" si="139"/>
        <v>0</v>
      </c>
      <c r="BM379" s="308"/>
      <c r="BN379" s="309"/>
      <c r="BO379" s="310">
        <f t="shared" si="140"/>
        <v>0</v>
      </c>
      <c r="BP379" s="311"/>
      <c r="BQ379" s="312"/>
      <c r="BR379" s="313">
        <f t="shared" si="141"/>
        <v>0</v>
      </c>
      <c r="BS379" s="308"/>
      <c r="BT379" s="309"/>
      <c r="BU379" s="310">
        <f t="shared" si="142"/>
        <v>0</v>
      </c>
      <c r="BV379" s="311"/>
      <c r="BW379" s="312"/>
      <c r="BX379" s="313">
        <f t="shared" si="143"/>
        <v>0</v>
      </c>
    </row>
    <row r="380" spans="1:76">
      <c r="A380" s="304" t="s">
        <v>445</v>
      </c>
      <c r="B380" s="332" t="s">
        <v>311</v>
      </c>
      <c r="C380" s="304">
        <v>199731</v>
      </c>
      <c r="D380" s="307">
        <v>9</v>
      </c>
      <c r="E380" s="308"/>
      <c r="F380" s="309"/>
      <c r="G380" s="310">
        <f t="shared" si="120"/>
        <v>0</v>
      </c>
      <c r="H380" s="311"/>
      <c r="I380" s="312"/>
      <c r="J380" s="313">
        <f t="shared" si="121"/>
        <v>0</v>
      </c>
      <c r="K380" s="308"/>
      <c r="L380" s="309"/>
      <c r="M380" s="310">
        <f t="shared" si="122"/>
        <v>0</v>
      </c>
      <c r="N380" s="311"/>
      <c r="O380" s="312"/>
      <c r="P380" s="313">
        <f t="shared" si="123"/>
        <v>0</v>
      </c>
      <c r="Q380" s="308"/>
      <c r="R380" s="309"/>
      <c r="S380" s="310">
        <f t="shared" si="124"/>
        <v>0</v>
      </c>
      <c r="T380" s="311"/>
      <c r="U380" s="312"/>
      <c r="V380" s="313">
        <f t="shared" si="125"/>
        <v>0</v>
      </c>
      <c r="W380" s="308"/>
      <c r="X380" s="309"/>
      <c r="Y380" s="310">
        <f t="shared" si="126"/>
        <v>0</v>
      </c>
      <c r="Z380" s="311"/>
      <c r="AA380" s="312"/>
      <c r="AB380" s="313">
        <f t="shared" si="127"/>
        <v>0</v>
      </c>
      <c r="AC380" s="308"/>
      <c r="AD380" s="309"/>
      <c r="AE380" s="310">
        <f t="shared" si="128"/>
        <v>0</v>
      </c>
      <c r="AF380" s="311"/>
      <c r="AG380" s="312"/>
      <c r="AH380" s="313">
        <f t="shared" si="129"/>
        <v>0</v>
      </c>
      <c r="AI380" s="308">
        <v>63</v>
      </c>
      <c r="AJ380" s="309">
        <v>47535</v>
      </c>
      <c r="AK380" s="310">
        <f t="shared" si="130"/>
        <v>2994705</v>
      </c>
      <c r="AL380" s="393">
        <v>68</v>
      </c>
      <c r="AM380" s="394">
        <v>48006</v>
      </c>
      <c r="AN380" s="313">
        <f t="shared" si="131"/>
        <v>3264408</v>
      </c>
      <c r="AO380" s="308"/>
      <c r="AP380" s="309"/>
      <c r="AQ380" s="310">
        <f t="shared" si="132"/>
        <v>0</v>
      </c>
      <c r="AR380" s="311"/>
      <c r="AS380" s="312"/>
      <c r="AT380" s="313">
        <f t="shared" si="133"/>
        <v>0</v>
      </c>
      <c r="AU380" s="308"/>
      <c r="AV380" s="309"/>
      <c r="AW380" s="310">
        <f t="shared" si="134"/>
        <v>0</v>
      </c>
      <c r="AX380" s="311"/>
      <c r="AY380" s="312"/>
      <c r="AZ380" s="313">
        <f t="shared" si="135"/>
        <v>0</v>
      </c>
      <c r="BA380" s="308"/>
      <c r="BB380" s="309"/>
      <c r="BC380" s="310">
        <f t="shared" si="136"/>
        <v>0</v>
      </c>
      <c r="BD380" s="311"/>
      <c r="BE380" s="312"/>
      <c r="BF380" s="313">
        <f t="shared" si="137"/>
        <v>0</v>
      </c>
      <c r="BG380" s="308"/>
      <c r="BH380" s="309"/>
      <c r="BI380" s="310">
        <f t="shared" si="138"/>
        <v>0</v>
      </c>
      <c r="BJ380" s="311"/>
      <c r="BK380" s="312"/>
      <c r="BL380" s="313">
        <f t="shared" si="139"/>
        <v>0</v>
      </c>
      <c r="BM380" s="308"/>
      <c r="BN380" s="309"/>
      <c r="BO380" s="310">
        <f t="shared" si="140"/>
        <v>0</v>
      </c>
      <c r="BP380" s="311"/>
      <c r="BQ380" s="312"/>
      <c r="BR380" s="313">
        <f t="shared" si="141"/>
        <v>0</v>
      </c>
      <c r="BS380" s="308"/>
      <c r="BT380" s="309"/>
      <c r="BU380" s="310">
        <f t="shared" si="142"/>
        <v>0</v>
      </c>
      <c r="BV380" s="311"/>
      <c r="BW380" s="312"/>
      <c r="BX380" s="313">
        <f t="shared" si="143"/>
        <v>0</v>
      </c>
    </row>
    <row r="381" spans="1:76">
      <c r="A381" s="304" t="s">
        <v>445</v>
      </c>
      <c r="B381" s="332" t="s">
        <v>312</v>
      </c>
      <c r="C381" s="304">
        <v>199740</v>
      </c>
      <c r="D381" s="307">
        <v>9</v>
      </c>
      <c r="E381" s="308"/>
      <c r="F381" s="309"/>
      <c r="G381" s="310">
        <f t="shared" si="120"/>
        <v>0</v>
      </c>
      <c r="H381" s="311"/>
      <c r="I381" s="312"/>
      <c r="J381" s="313">
        <f t="shared" si="121"/>
        <v>0</v>
      </c>
      <c r="K381" s="308"/>
      <c r="L381" s="309"/>
      <c r="M381" s="310">
        <f t="shared" si="122"/>
        <v>0</v>
      </c>
      <c r="N381" s="311"/>
      <c r="O381" s="312"/>
      <c r="P381" s="313">
        <f t="shared" si="123"/>
        <v>0</v>
      </c>
      <c r="Q381" s="308"/>
      <c r="R381" s="309"/>
      <c r="S381" s="310">
        <f t="shared" si="124"/>
        <v>0</v>
      </c>
      <c r="T381" s="311"/>
      <c r="U381" s="312"/>
      <c r="V381" s="313">
        <f t="shared" si="125"/>
        <v>0</v>
      </c>
      <c r="W381" s="308"/>
      <c r="X381" s="309"/>
      <c r="Y381" s="310">
        <f t="shared" si="126"/>
        <v>0</v>
      </c>
      <c r="Z381" s="311"/>
      <c r="AA381" s="312"/>
      <c r="AB381" s="313">
        <f t="shared" si="127"/>
        <v>0</v>
      </c>
      <c r="AC381" s="308"/>
      <c r="AD381" s="309"/>
      <c r="AE381" s="310">
        <f t="shared" si="128"/>
        <v>0</v>
      </c>
      <c r="AF381" s="311"/>
      <c r="AG381" s="312"/>
      <c r="AH381" s="313">
        <f t="shared" si="129"/>
        <v>0</v>
      </c>
      <c r="AI381" s="308">
        <v>71</v>
      </c>
      <c r="AJ381" s="309">
        <v>44536</v>
      </c>
      <c r="AK381" s="310">
        <f t="shared" si="130"/>
        <v>3162056</v>
      </c>
      <c r="AL381" s="393">
        <v>77</v>
      </c>
      <c r="AM381" s="394">
        <v>45479</v>
      </c>
      <c r="AN381" s="313">
        <f t="shared" si="131"/>
        <v>3501883</v>
      </c>
      <c r="AO381" s="308"/>
      <c r="AP381" s="309"/>
      <c r="AQ381" s="310">
        <f t="shared" si="132"/>
        <v>0</v>
      </c>
      <c r="AR381" s="311"/>
      <c r="AS381" s="312"/>
      <c r="AT381" s="313">
        <f t="shared" si="133"/>
        <v>0</v>
      </c>
      <c r="AU381" s="308"/>
      <c r="AV381" s="309"/>
      <c r="AW381" s="310">
        <f t="shared" si="134"/>
        <v>0</v>
      </c>
      <c r="AX381" s="311"/>
      <c r="AY381" s="312"/>
      <c r="AZ381" s="313">
        <f t="shared" si="135"/>
        <v>0</v>
      </c>
      <c r="BA381" s="308"/>
      <c r="BB381" s="309"/>
      <c r="BC381" s="310">
        <f t="shared" si="136"/>
        <v>0</v>
      </c>
      <c r="BD381" s="311"/>
      <c r="BE381" s="312"/>
      <c r="BF381" s="313">
        <f t="shared" si="137"/>
        <v>0</v>
      </c>
      <c r="BG381" s="308"/>
      <c r="BH381" s="309"/>
      <c r="BI381" s="310">
        <f t="shared" si="138"/>
        <v>0</v>
      </c>
      <c r="BJ381" s="311"/>
      <c r="BK381" s="312"/>
      <c r="BL381" s="313">
        <f t="shared" si="139"/>
        <v>0</v>
      </c>
      <c r="BM381" s="308"/>
      <c r="BN381" s="309"/>
      <c r="BO381" s="310">
        <f t="shared" si="140"/>
        <v>0</v>
      </c>
      <c r="BP381" s="311"/>
      <c r="BQ381" s="312"/>
      <c r="BR381" s="313">
        <f t="shared" si="141"/>
        <v>0</v>
      </c>
      <c r="BS381" s="308"/>
      <c r="BT381" s="309"/>
      <c r="BU381" s="310">
        <f t="shared" si="142"/>
        <v>0</v>
      </c>
      <c r="BV381" s="311"/>
      <c r="BW381" s="312"/>
      <c r="BX381" s="313">
        <f t="shared" si="143"/>
        <v>0</v>
      </c>
    </row>
    <row r="382" spans="1:76">
      <c r="A382" s="304" t="s">
        <v>445</v>
      </c>
      <c r="B382" s="332" t="s">
        <v>313</v>
      </c>
      <c r="C382" s="304">
        <v>199768</v>
      </c>
      <c r="D382" s="307">
        <v>9</v>
      </c>
      <c r="E382" s="308"/>
      <c r="F382" s="309"/>
      <c r="G382" s="310">
        <f t="shared" si="120"/>
        <v>0</v>
      </c>
      <c r="H382" s="311"/>
      <c r="I382" s="312"/>
      <c r="J382" s="313">
        <f t="shared" si="121"/>
        <v>0</v>
      </c>
      <c r="K382" s="308"/>
      <c r="L382" s="309"/>
      <c r="M382" s="310">
        <f t="shared" si="122"/>
        <v>0</v>
      </c>
      <c r="N382" s="311"/>
      <c r="O382" s="312"/>
      <c r="P382" s="313">
        <f t="shared" si="123"/>
        <v>0</v>
      </c>
      <c r="Q382" s="308"/>
      <c r="R382" s="309"/>
      <c r="S382" s="310">
        <f t="shared" si="124"/>
        <v>0</v>
      </c>
      <c r="T382" s="311"/>
      <c r="U382" s="312"/>
      <c r="V382" s="313">
        <f t="shared" si="125"/>
        <v>0</v>
      </c>
      <c r="W382" s="308"/>
      <c r="X382" s="309"/>
      <c r="Y382" s="310">
        <f t="shared" si="126"/>
        <v>0</v>
      </c>
      <c r="Z382" s="311"/>
      <c r="AA382" s="312"/>
      <c r="AB382" s="313">
        <f t="shared" si="127"/>
        <v>0</v>
      </c>
      <c r="AC382" s="308"/>
      <c r="AD382" s="309"/>
      <c r="AE382" s="310">
        <f t="shared" si="128"/>
        <v>0</v>
      </c>
      <c r="AF382" s="311"/>
      <c r="AG382" s="312"/>
      <c r="AH382" s="313">
        <f t="shared" si="129"/>
        <v>0</v>
      </c>
      <c r="AI382" s="308">
        <v>89</v>
      </c>
      <c r="AJ382" s="309">
        <v>48141</v>
      </c>
      <c r="AK382" s="310">
        <f t="shared" si="130"/>
        <v>4284549</v>
      </c>
      <c r="AL382" s="393">
        <v>97</v>
      </c>
      <c r="AM382" s="394">
        <v>48152</v>
      </c>
      <c r="AN382" s="313">
        <f t="shared" si="131"/>
        <v>4670744</v>
      </c>
      <c r="AO382" s="308"/>
      <c r="AP382" s="309"/>
      <c r="AQ382" s="310">
        <f t="shared" si="132"/>
        <v>0</v>
      </c>
      <c r="AR382" s="311"/>
      <c r="AS382" s="312"/>
      <c r="AT382" s="313">
        <f t="shared" si="133"/>
        <v>0</v>
      </c>
      <c r="AU382" s="308"/>
      <c r="AV382" s="309"/>
      <c r="AW382" s="310">
        <f t="shared" si="134"/>
        <v>0</v>
      </c>
      <c r="AX382" s="311"/>
      <c r="AY382" s="312"/>
      <c r="AZ382" s="313">
        <f t="shared" si="135"/>
        <v>0</v>
      </c>
      <c r="BA382" s="308"/>
      <c r="BB382" s="309"/>
      <c r="BC382" s="310">
        <f t="shared" si="136"/>
        <v>0</v>
      </c>
      <c r="BD382" s="311"/>
      <c r="BE382" s="312"/>
      <c r="BF382" s="313">
        <f t="shared" si="137"/>
        <v>0</v>
      </c>
      <c r="BG382" s="308"/>
      <c r="BH382" s="309"/>
      <c r="BI382" s="310">
        <f t="shared" si="138"/>
        <v>0</v>
      </c>
      <c r="BJ382" s="311"/>
      <c r="BK382" s="312"/>
      <c r="BL382" s="313">
        <f t="shared" si="139"/>
        <v>0</v>
      </c>
      <c r="BM382" s="308"/>
      <c r="BN382" s="309"/>
      <c r="BO382" s="310">
        <f t="shared" si="140"/>
        <v>0</v>
      </c>
      <c r="BP382" s="311"/>
      <c r="BQ382" s="312"/>
      <c r="BR382" s="313">
        <f t="shared" si="141"/>
        <v>0</v>
      </c>
      <c r="BS382" s="308"/>
      <c r="BT382" s="309"/>
      <c r="BU382" s="310">
        <f t="shared" si="142"/>
        <v>0</v>
      </c>
      <c r="BV382" s="311"/>
      <c r="BW382" s="312"/>
      <c r="BX382" s="313">
        <f t="shared" si="143"/>
        <v>0</v>
      </c>
    </row>
    <row r="383" spans="1:76">
      <c r="A383" s="304" t="s">
        <v>445</v>
      </c>
      <c r="B383" s="332" t="s">
        <v>314</v>
      </c>
      <c r="C383" s="304">
        <v>199838</v>
      </c>
      <c r="D383" s="307">
        <v>9</v>
      </c>
      <c r="E383" s="308"/>
      <c r="F383" s="309"/>
      <c r="G383" s="310">
        <f t="shared" si="120"/>
        <v>0</v>
      </c>
      <c r="H383" s="311"/>
      <c r="I383" s="312"/>
      <c r="J383" s="313">
        <f t="shared" si="121"/>
        <v>0</v>
      </c>
      <c r="K383" s="308"/>
      <c r="L383" s="309"/>
      <c r="M383" s="310">
        <f t="shared" si="122"/>
        <v>0</v>
      </c>
      <c r="N383" s="311"/>
      <c r="O383" s="312"/>
      <c r="P383" s="313">
        <f t="shared" si="123"/>
        <v>0</v>
      </c>
      <c r="Q383" s="308"/>
      <c r="R383" s="309"/>
      <c r="S383" s="310">
        <f t="shared" si="124"/>
        <v>0</v>
      </c>
      <c r="T383" s="311"/>
      <c r="U383" s="312"/>
      <c r="V383" s="313">
        <f t="shared" si="125"/>
        <v>0</v>
      </c>
      <c r="W383" s="308"/>
      <c r="X383" s="309"/>
      <c r="Y383" s="310">
        <f t="shared" si="126"/>
        <v>0</v>
      </c>
      <c r="Z383" s="311"/>
      <c r="AA383" s="312"/>
      <c r="AB383" s="313">
        <f t="shared" si="127"/>
        <v>0</v>
      </c>
      <c r="AC383" s="308"/>
      <c r="AD383" s="309"/>
      <c r="AE383" s="310">
        <f t="shared" si="128"/>
        <v>0</v>
      </c>
      <c r="AF383" s="311"/>
      <c r="AG383" s="312"/>
      <c r="AH383" s="313">
        <f t="shared" si="129"/>
        <v>0</v>
      </c>
      <c r="AI383" s="308">
        <v>120</v>
      </c>
      <c r="AJ383" s="309">
        <v>44713</v>
      </c>
      <c r="AK383" s="310">
        <f t="shared" si="130"/>
        <v>5365560</v>
      </c>
      <c r="AL383" s="393">
        <v>114</v>
      </c>
      <c r="AM383" s="394">
        <v>46249</v>
      </c>
      <c r="AN383" s="313">
        <f t="shared" si="131"/>
        <v>5272386</v>
      </c>
      <c r="AO383" s="308"/>
      <c r="AP383" s="309"/>
      <c r="AQ383" s="310">
        <f t="shared" si="132"/>
        <v>0</v>
      </c>
      <c r="AR383" s="311"/>
      <c r="AS383" s="312"/>
      <c r="AT383" s="313">
        <f t="shared" si="133"/>
        <v>0</v>
      </c>
      <c r="AU383" s="308"/>
      <c r="AV383" s="309"/>
      <c r="AW383" s="310">
        <f t="shared" si="134"/>
        <v>0</v>
      </c>
      <c r="AX383" s="311"/>
      <c r="AY383" s="312"/>
      <c r="AZ383" s="313">
        <f t="shared" si="135"/>
        <v>0</v>
      </c>
      <c r="BA383" s="308"/>
      <c r="BB383" s="309"/>
      <c r="BC383" s="310">
        <f t="shared" si="136"/>
        <v>0</v>
      </c>
      <c r="BD383" s="311"/>
      <c r="BE383" s="312"/>
      <c r="BF383" s="313">
        <f t="shared" si="137"/>
        <v>0</v>
      </c>
      <c r="BG383" s="308"/>
      <c r="BH383" s="309"/>
      <c r="BI383" s="310">
        <f t="shared" si="138"/>
        <v>0</v>
      </c>
      <c r="BJ383" s="311"/>
      <c r="BK383" s="312"/>
      <c r="BL383" s="313">
        <f t="shared" si="139"/>
        <v>0</v>
      </c>
      <c r="BM383" s="308"/>
      <c r="BN383" s="309"/>
      <c r="BO383" s="310">
        <f t="shared" si="140"/>
        <v>0</v>
      </c>
      <c r="BP383" s="311"/>
      <c r="BQ383" s="312"/>
      <c r="BR383" s="313">
        <f t="shared" si="141"/>
        <v>0</v>
      </c>
      <c r="BS383" s="308"/>
      <c r="BT383" s="309"/>
      <c r="BU383" s="310">
        <f t="shared" si="142"/>
        <v>0</v>
      </c>
      <c r="BV383" s="311"/>
      <c r="BW383" s="312"/>
      <c r="BX383" s="313">
        <f t="shared" si="143"/>
        <v>0</v>
      </c>
    </row>
    <row r="384" spans="1:76">
      <c r="A384" s="304" t="s">
        <v>445</v>
      </c>
      <c r="B384" s="332" t="s">
        <v>315</v>
      </c>
      <c r="C384" s="304">
        <v>199892</v>
      </c>
      <c r="D384" s="307">
        <v>9</v>
      </c>
      <c r="E384" s="308"/>
      <c r="F384" s="309"/>
      <c r="G384" s="310">
        <f t="shared" si="120"/>
        <v>0</v>
      </c>
      <c r="H384" s="311"/>
      <c r="I384" s="312"/>
      <c r="J384" s="313">
        <f t="shared" si="121"/>
        <v>0</v>
      </c>
      <c r="K384" s="308"/>
      <c r="L384" s="309"/>
      <c r="M384" s="310">
        <f t="shared" si="122"/>
        <v>0</v>
      </c>
      <c r="N384" s="311"/>
      <c r="O384" s="312"/>
      <c r="P384" s="313">
        <f t="shared" si="123"/>
        <v>0</v>
      </c>
      <c r="Q384" s="308"/>
      <c r="R384" s="309"/>
      <c r="S384" s="310">
        <f t="shared" si="124"/>
        <v>0</v>
      </c>
      <c r="T384" s="311"/>
      <c r="U384" s="312"/>
      <c r="V384" s="313">
        <f t="shared" si="125"/>
        <v>0</v>
      </c>
      <c r="W384" s="308"/>
      <c r="X384" s="309"/>
      <c r="Y384" s="310">
        <f t="shared" si="126"/>
        <v>0</v>
      </c>
      <c r="Z384" s="311"/>
      <c r="AA384" s="312"/>
      <c r="AB384" s="313">
        <f t="shared" si="127"/>
        <v>0</v>
      </c>
      <c r="AC384" s="308"/>
      <c r="AD384" s="309"/>
      <c r="AE384" s="310">
        <f t="shared" si="128"/>
        <v>0</v>
      </c>
      <c r="AF384" s="311"/>
      <c r="AG384" s="312"/>
      <c r="AH384" s="313">
        <f t="shared" si="129"/>
        <v>0</v>
      </c>
      <c r="AI384" s="308">
        <v>97</v>
      </c>
      <c r="AJ384" s="309">
        <v>45031</v>
      </c>
      <c r="AK384" s="310">
        <f t="shared" si="130"/>
        <v>4368007</v>
      </c>
      <c r="AL384" s="393">
        <v>102</v>
      </c>
      <c r="AM384" s="394">
        <v>45509</v>
      </c>
      <c r="AN384" s="313">
        <f t="shared" si="131"/>
        <v>4641918</v>
      </c>
      <c r="AO384" s="308"/>
      <c r="AP384" s="309"/>
      <c r="AQ384" s="310">
        <f t="shared" si="132"/>
        <v>0</v>
      </c>
      <c r="AR384" s="311"/>
      <c r="AS384" s="312"/>
      <c r="AT384" s="313">
        <f t="shared" si="133"/>
        <v>0</v>
      </c>
      <c r="AU384" s="308"/>
      <c r="AV384" s="309"/>
      <c r="AW384" s="310">
        <f t="shared" si="134"/>
        <v>0</v>
      </c>
      <c r="AX384" s="311"/>
      <c r="AY384" s="312"/>
      <c r="AZ384" s="313">
        <f t="shared" si="135"/>
        <v>0</v>
      </c>
      <c r="BA384" s="308"/>
      <c r="BB384" s="309"/>
      <c r="BC384" s="310">
        <f t="shared" si="136"/>
        <v>0</v>
      </c>
      <c r="BD384" s="311"/>
      <c r="BE384" s="312"/>
      <c r="BF384" s="313">
        <f t="shared" si="137"/>
        <v>0</v>
      </c>
      <c r="BG384" s="308"/>
      <c r="BH384" s="309"/>
      <c r="BI384" s="310">
        <f t="shared" si="138"/>
        <v>0</v>
      </c>
      <c r="BJ384" s="311"/>
      <c r="BK384" s="312"/>
      <c r="BL384" s="313">
        <f t="shared" si="139"/>
        <v>0</v>
      </c>
      <c r="BM384" s="308"/>
      <c r="BN384" s="309"/>
      <c r="BO384" s="310">
        <f t="shared" si="140"/>
        <v>0</v>
      </c>
      <c r="BP384" s="311"/>
      <c r="BQ384" s="312"/>
      <c r="BR384" s="313">
        <f t="shared" si="141"/>
        <v>0</v>
      </c>
      <c r="BS384" s="308"/>
      <c r="BT384" s="309"/>
      <c r="BU384" s="310">
        <f t="shared" si="142"/>
        <v>0</v>
      </c>
      <c r="BV384" s="311"/>
      <c r="BW384" s="312"/>
      <c r="BX384" s="313">
        <f t="shared" si="143"/>
        <v>0</v>
      </c>
    </row>
    <row r="385" spans="1:76">
      <c r="A385" s="304" t="s">
        <v>445</v>
      </c>
      <c r="B385" s="332" t="s">
        <v>316</v>
      </c>
      <c r="C385" s="304">
        <v>199908</v>
      </c>
      <c r="D385" s="307">
        <v>9</v>
      </c>
      <c r="E385" s="308"/>
      <c r="F385" s="309"/>
      <c r="G385" s="310">
        <f t="shared" si="120"/>
        <v>0</v>
      </c>
      <c r="H385" s="311"/>
      <c r="I385" s="312"/>
      <c r="J385" s="313">
        <f t="shared" si="121"/>
        <v>0</v>
      </c>
      <c r="K385" s="308"/>
      <c r="L385" s="309"/>
      <c r="M385" s="310">
        <f t="shared" si="122"/>
        <v>0</v>
      </c>
      <c r="N385" s="311"/>
      <c r="O385" s="312"/>
      <c r="P385" s="313">
        <f t="shared" si="123"/>
        <v>0</v>
      </c>
      <c r="Q385" s="308"/>
      <c r="R385" s="309"/>
      <c r="S385" s="310">
        <f t="shared" si="124"/>
        <v>0</v>
      </c>
      <c r="T385" s="311"/>
      <c r="U385" s="312"/>
      <c r="V385" s="313">
        <f t="shared" si="125"/>
        <v>0</v>
      </c>
      <c r="W385" s="308"/>
      <c r="X385" s="309"/>
      <c r="Y385" s="310">
        <f t="shared" si="126"/>
        <v>0</v>
      </c>
      <c r="Z385" s="311"/>
      <c r="AA385" s="312"/>
      <c r="AB385" s="313">
        <f t="shared" si="127"/>
        <v>0</v>
      </c>
      <c r="AC385" s="308"/>
      <c r="AD385" s="309"/>
      <c r="AE385" s="310">
        <f t="shared" si="128"/>
        <v>0</v>
      </c>
      <c r="AF385" s="311"/>
      <c r="AG385" s="312"/>
      <c r="AH385" s="313">
        <f t="shared" si="129"/>
        <v>0</v>
      </c>
      <c r="AI385" s="308">
        <v>72</v>
      </c>
      <c r="AJ385" s="309">
        <v>44043</v>
      </c>
      <c r="AK385" s="310">
        <f t="shared" si="130"/>
        <v>3171096</v>
      </c>
      <c r="AL385" s="393">
        <v>78</v>
      </c>
      <c r="AM385" s="394">
        <v>51504</v>
      </c>
      <c r="AN385" s="313">
        <f t="shared" si="131"/>
        <v>4017312</v>
      </c>
      <c r="AO385" s="308"/>
      <c r="AP385" s="309"/>
      <c r="AQ385" s="310">
        <f t="shared" si="132"/>
        <v>0</v>
      </c>
      <c r="AR385" s="311"/>
      <c r="AS385" s="312"/>
      <c r="AT385" s="313">
        <f t="shared" si="133"/>
        <v>0</v>
      </c>
      <c r="AU385" s="308"/>
      <c r="AV385" s="309"/>
      <c r="AW385" s="310">
        <f t="shared" si="134"/>
        <v>0</v>
      </c>
      <c r="AX385" s="311"/>
      <c r="AY385" s="312"/>
      <c r="AZ385" s="313">
        <f t="shared" si="135"/>
        <v>0</v>
      </c>
      <c r="BA385" s="308"/>
      <c r="BB385" s="309"/>
      <c r="BC385" s="310">
        <f t="shared" si="136"/>
        <v>0</v>
      </c>
      <c r="BD385" s="311"/>
      <c r="BE385" s="312"/>
      <c r="BF385" s="313">
        <f t="shared" si="137"/>
        <v>0</v>
      </c>
      <c r="BG385" s="308"/>
      <c r="BH385" s="309"/>
      <c r="BI385" s="310">
        <f t="shared" si="138"/>
        <v>0</v>
      </c>
      <c r="BJ385" s="311"/>
      <c r="BK385" s="312"/>
      <c r="BL385" s="313">
        <f t="shared" si="139"/>
        <v>0</v>
      </c>
      <c r="BM385" s="308"/>
      <c r="BN385" s="309"/>
      <c r="BO385" s="310">
        <f t="shared" si="140"/>
        <v>0</v>
      </c>
      <c r="BP385" s="311"/>
      <c r="BQ385" s="312"/>
      <c r="BR385" s="313">
        <f t="shared" si="141"/>
        <v>0</v>
      </c>
      <c r="BS385" s="308"/>
      <c r="BT385" s="309"/>
      <c r="BU385" s="310">
        <f t="shared" si="142"/>
        <v>0</v>
      </c>
      <c r="BV385" s="311"/>
      <c r="BW385" s="312"/>
      <c r="BX385" s="313">
        <f t="shared" si="143"/>
        <v>0</v>
      </c>
    </row>
    <row r="386" spans="1:76">
      <c r="A386" s="304" t="s">
        <v>445</v>
      </c>
      <c r="B386" s="332" t="s">
        <v>317</v>
      </c>
      <c r="C386" s="304">
        <v>199926</v>
      </c>
      <c r="D386" s="307">
        <v>9</v>
      </c>
      <c r="E386" s="308"/>
      <c r="F386" s="309"/>
      <c r="G386" s="310">
        <f t="shared" si="120"/>
        <v>0</v>
      </c>
      <c r="H386" s="311"/>
      <c r="I386" s="312"/>
      <c r="J386" s="313">
        <f t="shared" si="121"/>
        <v>0</v>
      </c>
      <c r="K386" s="308"/>
      <c r="L386" s="309"/>
      <c r="M386" s="310">
        <f t="shared" si="122"/>
        <v>0</v>
      </c>
      <c r="N386" s="311"/>
      <c r="O386" s="312"/>
      <c r="P386" s="313">
        <f t="shared" si="123"/>
        <v>0</v>
      </c>
      <c r="Q386" s="308"/>
      <c r="R386" s="309"/>
      <c r="S386" s="310">
        <f t="shared" si="124"/>
        <v>0</v>
      </c>
      <c r="T386" s="311"/>
      <c r="U386" s="312"/>
      <c r="V386" s="313">
        <f t="shared" si="125"/>
        <v>0</v>
      </c>
      <c r="W386" s="308"/>
      <c r="X386" s="309"/>
      <c r="Y386" s="310">
        <f t="shared" si="126"/>
        <v>0</v>
      </c>
      <c r="Z386" s="311"/>
      <c r="AA386" s="312"/>
      <c r="AB386" s="313">
        <f t="shared" si="127"/>
        <v>0</v>
      </c>
      <c r="AC386" s="308"/>
      <c r="AD386" s="309"/>
      <c r="AE386" s="310">
        <f t="shared" si="128"/>
        <v>0</v>
      </c>
      <c r="AF386" s="311"/>
      <c r="AG386" s="312"/>
      <c r="AH386" s="313">
        <f t="shared" si="129"/>
        <v>0</v>
      </c>
      <c r="AI386" s="308">
        <v>74</v>
      </c>
      <c r="AJ386" s="309">
        <v>45818</v>
      </c>
      <c r="AK386" s="310">
        <f t="shared" si="130"/>
        <v>3390532</v>
      </c>
      <c r="AL386" s="393">
        <v>73</v>
      </c>
      <c r="AM386" s="394">
        <v>47128</v>
      </c>
      <c r="AN386" s="313">
        <f t="shared" si="131"/>
        <v>3440344</v>
      </c>
      <c r="AO386" s="308"/>
      <c r="AP386" s="309"/>
      <c r="AQ386" s="310">
        <f t="shared" si="132"/>
        <v>0</v>
      </c>
      <c r="AR386" s="311"/>
      <c r="AS386" s="312"/>
      <c r="AT386" s="313">
        <f t="shared" si="133"/>
        <v>0</v>
      </c>
      <c r="AU386" s="308"/>
      <c r="AV386" s="309"/>
      <c r="AW386" s="310">
        <f t="shared" si="134"/>
        <v>0</v>
      </c>
      <c r="AX386" s="311"/>
      <c r="AY386" s="312"/>
      <c r="AZ386" s="313">
        <f t="shared" si="135"/>
        <v>0</v>
      </c>
      <c r="BA386" s="308"/>
      <c r="BB386" s="309"/>
      <c r="BC386" s="310">
        <f t="shared" si="136"/>
        <v>0</v>
      </c>
      <c r="BD386" s="311"/>
      <c r="BE386" s="312"/>
      <c r="BF386" s="313">
        <f t="shared" si="137"/>
        <v>0</v>
      </c>
      <c r="BG386" s="308"/>
      <c r="BH386" s="309"/>
      <c r="BI386" s="310">
        <f t="shared" si="138"/>
        <v>0</v>
      </c>
      <c r="BJ386" s="311"/>
      <c r="BK386" s="312"/>
      <c r="BL386" s="313">
        <f t="shared" si="139"/>
        <v>0</v>
      </c>
      <c r="BM386" s="308"/>
      <c r="BN386" s="309"/>
      <c r="BO386" s="310">
        <f t="shared" si="140"/>
        <v>0</v>
      </c>
      <c r="BP386" s="311"/>
      <c r="BQ386" s="312"/>
      <c r="BR386" s="313">
        <f t="shared" si="141"/>
        <v>0</v>
      </c>
      <c r="BS386" s="308"/>
      <c r="BT386" s="309"/>
      <c r="BU386" s="310">
        <f t="shared" si="142"/>
        <v>0</v>
      </c>
      <c r="BV386" s="311"/>
      <c r="BW386" s="312"/>
      <c r="BX386" s="313">
        <f t="shared" si="143"/>
        <v>0</v>
      </c>
    </row>
    <row r="387" spans="1:76">
      <c r="A387" s="304" t="s">
        <v>445</v>
      </c>
      <c r="B387" s="332" t="s">
        <v>318</v>
      </c>
      <c r="C387" s="304">
        <v>199953</v>
      </c>
      <c r="D387" s="307">
        <v>9</v>
      </c>
      <c r="E387" s="308"/>
      <c r="F387" s="309"/>
      <c r="G387" s="310">
        <f t="shared" si="120"/>
        <v>0</v>
      </c>
      <c r="H387" s="311"/>
      <c r="I387" s="312"/>
      <c r="J387" s="313">
        <f t="shared" si="121"/>
        <v>0</v>
      </c>
      <c r="K387" s="308"/>
      <c r="L387" s="309"/>
      <c r="M387" s="310">
        <f t="shared" si="122"/>
        <v>0</v>
      </c>
      <c r="N387" s="311"/>
      <c r="O387" s="312"/>
      <c r="P387" s="313">
        <f t="shared" si="123"/>
        <v>0</v>
      </c>
      <c r="Q387" s="308"/>
      <c r="R387" s="309"/>
      <c r="S387" s="310">
        <f t="shared" si="124"/>
        <v>0</v>
      </c>
      <c r="T387" s="311"/>
      <c r="U387" s="312"/>
      <c r="V387" s="313">
        <f t="shared" si="125"/>
        <v>0</v>
      </c>
      <c r="W387" s="308"/>
      <c r="X387" s="309"/>
      <c r="Y387" s="310">
        <f t="shared" si="126"/>
        <v>0</v>
      </c>
      <c r="Z387" s="311"/>
      <c r="AA387" s="312"/>
      <c r="AB387" s="313">
        <f t="shared" si="127"/>
        <v>0</v>
      </c>
      <c r="AC387" s="308"/>
      <c r="AD387" s="309"/>
      <c r="AE387" s="310">
        <f t="shared" si="128"/>
        <v>0</v>
      </c>
      <c r="AF387" s="311"/>
      <c r="AG387" s="312"/>
      <c r="AH387" s="313">
        <f t="shared" si="129"/>
        <v>0</v>
      </c>
      <c r="AI387" s="308">
        <v>56</v>
      </c>
      <c r="AJ387" s="309">
        <v>46757</v>
      </c>
      <c r="AK387" s="310">
        <f t="shared" si="130"/>
        <v>2618392</v>
      </c>
      <c r="AL387" s="393">
        <v>55</v>
      </c>
      <c r="AM387" s="394">
        <v>48038</v>
      </c>
      <c r="AN387" s="313">
        <f t="shared" si="131"/>
        <v>2642090</v>
      </c>
      <c r="AO387" s="308"/>
      <c r="AP387" s="309"/>
      <c r="AQ387" s="310">
        <f t="shared" si="132"/>
        <v>0</v>
      </c>
      <c r="AR387" s="311"/>
      <c r="AS387" s="312"/>
      <c r="AT387" s="313">
        <f t="shared" si="133"/>
        <v>0</v>
      </c>
      <c r="AU387" s="308"/>
      <c r="AV387" s="309"/>
      <c r="AW387" s="310">
        <f t="shared" si="134"/>
        <v>0</v>
      </c>
      <c r="AX387" s="311"/>
      <c r="AY387" s="312"/>
      <c r="AZ387" s="313">
        <f t="shared" si="135"/>
        <v>0</v>
      </c>
      <c r="BA387" s="308"/>
      <c r="BB387" s="309"/>
      <c r="BC387" s="310">
        <f t="shared" si="136"/>
        <v>0</v>
      </c>
      <c r="BD387" s="311"/>
      <c r="BE387" s="312"/>
      <c r="BF387" s="313">
        <f t="shared" si="137"/>
        <v>0</v>
      </c>
      <c r="BG387" s="308"/>
      <c r="BH387" s="309"/>
      <c r="BI387" s="310">
        <f t="shared" si="138"/>
        <v>0</v>
      </c>
      <c r="BJ387" s="311"/>
      <c r="BK387" s="312"/>
      <c r="BL387" s="313">
        <f t="shared" si="139"/>
        <v>0</v>
      </c>
      <c r="BM387" s="308"/>
      <c r="BN387" s="309"/>
      <c r="BO387" s="310">
        <f t="shared" si="140"/>
        <v>0</v>
      </c>
      <c r="BP387" s="311"/>
      <c r="BQ387" s="312"/>
      <c r="BR387" s="313">
        <f t="shared" si="141"/>
        <v>0</v>
      </c>
      <c r="BS387" s="308"/>
      <c r="BT387" s="309"/>
      <c r="BU387" s="310">
        <f t="shared" si="142"/>
        <v>0</v>
      </c>
      <c r="BV387" s="311"/>
      <c r="BW387" s="312"/>
      <c r="BX387" s="313">
        <f t="shared" si="143"/>
        <v>0</v>
      </c>
    </row>
    <row r="388" spans="1:76">
      <c r="A388" s="304" t="s">
        <v>445</v>
      </c>
      <c r="B388" s="426" t="s">
        <v>284</v>
      </c>
      <c r="C388" s="427">
        <v>197966</v>
      </c>
      <c r="D388" s="408">
        <v>10</v>
      </c>
      <c r="E388" s="308"/>
      <c r="F388" s="309"/>
      <c r="G388" s="310">
        <f t="shared" si="120"/>
        <v>0</v>
      </c>
      <c r="H388" s="311"/>
      <c r="I388" s="312"/>
      <c r="J388" s="313">
        <f t="shared" si="121"/>
        <v>0</v>
      </c>
      <c r="K388" s="308"/>
      <c r="L388" s="309"/>
      <c r="M388" s="310">
        <f t="shared" si="122"/>
        <v>0</v>
      </c>
      <c r="N388" s="311"/>
      <c r="O388" s="312"/>
      <c r="P388" s="313">
        <f t="shared" si="123"/>
        <v>0</v>
      </c>
      <c r="Q388" s="308"/>
      <c r="R388" s="309"/>
      <c r="S388" s="310">
        <f t="shared" si="124"/>
        <v>0</v>
      </c>
      <c r="T388" s="311"/>
      <c r="U388" s="312"/>
      <c r="V388" s="313">
        <f t="shared" si="125"/>
        <v>0</v>
      </c>
      <c r="W388" s="308"/>
      <c r="X388" s="309"/>
      <c r="Y388" s="310">
        <f t="shared" si="126"/>
        <v>0</v>
      </c>
      <c r="Z388" s="311"/>
      <c r="AA388" s="312"/>
      <c r="AB388" s="313">
        <f t="shared" si="127"/>
        <v>0</v>
      </c>
      <c r="AC388" s="308"/>
      <c r="AD388" s="309"/>
      <c r="AE388" s="310">
        <f t="shared" si="128"/>
        <v>0</v>
      </c>
      <c r="AF388" s="311"/>
      <c r="AG388" s="312"/>
      <c r="AH388" s="313">
        <f t="shared" si="129"/>
        <v>0</v>
      </c>
      <c r="AI388" s="308">
        <v>61</v>
      </c>
      <c r="AJ388" s="309">
        <v>44364</v>
      </c>
      <c r="AK388" s="310">
        <f t="shared" si="130"/>
        <v>2706204</v>
      </c>
      <c r="AL388" s="393">
        <v>63</v>
      </c>
      <c r="AM388" s="394">
        <v>45859</v>
      </c>
      <c r="AN388" s="313">
        <f t="shared" si="131"/>
        <v>2889117</v>
      </c>
      <c r="AO388" s="308"/>
      <c r="AP388" s="309"/>
      <c r="AQ388" s="310">
        <f t="shared" si="132"/>
        <v>0</v>
      </c>
      <c r="AR388" s="311"/>
      <c r="AS388" s="312"/>
      <c r="AT388" s="313">
        <f t="shared" si="133"/>
        <v>0</v>
      </c>
      <c r="AU388" s="308"/>
      <c r="AV388" s="309"/>
      <c r="AW388" s="310">
        <f t="shared" si="134"/>
        <v>0</v>
      </c>
      <c r="AX388" s="311"/>
      <c r="AY388" s="312"/>
      <c r="AZ388" s="313">
        <f t="shared" si="135"/>
        <v>0</v>
      </c>
      <c r="BA388" s="308"/>
      <c r="BB388" s="309"/>
      <c r="BC388" s="310">
        <f t="shared" si="136"/>
        <v>0</v>
      </c>
      <c r="BD388" s="311"/>
      <c r="BE388" s="312"/>
      <c r="BF388" s="313">
        <f t="shared" si="137"/>
        <v>0</v>
      </c>
      <c r="BG388" s="308"/>
      <c r="BH388" s="309"/>
      <c r="BI388" s="310">
        <f t="shared" si="138"/>
        <v>0</v>
      </c>
      <c r="BJ388" s="311"/>
      <c r="BK388" s="312"/>
      <c r="BL388" s="313">
        <f t="shared" si="139"/>
        <v>0</v>
      </c>
      <c r="BM388" s="308"/>
      <c r="BN388" s="309"/>
      <c r="BO388" s="310">
        <f t="shared" si="140"/>
        <v>0</v>
      </c>
      <c r="BP388" s="311"/>
      <c r="BQ388" s="312"/>
      <c r="BR388" s="313">
        <f t="shared" si="141"/>
        <v>0</v>
      </c>
      <c r="BS388" s="308"/>
      <c r="BT388" s="309"/>
      <c r="BU388" s="310">
        <f t="shared" si="142"/>
        <v>0</v>
      </c>
      <c r="BV388" s="311"/>
      <c r="BW388" s="312"/>
      <c r="BX388" s="313">
        <f t="shared" si="143"/>
        <v>0</v>
      </c>
    </row>
    <row r="389" spans="1:76">
      <c r="A389" s="304" t="s">
        <v>445</v>
      </c>
      <c r="B389" s="332" t="s">
        <v>319</v>
      </c>
      <c r="C389" s="304">
        <v>198011</v>
      </c>
      <c r="D389" s="307">
        <v>10</v>
      </c>
      <c r="E389" s="308"/>
      <c r="F389" s="309"/>
      <c r="G389" s="310">
        <f t="shared" si="120"/>
        <v>0</v>
      </c>
      <c r="H389" s="311"/>
      <c r="I389" s="312"/>
      <c r="J389" s="313">
        <f t="shared" si="121"/>
        <v>0</v>
      </c>
      <c r="K389" s="308"/>
      <c r="L389" s="309"/>
      <c r="M389" s="310">
        <f t="shared" si="122"/>
        <v>0</v>
      </c>
      <c r="N389" s="311"/>
      <c r="O389" s="312"/>
      <c r="P389" s="313">
        <f t="shared" si="123"/>
        <v>0</v>
      </c>
      <c r="Q389" s="308"/>
      <c r="R389" s="309"/>
      <c r="S389" s="310">
        <f t="shared" si="124"/>
        <v>0</v>
      </c>
      <c r="T389" s="311"/>
      <c r="U389" s="312"/>
      <c r="V389" s="313">
        <f t="shared" si="125"/>
        <v>0</v>
      </c>
      <c r="W389" s="308"/>
      <c r="X389" s="309"/>
      <c r="Y389" s="310">
        <f t="shared" si="126"/>
        <v>0</v>
      </c>
      <c r="Z389" s="311"/>
      <c r="AA389" s="312"/>
      <c r="AB389" s="313">
        <f t="shared" si="127"/>
        <v>0</v>
      </c>
      <c r="AC389" s="308"/>
      <c r="AD389" s="309"/>
      <c r="AE389" s="310">
        <f t="shared" si="128"/>
        <v>0</v>
      </c>
      <c r="AF389" s="311"/>
      <c r="AG389" s="312"/>
      <c r="AH389" s="313">
        <f t="shared" si="129"/>
        <v>0</v>
      </c>
      <c r="AI389" s="308">
        <v>43</v>
      </c>
      <c r="AJ389" s="309">
        <v>44114</v>
      </c>
      <c r="AK389" s="310">
        <f t="shared" si="130"/>
        <v>1896902</v>
      </c>
      <c r="AL389" s="393">
        <v>43</v>
      </c>
      <c r="AM389" s="394">
        <v>46457</v>
      </c>
      <c r="AN389" s="313">
        <f t="shared" si="131"/>
        <v>1997651</v>
      </c>
      <c r="AO389" s="308"/>
      <c r="AP389" s="309"/>
      <c r="AQ389" s="310">
        <f t="shared" si="132"/>
        <v>0</v>
      </c>
      <c r="AR389" s="311"/>
      <c r="AS389" s="312"/>
      <c r="AT389" s="313">
        <f t="shared" si="133"/>
        <v>0</v>
      </c>
      <c r="AU389" s="308"/>
      <c r="AV389" s="309"/>
      <c r="AW389" s="310">
        <f t="shared" si="134"/>
        <v>0</v>
      </c>
      <c r="AX389" s="311"/>
      <c r="AY389" s="312"/>
      <c r="AZ389" s="313">
        <f t="shared" si="135"/>
        <v>0</v>
      </c>
      <c r="BA389" s="308"/>
      <c r="BB389" s="309"/>
      <c r="BC389" s="310">
        <f t="shared" si="136"/>
        <v>0</v>
      </c>
      <c r="BD389" s="311"/>
      <c r="BE389" s="312"/>
      <c r="BF389" s="313">
        <f t="shared" si="137"/>
        <v>0</v>
      </c>
      <c r="BG389" s="308"/>
      <c r="BH389" s="309"/>
      <c r="BI389" s="310">
        <f t="shared" si="138"/>
        <v>0</v>
      </c>
      <c r="BJ389" s="311"/>
      <c r="BK389" s="312"/>
      <c r="BL389" s="313">
        <f t="shared" si="139"/>
        <v>0</v>
      </c>
      <c r="BM389" s="308"/>
      <c r="BN389" s="309"/>
      <c r="BO389" s="310">
        <f t="shared" si="140"/>
        <v>0</v>
      </c>
      <c r="BP389" s="311"/>
      <c r="BQ389" s="312"/>
      <c r="BR389" s="313">
        <f t="shared" si="141"/>
        <v>0</v>
      </c>
      <c r="BS389" s="308"/>
      <c r="BT389" s="309"/>
      <c r="BU389" s="310">
        <f t="shared" si="142"/>
        <v>0</v>
      </c>
      <c r="BV389" s="311"/>
      <c r="BW389" s="312"/>
      <c r="BX389" s="313">
        <f t="shared" si="143"/>
        <v>0</v>
      </c>
    </row>
    <row r="390" spans="1:76">
      <c r="A390" s="304" t="s">
        <v>445</v>
      </c>
      <c r="B390" s="332" t="s">
        <v>320</v>
      </c>
      <c r="C390" s="304">
        <v>198084</v>
      </c>
      <c r="D390" s="307">
        <v>10</v>
      </c>
      <c r="E390" s="308"/>
      <c r="F390" s="309"/>
      <c r="G390" s="310">
        <f t="shared" si="120"/>
        <v>0</v>
      </c>
      <c r="H390" s="311"/>
      <c r="I390" s="312"/>
      <c r="J390" s="313">
        <f t="shared" si="121"/>
        <v>0</v>
      </c>
      <c r="K390" s="308"/>
      <c r="L390" s="309"/>
      <c r="M390" s="310">
        <f t="shared" si="122"/>
        <v>0</v>
      </c>
      <c r="N390" s="311"/>
      <c r="O390" s="312"/>
      <c r="P390" s="313">
        <f t="shared" si="123"/>
        <v>0</v>
      </c>
      <c r="Q390" s="308"/>
      <c r="R390" s="309"/>
      <c r="S390" s="310">
        <f t="shared" si="124"/>
        <v>0</v>
      </c>
      <c r="T390" s="311"/>
      <c r="U390" s="312"/>
      <c r="V390" s="313">
        <f t="shared" si="125"/>
        <v>0</v>
      </c>
      <c r="W390" s="308"/>
      <c r="X390" s="309"/>
      <c r="Y390" s="310">
        <f t="shared" si="126"/>
        <v>0</v>
      </c>
      <c r="Z390" s="311"/>
      <c r="AA390" s="312"/>
      <c r="AB390" s="313">
        <f t="shared" si="127"/>
        <v>0</v>
      </c>
      <c r="AC390" s="308"/>
      <c r="AD390" s="309"/>
      <c r="AE390" s="310">
        <f t="shared" si="128"/>
        <v>0</v>
      </c>
      <c r="AF390" s="311"/>
      <c r="AG390" s="312"/>
      <c r="AH390" s="313">
        <f t="shared" si="129"/>
        <v>0</v>
      </c>
      <c r="AI390" s="308">
        <v>37</v>
      </c>
      <c r="AJ390" s="309">
        <v>43069</v>
      </c>
      <c r="AK390" s="310">
        <f t="shared" si="130"/>
        <v>1593553</v>
      </c>
      <c r="AL390" s="393">
        <v>38</v>
      </c>
      <c r="AM390" s="394">
        <v>43525</v>
      </c>
      <c r="AN390" s="313">
        <f t="shared" si="131"/>
        <v>1653950</v>
      </c>
      <c r="AO390" s="308"/>
      <c r="AP390" s="309"/>
      <c r="AQ390" s="310">
        <f t="shared" si="132"/>
        <v>0</v>
      </c>
      <c r="AR390" s="311"/>
      <c r="AS390" s="312"/>
      <c r="AT390" s="313">
        <f t="shared" si="133"/>
        <v>0</v>
      </c>
      <c r="AU390" s="308"/>
      <c r="AV390" s="309"/>
      <c r="AW390" s="310">
        <f t="shared" si="134"/>
        <v>0</v>
      </c>
      <c r="AX390" s="311"/>
      <c r="AY390" s="312"/>
      <c r="AZ390" s="313">
        <f t="shared" si="135"/>
        <v>0</v>
      </c>
      <c r="BA390" s="308"/>
      <c r="BB390" s="309"/>
      <c r="BC390" s="310">
        <f t="shared" si="136"/>
        <v>0</v>
      </c>
      <c r="BD390" s="311"/>
      <c r="BE390" s="312"/>
      <c r="BF390" s="313">
        <f t="shared" si="137"/>
        <v>0</v>
      </c>
      <c r="BG390" s="308"/>
      <c r="BH390" s="309"/>
      <c r="BI390" s="310">
        <f t="shared" si="138"/>
        <v>0</v>
      </c>
      <c r="BJ390" s="311"/>
      <c r="BK390" s="312"/>
      <c r="BL390" s="313">
        <f t="shared" si="139"/>
        <v>0</v>
      </c>
      <c r="BM390" s="308"/>
      <c r="BN390" s="309"/>
      <c r="BO390" s="310">
        <f t="shared" si="140"/>
        <v>0</v>
      </c>
      <c r="BP390" s="311"/>
      <c r="BQ390" s="312"/>
      <c r="BR390" s="313">
        <f t="shared" si="141"/>
        <v>0</v>
      </c>
      <c r="BS390" s="308"/>
      <c r="BT390" s="309"/>
      <c r="BU390" s="310">
        <f t="shared" si="142"/>
        <v>0</v>
      </c>
      <c r="BV390" s="311"/>
      <c r="BW390" s="312"/>
      <c r="BX390" s="313">
        <f t="shared" si="143"/>
        <v>0</v>
      </c>
    </row>
    <row r="391" spans="1:76">
      <c r="A391" s="304" t="s">
        <v>445</v>
      </c>
      <c r="B391" s="332" t="s">
        <v>321</v>
      </c>
      <c r="C391" s="304">
        <v>198206</v>
      </c>
      <c r="D391" s="307">
        <v>10</v>
      </c>
      <c r="E391" s="308"/>
      <c r="F391" s="309"/>
      <c r="G391" s="310">
        <f t="shared" si="120"/>
        <v>0</v>
      </c>
      <c r="H391" s="311"/>
      <c r="I391" s="312"/>
      <c r="J391" s="313">
        <f t="shared" si="121"/>
        <v>0</v>
      </c>
      <c r="K391" s="308"/>
      <c r="L391" s="309"/>
      <c r="M391" s="310">
        <f t="shared" si="122"/>
        <v>0</v>
      </c>
      <c r="N391" s="311"/>
      <c r="O391" s="312"/>
      <c r="P391" s="313">
        <f t="shared" si="123"/>
        <v>0</v>
      </c>
      <c r="Q391" s="308"/>
      <c r="R391" s="309"/>
      <c r="S391" s="310">
        <f t="shared" si="124"/>
        <v>0</v>
      </c>
      <c r="T391" s="311"/>
      <c r="U391" s="312"/>
      <c r="V391" s="313">
        <f t="shared" si="125"/>
        <v>0</v>
      </c>
      <c r="W391" s="308"/>
      <c r="X391" s="309"/>
      <c r="Y391" s="310">
        <f t="shared" si="126"/>
        <v>0</v>
      </c>
      <c r="Z391" s="311"/>
      <c r="AA391" s="312"/>
      <c r="AB391" s="313">
        <f t="shared" si="127"/>
        <v>0</v>
      </c>
      <c r="AC391" s="308"/>
      <c r="AD391" s="309"/>
      <c r="AE391" s="310">
        <f t="shared" si="128"/>
        <v>0</v>
      </c>
      <c r="AF391" s="311"/>
      <c r="AG391" s="312"/>
      <c r="AH391" s="313">
        <f t="shared" si="129"/>
        <v>0</v>
      </c>
      <c r="AI391" s="308">
        <v>60</v>
      </c>
      <c r="AJ391" s="309">
        <v>45235</v>
      </c>
      <c r="AK391" s="310">
        <f t="shared" si="130"/>
        <v>2714100</v>
      </c>
      <c r="AL391" s="393">
        <v>60</v>
      </c>
      <c r="AM391" s="394">
        <v>45918</v>
      </c>
      <c r="AN391" s="313">
        <f t="shared" si="131"/>
        <v>2755080</v>
      </c>
      <c r="AO391" s="308"/>
      <c r="AP391" s="309"/>
      <c r="AQ391" s="310">
        <f t="shared" si="132"/>
        <v>0</v>
      </c>
      <c r="AR391" s="311"/>
      <c r="AS391" s="312"/>
      <c r="AT391" s="313">
        <f t="shared" si="133"/>
        <v>0</v>
      </c>
      <c r="AU391" s="308"/>
      <c r="AV391" s="309"/>
      <c r="AW391" s="310">
        <f t="shared" si="134"/>
        <v>0</v>
      </c>
      <c r="AX391" s="311"/>
      <c r="AY391" s="312"/>
      <c r="AZ391" s="313">
        <f t="shared" si="135"/>
        <v>0</v>
      </c>
      <c r="BA391" s="308"/>
      <c r="BB391" s="309"/>
      <c r="BC391" s="310">
        <f t="shared" si="136"/>
        <v>0</v>
      </c>
      <c r="BD391" s="311"/>
      <c r="BE391" s="312"/>
      <c r="BF391" s="313">
        <f t="shared" si="137"/>
        <v>0</v>
      </c>
      <c r="BG391" s="308"/>
      <c r="BH391" s="309"/>
      <c r="BI391" s="310">
        <f t="shared" si="138"/>
        <v>0</v>
      </c>
      <c r="BJ391" s="311"/>
      <c r="BK391" s="312"/>
      <c r="BL391" s="313">
        <f t="shared" si="139"/>
        <v>0</v>
      </c>
      <c r="BM391" s="308"/>
      <c r="BN391" s="309"/>
      <c r="BO391" s="310">
        <f t="shared" si="140"/>
        <v>0</v>
      </c>
      <c r="BP391" s="311"/>
      <c r="BQ391" s="312"/>
      <c r="BR391" s="313">
        <f t="shared" si="141"/>
        <v>0</v>
      </c>
      <c r="BS391" s="308"/>
      <c r="BT391" s="309"/>
      <c r="BU391" s="310">
        <f t="shared" si="142"/>
        <v>0</v>
      </c>
      <c r="BV391" s="311"/>
      <c r="BW391" s="312"/>
      <c r="BX391" s="313">
        <f t="shared" si="143"/>
        <v>0</v>
      </c>
    </row>
    <row r="392" spans="1:76">
      <c r="A392" s="304" t="s">
        <v>445</v>
      </c>
      <c r="B392" s="332" t="s">
        <v>322</v>
      </c>
      <c r="C392" s="304">
        <v>198640</v>
      </c>
      <c r="D392" s="307">
        <v>10</v>
      </c>
      <c r="E392" s="308"/>
      <c r="F392" s="309"/>
      <c r="G392" s="310">
        <f t="shared" si="120"/>
        <v>0</v>
      </c>
      <c r="H392" s="311"/>
      <c r="I392" s="312"/>
      <c r="J392" s="313">
        <f t="shared" si="121"/>
        <v>0</v>
      </c>
      <c r="K392" s="308"/>
      <c r="L392" s="309"/>
      <c r="M392" s="310">
        <f t="shared" si="122"/>
        <v>0</v>
      </c>
      <c r="N392" s="311"/>
      <c r="O392" s="312"/>
      <c r="P392" s="313">
        <f t="shared" si="123"/>
        <v>0</v>
      </c>
      <c r="Q392" s="308"/>
      <c r="R392" s="309"/>
      <c r="S392" s="310">
        <f t="shared" si="124"/>
        <v>0</v>
      </c>
      <c r="T392" s="311"/>
      <c r="U392" s="312"/>
      <c r="V392" s="313">
        <f t="shared" si="125"/>
        <v>0</v>
      </c>
      <c r="W392" s="308"/>
      <c r="X392" s="309"/>
      <c r="Y392" s="310">
        <f t="shared" si="126"/>
        <v>0</v>
      </c>
      <c r="Z392" s="311"/>
      <c r="AA392" s="312"/>
      <c r="AB392" s="313">
        <f t="shared" si="127"/>
        <v>0</v>
      </c>
      <c r="AC392" s="308"/>
      <c r="AD392" s="309"/>
      <c r="AE392" s="310">
        <f t="shared" si="128"/>
        <v>0</v>
      </c>
      <c r="AF392" s="311"/>
      <c r="AG392" s="312"/>
      <c r="AH392" s="313">
        <f t="shared" si="129"/>
        <v>0</v>
      </c>
      <c r="AI392" s="308">
        <v>63</v>
      </c>
      <c r="AJ392" s="309">
        <v>43991</v>
      </c>
      <c r="AK392" s="310">
        <f t="shared" si="130"/>
        <v>2771433</v>
      </c>
      <c r="AL392" s="393">
        <v>62</v>
      </c>
      <c r="AM392" s="394">
        <v>45537</v>
      </c>
      <c r="AN392" s="313">
        <f t="shared" si="131"/>
        <v>2823294</v>
      </c>
      <c r="AO392" s="308"/>
      <c r="AP392" s="309"/>
      <c r="AQ392" s="310">
        <f t="shared" si="132"/>
        <v>0</v>
      </c>
      <c r="AR392" s="311"/>
      <c r="AS392" s="312"/>
      <c r="AT392" s="313">
        <f t="shared" si="133"/>
        <v>0</v>
      </c>
      <c r="AU392" s="308"/>
      <c r="AV392" s="309"/>
      <c r="AW392" s="310">
        <f t="shared" si="134"/>
        <v>0</v>
      </c>
      <c r="AX392" s="311"/>
      <c r="AY392" s="312"/>
      <c r="AZ392" s="313">
        <f t="shared" si="135"/>
        <v>0</v>
      </c>
      <c r="BA392" s="308"/>
      <c r="BB392" s="309"/>
      <c r="BC392" s="310">
        <f t="shared" si="136"/>
        <v>0</v>
      </c>
      <c r="BD392" s="311"/>
      <c r="BE392" s="312"/>
      <c r="BF392" s="313">
        <f t="shared" si="137"/>
        <v>0</v>
      </c>
      <c r="BG392" s="308"/>
      <c r="BH392" s="309"/>
      <c r="BI392" s="310">
        <f t="shared" si="138"/>
        <v>0</v>
      </c>
      <c r="BJ392" s="311"/>
      <c r="BK392" s="312"/>
      <c r="BL392" s="313">
        <f t="shared" si="139"/>
        <v>0</v>
      </c>
      <c r="BM392" s="308"/>
      <c r="BN392" s="309"/>
      <c r="BO392" s="310">
        <f t="shared" si="140"/>
        <v>0</v>
      </c>
      <c r="BP392" s="311"/>
      <c r="BQ392" s="312"/>
      <c r="BR392" s="313">
        <f t="shared" si="141"/>
        <v>0</v>
      </c>
      <c r="BS392" s="308"/>
      <c r="BT392" s="309"/>
      <c r="BU392" s="310">
        <f t="shared" si="142"/>
        <v>0</v>
      </c>
      <c r="BV392" s="311"/>
      <c r="BW392" s="312"/>
      <c r="BX392" s="313">
        <f t="shared" si="143"/>
        <v>0</v>
      </c>
    </row>
    <row r="393" spans="1:76">
      <c r="A393" s="304" t="s">
        <v>445</v>
      </c>
      <c r="B393" s="332" t="s">
        <v>323</v>
      </c>
      <c r="C393" s="304">
        <v>198729</v>
      </c>
      <c r="D393" s="307">
        <v>10</v>
      </c>
      <c r="E393" s="308"/>
      <c r="F393" s="309"/>
      <c r="G393" s="310">
        <f t="shared" si="120"/>
        <v>0</v>
      </c>
      <c r="H393" s="311"/>
      <c r="I393" s="312"/>
      <c r="J393" s="313">
        <f t="shared" si="121"/>
        <v>0</v>
      </c>
      <c r="K393" s="308"/>
      <c r="L393" s="309"/>
      <c r="M393" s="310">
        <f t="shared" si="122"/>
        <v>0</v>
      </c>
      <c r="N393" s="311"/>
      <c r="O393" s="312"/>
      <c r="P393" s="313">
        <f t="shared" si="123"/>
        <v>0</v>
      </c>
      <c r="Q393" s="308"/>
      <c r="R393" s="309"/>
      <c r="S393" s="310">
        <f t="shared" si="124"/>
        <v>0</v>
      </c>
      <c r="T393" s="311"/>
      <c r="U393" s="312"/>
      <c r="V393" s="313">
        <f t="shared" si="125"/>
        <v>0</v>
      </c>
      <c r="W393" s="308"/>
      <c r="X393" s="309"/>
      <c r="Y393" s="310">
        <f t="shared" si="126"/>
        <v>0</v>
      </c>
      <c r="Z393" s="311"/>
      <c r="AA393" s="312"/>
      <c r="AB393" s="313">
        <f t="shared" si="127"/>
        <v>0</v>
      </c>
      <c r="AC393" s="308"/>
      <c r="AD393" s="309"/>
      <c r="AE393" s="310">
        <f t="shared" si="128"/>
        <v>0</v>
      </c>
      <c r="AF393" s="311"/>
      <c r="AG393" s="312"/>
      <c r="AH393" s="313">
        <f t="shared" si="129"/>
        <v>0</v>
      </c>
      <c r="AI393" s="308">
        <v>53</v>
      </c>
      <c r="AJ393" s="309">
        <v>43679</v>
      </c>
      <c r="AK393" s="310">
        <f t="shared" si="130"/>
        <v>2314987</v>
      </c>
      <c r="AL393" s="393">
        <v>51</v>
      </c>
      <c r="AM393" s="394">
        <v>43857</v>
      </c>
      <c r="AN393" s="313">
        <f t="shared" si="131"/>
        <v>2236707</v>
      </c>
      <c r="AO393" s="308"/>
      <c r="AP393" s="309"/>
      <c r="AQ393" s="310">
        <f t="shared" si="132"/>
        <v>0</v>
      </c>
      <c r="AR393" s="311"/>
      <c r="AS393" s="312"/>
      <c r="AT393" s="313">
        <f t="shared" si="133"/>
        <v>0</v>
      </c>
      <c r="AU393" s="308"/>
      <c r="AV393" s="309"/>
      <c r="AW393" s="310">
        <f t="shared" si="134"/>
        <v>0</v>
      </c>
      <c r="AX393" s="311"/>
      <c r="AY393" s="312"/>
      <c r="AZ393" s="313">
        <f t="shared" si="135"/>
        <v>0</v>
      </c>
      <c r="BA393" s="308"/>
      <c r="BB393" s="309"/>
      <c r="BC393" s="310">
        <f t="shared" si="136"/>
        <v>0</v>
      </c>
      <c r="BD393" s="311"/>
      <c r="BE393" s="312"/>
      <c r="BF393" s="313">
        <f t="shared" si="137"/>
        <v>0</v>
      </c>
      <c r="BG393" s="308"/>
      <c r="BH393" s="309"/>
      <c r="BI393" s="310">
        <f t="shared" si="138"/>
        <v>0</v>
      </c>
      <c r="BJ393" s="311"/>
      <c r="BK393" s="312"/>
      <c r="BL393" s="313">
        <f t="shared" si="139"/>
        <v>0</v>
      </c>
      <c r="BM393" s="308"/>
      <c r="BN393" s="309"/>
      <c r="BO393" s="310">
        <f t="shared" si="140"/>
        <v>0</v>
      </c>
      <c r="BP393" s="311"/>
      <c r="BQ393" s="312"/>
      <c r="BR393" s="313">
        <f t="shared" si="141"/>
        <v>0</v>
      </c>
      <c r="BS393" s="308"/>
      <c r="BT393" s="309"/>
      <c r="BU393" s="310">
        <f t="shared" si="142"/>
        <v>0</v>
      </c>
      <c r="BV393" s="311"/>
      <c r="BW393" s="312"/>
      <c r="BX393" s="313">
        <f t="shared" si="143"/>
        <v>0</v>
      </c>
    </row>
    <row r="394" spans="1:76">
      <c r="A394" s="304" t="s">
        <v>445</v>
      </c>
      <c r="B394" s="332" t="s">
        <v>324</v>
      </c>
      <c r="C394" s="304">
        <v>198905</v>
      </c>
      <c r="D394" s="307">
        <v>10</v>
      </c>
      <c r="E394" s="308"/>
      <c r="F394" s="309"/>
      <c r="G394" s="310">
        <f t="shared" ref="G394:G457" si="144">E394*F394</f>
        <v>0</v>
      </c>
      <c r="H394" s="311"/>
      <c r="I394" s="312"/>
      <c r="J394" s="313">
        <f t="shared" ref="J394:J457" si="145">H394*I394</f>
        <v>0</v>
      </c>
      <c r="K394" s="308"/>
      <c r="L394" s="309"/>
      <c r="M394" s="310">
        <f t="shared" ref="M394:M457" si="146">K394*L394</f>
        <v>0</v>
      </c>
      <c r="N394" s="311"/>
      <c r="O394" s="312"/>
      <c r="P394" s="313">
        <f t="shared" ref="P394:P457" si="147">N394*O394</f>
        <v>0</v>
      </c>
      <c r="Q394" s="308"/>
      <c r="R394" s="309"/>
      <c r="S394" s="310">
        <f t="shared" ref="S394:S457" si="148">Q394*R394</f>
        <v>0</v>
      </c>
      <c r="T394" s="311"/>
      <c r="U394" s="312"/>
      <c r="V394" s="313">
        <f t="shared" ref="V394:V457" si="149">T394*U394</f>
        <v>0</v>
      </c>
      <c r="W394" s="308"/>
      <c r="X394" s="309"/>
      <c r="Y394" s="310">
        <f t="shared" ref="Y394:Y457" si="150">W394*X394</f>
        <v>0</v>
      </c>
      <c r="Z394" s="311"/>
      <c r="AA394" s="312"/>
      <c r="AB394" s="313">
        <f t="shared" ref="AB394:AB457" si="151">Z394*AA394</f>
        <v>0</v>
      </c>
      <c r="AC394" s="308"/>
      <c r="AD394" s="309"/>
      <c r="AE394" s="310">
        <f t="shared" ref="AE394:AE457" si="152">AC394*AD394</f>
        <v>0</v>
      </c>
      <c r="AF394" s="311"/>
      <c r="AG394" s="312"/>
      <c r="AH394" s="313">
        <f t="shared" ref="AH394:AH457" si="153">AF394*AG394</f>
        <v>0</v>
      </c>
      <c r="AI394" s="308">
        <v>24</v>
      </c>
      <c r="AJ394" s="309">
        <v>41334</v>
      </c>
      <c r="AK394" s="310">
        <f t="shared" ref="AK394:AK457" si="154">AI394*AJ394</f>
        <v>992016</v>
      </c>
      <c r="AL394" s="393">
        <v>26</v>
      </c>
      <c r="AM394" s="394">
        <v>41892</v>
      </c>
      <c r="AN394" s="313">
        <f t="shared" ref="AN394:AN457" si="155">AL394*AM394</f>
        <v>1089192</v>
      </c>
      <c r="AO394" s="308"/>
      <c r="AP394" s="309"/>
      <c r="AQ394" s="310">
        <f t="shared" ref="AQ394:AQ457" si="156">(AO394*AP394)*0.8182</f>
        <v>0</v>
      </c>
      <c r="AR394" s="311"/>
      <c r="AS394" s="312"/>
      <c r="AT394" s="313">
        <f t="shared" ref="AT394:AT457" si="157">(AR394*AS394)*0.8182</f>
        <v>0</v>
      </c>
      <c r="AU394" s="308"/>
      <c r="AV394" s="309"/>
      <c r="AW394" s="310">
        <f t="shared" ref="AW394:AW457" si="158">(AU394*AV394)*0.8182</f>
        <v>0</v>
      </c>
      <c r="AX394" s="311"/>
      <c r="AY394" s="312"/>
      <c r="AZ394" s="313">
        <f t="shared" ref="AZ394:AZ457" si="159">(AX394*AY394)*0.8182</f>
        <v>0</v>
      </c>
      <c r="BA394" s="308"/>
      <c r="BB394" s="309"/>
      <c r="BC394" s="310">
        <f t="shared" ref="BC394:BC457" si="160">(BA394*BB394)*0.8182</f>
        <v>0</v>
      </c>
      <c r="BD394" s="311"/>
      <c r="BE394" s="312"/>
      <c r="BF394" s="313">
        <f t="shared" ref="BF394:BF457" si="161">(BD394*BE394)*0.8182</f>
        <v>0</v>
      </c>
      <c r="BG394" s="308"/>
      <c r="BH394" s="309"/>
      <c r="BI394" s="310">
        <f t="shared" ref="BI394:BI457" si="162">(BG394*BH394)*0.8182</f>
        <v>0</v>
      </c>
      <c r="BJ394" s="311"/>
      <c r="BK394" s="312"/>
      <c r="BL394" s="313">
        <f t="shared" ref="BL394:BL457" si="163">(BJ394*BK394)*0.8182</f>
        <v>0</v>
      </c>
      <c r="BM394" s="308"/>
      <c r="BN394" s="309"/>
      <c r="BO394" s="310">
        <f t="shared" ref="BO394:BO457" si="164">(BM394*BN394)*0.8182</f>
        <v>0</v>
      </c>
      <c r="BP394" s="311"/>
      <c r="BQ394" s="312"/>
      <c r="BR394" s="313">
        <f t="shared" ref="BR394:BR457" si="165">(BP394*BQ394)*0.8182</f>
        <v>0</v>
      </c>
      <c r="BS394" s="308"/>
      <c r="BT394" s="309"/>
      <c r="BU394" s="310">
        <f t="shared" ref="BU394:BU457" si="166">(BS394*BT394)*0.8182</f>
        <v>0</v>
      </c>
      <c r="BV394" s="311"/>
      <c r="BW394" s="312"/>
      <c r="BX394" s="313">
        <f t="shared" ref="BX394:BX457" si="167">(BV394*BW394)*0.8182</f>
        <v>0</v>
      </c>
    </row>
    <row r="395" spans="1:76">
      <c r="A395" s="304" t="s">
        <v>445</v>
      </c>
      <c r="B395" s="332" t="s">
        <v>326</v>
      </c>
      <c r="C395" s="304">
        <v>198923</v>
      </c>
      <c r="D395" s="307">
        <v>10</v>
      </c>
      <c r="E395" s="308"/>
      <c r="F395" s="309"/>
      <c r="G395" s="310">
        <f t="shared" si="144"/>
        <v>0</v>
      </c>
      <c r="H395" s="311"/>
      <c r="I395" s="312"/>
      <c r="J395" s="313">
        <f t="shared" si="145"/>
        <v>0</v>
      </c>
      <c r="K395" s="308"/>
      <c r="L395" s="309"/>
      <c r="M395" s="310">
        <f t="shared" si="146"/>
        <v>0</v>
      </c>
      <c r="N395" s="311"/>
      <c r="O395" s="312"/>
      <c r="P395" s="313">
        <f t="shared" si="147"/>
        <v>0</v>
      </c>
      <c r="Q395" s="308"/>
      <c r="R395" s="309"/>
      <c r="S395" s="310">
        <f t="shared" si="148"/>
        <v>0</v>
      </c>
      <c r="T395" s="311"/>
      <c r="U395" s="312"/>
      <c r="V395" s="313">
        <f t="shared" si="149"/>
        <v>0</v>
      </c>
      <c r="W395" s="308"/>
      <c r="X395" s="309"/>
      <c r="Y395" s="310">
        <f t="shared" si="150"/>
        <v>0</v>
      </c>
      <c r="Z395" s="311"/>
      <c r="AA395" s="312"/>
      <c r="AB395" s="313">
        <f t="shared" si="151"/>
        <v>0</v>
      </c>
      <c r="AC395" s="308"/>
      <c r="AD395" s="309"/>
      <c r="AE395" s="310">
        <f t="shared" si="152"/>
        <v>0</v>
      </c>
      <c r="AF395" s="311"/>
      <c r="AG395" s="312"/>
      <c r="AH395" s="313">
        <f t="shared" si="153"/>
        <v>0</v>
      </c>
      <c r="AI395" s="308">
        <v>40</v>
      </c>
      <c r="AJ395" s="309">
        <v>39096</v>
      </c>
      <c r="AK395" s="310">
        <f t="shared" si="154"/>
        <v>1563840</v>
      </c>
      <c r="AL395" s="393">
        <v>41</v>
      </c>
      <c r="AM395" s="394">
        <v>39847</v>
      </c>
      <c r="AN395" s="313">
        <f t="shared" si="155"/>
        <v>1633727</v>
      </c>
      <c r="AO395" s="308"/>
      <c r="AP395" s="309"/>
      <c r="AQ395" s="310">
        <f t="shared" si="156"/>
        <v>0</v>
      </c>
      <c r="AR395" s="311"/>
      <c r="AS395" s="312"/>
      <c r="AT395" s="313">
        <f t="shared" si="157"/>
        <v>0</v>
      </c>
      <c r="AU395" s="308"/>
      <c r="AV395" s="309"/>
      <c r="AW395" s="310">
        <f t="shared" si="158"/>
        <v>0</v>
      </c>
      <c r="AX395" s="311"/>
      <c r="AY395" s="312"/>
      <c r="AZ395" s="313">
        <f t="shared" si="159"/>
        <v>0</v>
      </c>
      <c r="BA395" s="308"/>
      <c r="BB395" s="309"/>
      <c r="BC395" s="310">
        <f t="shared" si="160"/>
        <v>0</v>
      </c>
      <c r="BD395" s="311"/>
      <c r="BE395" s="312"/>
      <c r="BF395" s="313">
        <f t="shared" si="161"/>
        <v>0</v>
      </c>
      <c r="BG395" s="308"/>
      <c r="BH395" s="309"/>
      <c r="BI395" s="310">
        <f t="shared" si="162"/>
        <v>0</v>
      </c>
      <c r="BJ395" s="311"/>
      <c r="BK395" s="312"/>
      <c r="BL395" s="313">
        <f t="shared" si="163"/>
        <v>0</v>
      </c>
      <c r="BM395" s="308"/>
      <c r="BN395" s="309"/>
      <c r="BO395" s="310">
        <f t="shared" si="164"/>
        <v>0</v>
      </c>
      <c r="BP395" s="311"/>
      <c r="BQ395" s="312"/>
      <c r="BR395" s="313">
        <f t="shared" si="165"/>
        <v>0</v>
      </c>
      <c r="BS395" s="308"/>
      <c r="BT395" s="309"/>
      <c r="BU395" s="310">
        <f t="shared" si="166"/>
        <v>0</v>
      </c>
      <c r="BV395" s="311"/>
      <c r="BW395" s="312"/>
      <c r="BX395" s="313">
        <f t="shared" si="167"/>
        <v>0</v>
      </c>
    </row>
    <row r="396" spans="1:76">
      <c r="A396" s="304" t="s">
        <v>445</v>
      </c>
      <c r="B396" s="332" t="s">
        <v>327</v>
      </c>
      <c r="C396" s="304">
        <v>199023</v>
      </c>
      <c r="D396" s="307">
        <v>10</v>
      </c>
      <c r="E396" s="308"/>
      <c r="F396" s="309"/>
      <c r="G396" s="310">
        <f t="shared" si="144"/>
        <v>0</v>
      </c>
      <c r="H396" s="311"/>
      <c r="I396" s="312"/>
      <c r="J396" s="313">
        <f t="shared" si="145"/>
        <v>0</v>
      </c>
      <c r="K396" s="308"/>
      <c r="L396" s="309"/>
      <c r="M396" s="310">
        <f t="shared" si="146"/>
        <v>0</v>
      </c>
      <c r="N396" s="311"/>
      <c r="O396" s="312"/>
      <c r="P396" s="313">
        <f t="shared" si="147"/>
        <v>0</v>
      </c>
      <c r="Q396" s="308"/>
      <c r="R396" s="309"/>
      <c r="S396" s="310">
        <f t="shared" si="148"/>
        <v>0</v>
      </c>
      <c r="T396" s="311"/>
      <c r="U396" s="312"/>
      <c r="V396" s="313">
        <f t="shared" si="149"/>
        <v>0</v>
      </c>
      <c r="W396" s="308"/>
      <c r="X396" s="309"/>
      <c r="Y396" s="310">
        <f t="shared" si="150"/>
        <v>0</v>
      </c>
      <c r="Z396" s="311"/>
      <c r="AA396" s="312"/>
      <c r="AB396" s="313">
        <f t="shared" si="151"/>
        <v>0</v>
      </c>
      <c r="AC396" s="308"/>
      <c r="AD396" s="309"/>
      <c r="AE396" s="310">
        <f t="shared" si="152"/>
        <v>0</v>
      </c>
      <c r="AF396" s="311"/>
      <c r="AG396" s="312"/>
      <c r="AH396" s="313">
        <f t="shared" si="153"/>
        <v>0</v>
      </c>
      <c r="AI396" s="308">
        <v>36</v>
      </c>
      <c r="AJ396" s="309">
        <v>41099</v>
      </c>
      <c r="AK396" s="310">
        <f t="shared" si="154"/>
        <v>1479564</v>
      </c>
      <c r="AL396" s="393">
        <v>37</v>
      </c>
      <c r="AM396" s="394">
        <v>43543</v>
      </c>
      <c r="AN396" s="313">
        <f t="shared" si="155"/>
        <v>1611091</v>
      </c>
      <c r="AO396" s="308"/>
      <c r="AP396" s="309"/>
      <c r="AQ396" s="310">
        <f t="shared" si="156"/>
        <v>0</v>
      </c>
      <c r="AR396" s="311"/>
      <c r="AS396" s="312"/>
      <c r="AT396" s="313">
        <f t="shared" si="157"/>
        <v>0</v>
      </c>
      <c r="AU396" s="308"/>
      <c r="AV396" s="309"/>
      <c r="AW396" s="310">
        <f t="shared" si="158"/>
        <v>0</v>
      </c>
      <c r="AX396" s="311"/>
      <c r="AY396" s="312"/>
      <c r="AZ396" s="313">
        <f t="shared" si="159"/>
        <v>0</v>
      </c>
      <c r="BA396" s="308"/>
      <c r="BB396" s="309"/>
      <c r="BC396" s="310">
        <f t="shared" si="160"/>
        <v>0</v>
      </c>
      <c r="BD396" s="311"/>
      <c r="BE396" s="312"/>
      <c r="BF396" s="313">
        <f t="shared" si="161"/>
        <v>0</v>
      </c>
      <c r="BG396" s="308"/>
      <c r="BH396" s="309"/>
      <c r="BI396" s="310">
        <f t="shared" si="162"/>
        <v>0</v>
      </c>
      <c r="BJ396" s="311"/>
      <c r="BK396" s="312"/>
      <c r="BL396" s="313">
        <f t="shared" si="163"/>
        <v>0</v>
      </c>
      <c r="BM396" s="308"/>
      <c r="BN396" s="309"/>
      <c r="BO396" s="310">
        <f t="shared" si="164"/>
        <v>0</v>
      </c>
      <c r="BP396" s="311"/>
      <c r="BQ396" s="312"/>
      <c r="BR396" s="313">
        <f t="shared" si="165"/>
        <v>0</v>
      </c>
      <c r="BS396" s="308"/>
      <c r="BT396" s="309"/>
      <c r="BU396" s="310">
        <f t="shared" si="166"/>
        <v>0</v>
      </c>
      <c r="BV396" s="311"/>
      <c r="BW396" s="312"/>
      <c r="BX396" s="313">
        <f t="shared" si="167"/>
        <v>0</v>
      </c>
    </row>
    <row r="397" spans="1:76">
      <c r="A397" s="304" t="s">
        <v>445</v>
      </c>
      <c r="B397" s="332" t="s">
        <v>328</v>
      </c>
      <c r="C397" s="304">
        <v>199263</v>
      </c>
      <c r="D397" s="307">
        <v>10</v>
      </c>
      <c r="E397" s="308"/>
      <c r="F397" s="309"/>
      <c r="G397" s="310">
        <f t="shared" si="144"/>
        <v>0</v>
      </c>
      <c r="H397" s="311"/>
      <c r="I397" s="312"/>
      <c r="J397" s="313">
        <f t="shared" si="145"/>
        <v>0</v>
      </c>
      <c r="K397" s="308"/>
      <c r="L397" s="309"/>
      <c r="M397" s="310">
        <f t="shared" si="146"/>
        <v>0</v>
      </c>
      <c r="N397" s="311"/>
      <c r="O397" s="312"/>
      <c r="P397" s="313">
        <f t="shared" si="147"/>
        <v>0</v>
      </c>
      <c r="Q397" s="308"/>
      <c r="R397" s="309"/>
      <c r="S397" s="310">
        <f t="shared" si="148"/>
        <v>0</v>
      </c>
      <c r="T397" s="311"/>
      <c r="U397" s="312"/>
      <c r="V397" s="313">
        <f t="shared" si="149"/>
        <v>0</v>
      </c>
      <c r="W397" s="308"/>
      <c r="X397" s="309"/>
      <c r="Y397" s="310">
        <f t="shared" si="150"/>
        <v>0</v>
      </c>
      <c r="Z397" s="311"/>
      <c r="AA397" s="312"/>
      <c r="AB397" s="313">
        <f t="shared" si="151"/>
        <v>0</v>
      </c>
      <c r="AC397" s="308"/>
      <c r="AD397" s="309"/>
      <c r="AE397" s="310">
        <f t="shared" si="152"/>
        <v>0</v>
      </c>
      <c r="AF397" s="311"/>
      <c r="AG397" s="312"/>
      <c r="AH397" s="313">
        <f t="shared" si="153"/>
        <v>0</v>
      </c>
      <c r="AI397" s="308">
        <v>14</v>
      </c>
      <c r="AJ397" s="309">
        <v>41288</v>
      </c>
      <c r="AK397" s="310">
        <f t="shared" si="154"/>
        <v>578032</v>
      </c>
      <c r="AL397" s="393">
        <v>17</v>
      </c>
      <c r="AM397" s="394">
        <v>42510</v>
      </c>
      <c r="AN397" s="313">
        <f t="shared" si="155"/>
        <v>722670</v>
      </c>
      <c r="AO397" s="308"/>
      <c r="AP397" s="309"/>
      <c r="AQ397" s="310">
        <f t="shared" si="156"/>
        <v>0</v>
      </c>
      <c r="AR397" s="311"/>
      <c r="AS397" s="312"/>
      <c r="AT397" s="313">
        <f t="shared" si="157"/>
        <v>0</v>
      </c>
      <c r="AU397" s="308"/>
      <c r="AV397" s="309"/>
      <c r="AW397" s="310">
        <f t="shared" si="158"/>
        <v>0</v>
      </c>
      <c r="AX397" s="311"/>
      <c r="AY397" s="312"/>
      <c r="AZ397" s="313">
        <f t="shared" si="159"/>
        <v>0</v>
      </c>
      <c r="BA397" s="308"/>
      <c r="BB397" s="309"/>
      <c r="BC397" s="310">
        <f t="shared" si="160"/>
        <v>0</v>
      </c>
      <c r="BD397" s="311"/>
      <c r="BE397" s="312"/>
      <c r="BF397" s="313">
        <f t="shared" si="161"/>
        <v>0</v>
      </c>
      <c r="BG397" s="308"/>
      <c r="BH397" s="309"/>
      <c r="BI397" s="310">
        <f t="shared" si="162"/>
        <v>0</v>
      </c>
      <c r="BJ397" s="311"/>
      <c r="BK397" s="312"/>
      <c r="BL397" s="313">
        <f t="shared" si="163"/>
        <v>0</v>
      </c>
      <c r="BM397" s="308"/>
      <c r="BN397" s="309"/>
      <c r="BO397" s="310">
        <f t="shared" si="164"/>
        <v>0</v>
      </c>
      <c r="BP397" s="311"/>
      <c r="BQ397" s="312"/>
      <c r="BR397" s="313">
        <f t="shared" si="165"/>
        <v>0</v>
      </c>
      <c r="BS397" s="308"/>
      <c r="BT397" s="309"/>
      <c r="BU397" s="310">
        <f t="shared" si="166"/>
        <v>0</v>
      </c>
      <c r="BV397" s="311"/>
      <c r="BW397" s="312"/>
      <c r="BX397" s="313">
        <f t="shared" si="167"/>
        <v>0</v>
      </c>
    </row>
    <row r="398" spans="1:76">
      <c r="A398" s="304" t="s">
        <v>445</v>
      </c>
      <c r="B398" s="332" t="s">
        <v>329</v>
      </c>
      <c r="C398" s="304">
        <v>199467</v>
      </c>
      <c r="D398" s="307">
        <v>10</v>
      </c>
      <c r="E398" s="308"/>
      <c r="F398" s="309"/>
      <c r="G398" s="310">
        <f t="shared" si="144"/>
        <v>0</v>
      </c>
      <c r="H398" s="311"/>
      <c r="I398" s="312"/>
      <c r="J398" s="313">
        <f t="shared" si="145"/>
        <v>0</v>
      </c>
      <c r="K398" s="308"/>
      <c r="L398" s="309"/>
      <c r="M398" s="310">
        <f t="shared" si="146"/>
        <v>0</v>
      </c>
      <c r="N398" s="311"/>
      <c r="O398" s="312"/>
      <c r="P398" s="313">
        <f t="shared" si="147"/>
        <v>0</v>
      </c>
      <c r="Q398" s="308"/>
      <c r="R398" s="309"/>
      <c r="S398" s="310">
        <f t="shared" si="148"/>
        <v>0</v>
      </c>
      <c r="T398" s="311"/>
      <c r="U398" s="312"/>
      <c r="V398" s="313">
        <f t="shared" si="149"/>
        <v>0</v>
      </c>
      <c r="W398" s="308"/>
      <c r="X398" s="309"/>
      <c r="Y398" s="310">
        <f t="shared" si="150"/>
        <v>0</v>
      </c>
      <c r="Z398" s="311"/>
      <c r="AA398" s="312"/>
      <c r="AB398" s="313">
        <f t="shared" si="151"/>
        <v>0</v>
      </c>
      <c r="AC398" s="308"/>
      <c r="AD398" s="309"/>
      <c r="AE398" s="310">
        <f t="shared" si="152"/>
        <v>0</v>
      </c>
      <c r="AF398" s="311"/>
      <c r="AG398" s="312"/>
      <c r="AH398" s="313">
        <f t="shared" si="153"/>
        <v>0</v>
      </c>
      <c r="AI398" s="308">
        <v>41</v>
      </c>
      <c r="AJ398" s="309">
        <v>49440</v>
      </c>
      <c r="AK398" s="310">
        <f t="shared" si="154"/>
        <v>2027040</v>
      </c>
      <c r="AL398" s="393">
        <v>38</v>
      </c>
      <c r="AM398" s="394">
        <v>51193</v>
      </c>
      <c r="AN398" s="313">
        <f t="shared" si="155"/>
        <v>1945334</v>
      </c>
      <c r="AO398" s="308"/>
      <c r="AP398" s="309"/>
      <c r="AQ398" s="310">
        <f t="shared" si="156"/>
        <v>0</v>
      </c>
      <c r="AR398" s="311"/>
      <c r="AS398" s="312"/>
      <c r="AT398" s="313">
        <f t="shared" si="157"/>
        <v>0</v>
      </c>
      <c r="AU398" s="308"/>
      <c r="AV398" s="309"/>
      <c r="AW398" s="310">
        <f t="shared" si="158"/>
        <v>0</v>
      </c>
      <c r="AX398" s="311"/>
      <c r="AY398" s="312"/>
      <c r="AZ398" s="313">
        <f t="shared" si="159"/>
        <v>0</v>
      </c>
      <c r="BA398" s="308"/>
      <c r="BB398" s="309"/>
      <c r="BC398" s="310">
        <f t="shared" si="160"/>
        <v>0</v>
      </c>
      <c r="BD398" s="311"/>
      <c r="BE398" s="312"/>
      <c r="BF398" s="313">
        <f t="shared" si="161"/>
        <v>0</v>
      </c>
      <c r="BG398" s="308"/>
      <c r="BH398" s="309"/>
      <c r="BI398" s="310">
        <f t="shared" si="162"/>
        <v>0</v>
      </c>
      <c r="BJ398" s="311"/>
      <c r="BK398" s="312"/>
      <c r="BL398" s="313">
        <f t="shared" si="163"/>
        <v>0</v>
      </c>
      <c r="BM398" s="308"/>
      <c r="BN398" s="309"/>
      <c r="BO398" s="310">
        <f t="shared" si="164"/>
        <v>0</v>
      </c>
      <c r="BP398" s="311"/>
      <c r="BQ398" s="312"/>
      <c r="BR398" s="313">
        <f t="shared" si="165"/>
        <v>0</v>
      </c>
      <c r="BS398" s="308"/>
      <c r="BT398" s="309"/>
      <c r="BU398" s="310">
        <f t="shared" si="166"/>
        <v>0</v>
      </c>
      <c r="BV398" s="311"/>
      <c r="BW398" s="312"/>
      <c r="BX398" s="313">
        <f t="shared" si="167"/>
        <v>0</v>
      </c>
    </row>
    <row r="399" spans="1:76">
      <c r="A399" s="304" t="s">
        <v>445</v>
      </c>
      <c r="B399" s="332" t="s">
        <v>330</v>
      </c>
      <c r="C399" s="304">
        <v>199625</v>
      </c>
      <c r="D399" s="307">
        <v>10</v>
      </c>
      <c r="E399" s="308"/>
      <c r="F399" s="309"/>
      <c r="G399" s="310">
        <f t="shared" si="144"/>
        <v>0</v>
      </c>
      <c r="H399" s="311"/>
      <c r="I399" s="312"/>
      <c r="J399" s="313">
        <f t="shared" si="145"/>
        <v>0</v>
      </c>
      <c r="K399" s="308"/>
      <c r="L399" s="309"/>
      <c r="M399" s="310">
        <f t="shared" si="146"/>
        <v>0</v>
      </c>
      <c r="N399" s="311"/>
      <c r="O399" s="312"/>
      <c r="P399" s="313">
        <f t="shared" si="147"/>
        <v>0</v>
      </c>
      <c r="Q399" s="308"/>
      <c r="R399" s="309"/>
      <c r="S399" s="310">
        <f t="shared" si="148"/>
        <v>0</v>
      </c>
      <c r="T399" s="311"/>
      <c r="U399" s="312"/>
      <c r="V399" s="313">
        <f t="shared" si="149"/>
        <v>0</v>
      </c>
      <c r="W399" s="308"/>
      <c r="X399" s="309"/>
      <c r="Y399" s="310">
        <f t="shared" si="150"/>
        <v>0</v>
      </c>
      <c r="Z399" s="311"/>
      <c r="AA399" s="312"/>
      <c r="AB399" s="313">
        <f t="shared" si="151"/>
        <v>0</v>
      </c>
      <c r="AC399" s="308"/>
      <c r="AD399" s="309"/>
      <c r="AE399" s="310">
        <f t="shared" si="152"/>
        <v>0</v>
      </c>
      <c r="AF399" s="311"/>
      <c r="AG399" s="312"/>
      <c r="AH399" s="313">
        <f t="shared" si="153"/>
        <v>0</v>
      </c>
      <c r="AI399" s="308">
        <v>49</v>
      </c>
      <c r="AJ399" s="309">
        <v>45429</v>
      </c>
      <c r="AK399" s="310">
        <f t="shared" si="154"/>
        <v>2226021</v>
      </c>
      <c r="AL399" s="393">
        <v>50</v>
      </c>
      <c r="AM399" s="394">
        <v>46345</v>
      </c>
      <c r="AN399" s="313">
        <f t="shared" si="155"/>
        <v>2317250</v>
      </c>
      <c r="AO399" s="308"/>
      <c r="AP399" s="309"/>
      <c r="AQ399" s="310">
        <f t="shared" si="156"/>
        <v>0</v>
      </c>
      <c r="AR399" s="311"/>
      <c r="AS399" s="312"/>
      <c r="AT399" s="313">
        <f t="shared" si="157"/>
        <v>0</v>
      </c>
      <c r="AU399" s="308"/>
      <c r="AV399" s="309"/>
      <c r="AW399" s="310">
        <f t="shared" si="158"/>
        <v>0</v>
      </c>
      <c r="AX399" s="311"/>
      <c r="AY399" s="312"/>
      <c r="AZ399" s="313">
        <f t="shared" si="159"/>
        <v>0</v>
      </c>
      <c r="BA399" s="308"/>
      <c r="BB399" s="309"/>
      <c r="BC399" s="310">
        <f t="shared" si="160"/>
        <v>0</v>
      </c>
      <c r="BD399" s="311"/>
      <c r="BE399" s="312"/>
      <c r="BF399" s="313">
        <f t="shared" si="161"/>
        <v>0</v>
      </c>
      <c r="BG399" s="308"/>
      <c r="BH399" s="309"/>
      <c r="BI399" s="310">
        <f t="shared" si="162"/>
        <v>0</v>
      </c>
      <c r="BJ399" s="311"/>
      <c r="BK399" s="312"/>
      <c r="BL399" s="313">
        <f t="shared" si="163"/>
        <v>0</v>
      </c>
      <c r="BM399" s="308"/>
      <c r="BN399" s="309"/>
      <c r="BO399" s="310">
        <f t="shared" si="164"/>
        <v>0</v>
      </c>
      <c r="BP399" s="311"/>
      <c r="BQ399" s="312"/>
      <c r="BR399" s="313">
        <f t="shared" si="165"/>
        <v>0</v>
      </c>
      <c r="BS399" s="308"/>
      <c r="BT399" s="309"/>
      <c r="BU399" s="310">
        <f t="shared" si="166"/>
        <v>0</v>
      </c>
      <c r="BV399" s="311"/>
      <c r="BW399" s="312"/>
      <c r="BX399" s="313">
        <f t="shared" si="167"/>
        <v>0</v>
      </c>
    </row>
    <row r="400" spans="1:76">
      <c r="A400" s="304" t="s">
        <v>445</v>
      </c>
      <c r="B400" s="332" t="s">
        <v>331</v>
      </c>
      <c r="C400" s="304">
        <v>199795</v>
      </c>
      <c r="D400" s="307">
        <v>10</v>
      </c>
      <c r="E400" s="308"/>
      <c r="F400" s="309"/>
      <c r="G400" s="310">
        <f t="shared" si="144"/>
        <v>0</v>
      </c>
      <c r="H400" s="311"/>
      <c r="I400" s="312"/>
      <c r="J400" s="313">
        <f t="shared" si="145"/>
        <v>0</v>
      </c>
      <c r="K400" s="308"/>
      <c r="L400" s="309"/>
      <c r="M400" s="310">
        <f t="shared" si="146"/>
        <v>0</v>
      </c>
      <c r="N400" s="311"/>
      <c r="O400" s="312"/>
      <c r="P400" s="313">
        <f t="shared" si="147"/>
        <v>0</v>
      </c>
      <c r="Q400" s="308"/>
      <c r="R400" s="309"/>
      <c r="S400" s="310">
        <f t="shared" si="148"/>
        <v>0</v>
      </c>
      <c r="T400" s="311"/>
      <c r="U400" s="312"/>
      <c r="V400" s="313">
        <f t="shared" si="149"/>
        <v>0</v>
      </c>
      <c r="W400" s="308"/>
      <c r="X400" s="309"/>
      <c r="Y400" s="310">
        <f t="shared" si="150"/>
        <v>0</v>
      </c>
      <c r="Z400" s="311"/>
      <c r="AA400" s="312"/>
      <c r="AB400" s="313">
        <f t="shared" si="151"/>
        <v>0</v>
      </c>
      <c r="AC400" s="308"/>
      <c r="AD400" s="309"/>
      <c r="AE400" s="310">
        <f t="shared" si="152"/>
        <v>0</v>
      </c>
      <c r="AF400" s="311"/>
      <c r="AG400" s="312"/>
      <c r="AH400" s="313">
        <f t="shared" si="153"/>
        <v>0</v>
      </c>
      <c r="AI400" s="308">
        <v>30</v>
      </c>
      <c r="AJ400" s="309">
        <v>44481</v>
      </c>
      <c r="AK400" s="310">
        <f t="shared" si="154"/>
        <v>1334430</v>
      </c>
      <c r="AL400" s="393">
        <v>29</v>
      </c>
      <c r="AM400" s="394">
        <v>46133</v>
      </c>
      <c r="AN400" s="313">
        <f t="shared" si="155"/>
        <v>1337857</v>
      </c>
      <c r="AO400" s="308"/>
      <c r="AP400" s="309"/>
      <c r="AQ400" s="310">
        <f t="shared" si="156"/>
        <v>0</v>
      </c>
      <c r="AR400" s="311"/>
      <c r="AS400" s="312"/>
      <c r="AT400" s="313">
        <f t="shared" si="157"/>
        <v>0</v>
      </c>
      <c r="AU400" s="308"/>
      <c r="AV400" s="309"/>
      <c r="AW400" s="310">
        <f t="shared" si="158"/>
        <v>0</v>
      </c>
      <c r="AX400" s="311"/>
      <c r="AY400" s="312"/>
      <c r="AZ400" s="313">
        <f t="shared" si="159"/>
        <v>0</v>
      </c>
      <c r="BA400" s="308"/>
      <c r="BB400" s="309"/>
      <c r="BC400" s="310">
        <f t="shared" si="160"/>
        <v>0</v>
      </c>
      <c r="BD400" s="311"/>
      <c r="BE400" s="312"/>
      <c r="BF400" s="313">
        <f t="shared" si="161"/>
        <v>0</v>
      </c>
      <c r="BG400" s="308"/>
      <c r="BH400" s="309"/>
      <c r="BI400" s="310">
        <f t="shared" si="162"/>
        <v>0</v>
      </c>
      <c r="BJ400" s="311"/>
      <c r="BK400" s="312"/>
      <c r="BL400" s="313">
        <f t="shared" si="163"/>
        <v>0</v>
      </c>
      <c r="BM400" s="308"/>
      <c r="BN400" s="309"/>
      <c r="BO400" s="310">
        <f t="shared" si="164"/>
        <v>0</v>
      </c>
      <c r="BP400" s="311"/>
      <c r="BQ400" s="312"/>
      <c r="BR400" s="313">
        <f t="shared" si="165"/>
        <v>0</v>
      </c>
      <c r="BS400" s="308"/>
      <c r="BT400" s="309"/>
      <c r="BU400" s="310">
        <f t="shared" si="166"/>
        <v>0</v>
      </c>
      <c r="BV400" s="311"/>
      <c r="BW400" s="312"/>
      <c r="BX400" s="313">
        <f t="shared" si="167"/>
        <v>0</v>
      </c>
    </row>
    <row r="401" spans="1:76">
      <c r="A401" s="324" t="s">
        <v>410</v>
      </c>
      <c r="B401" s="323" t="s">
        <v>889</v>
      </c>
      <c r="C401" s="324">
        <v>207388</v>
      </c>
      <c r="D401" s="320">
        <v>1</v>
      </c>
      <c r="E401" s="308">
        <v>225</v>
      </c>
      <c r="F401" s="309">
        <v>101147</v>
      </c>
      <c r="G401" s="310">
        <f t="shared" si="144"/>
        <v>22758075</v>
      </c>
      <c r="H401" s="311">
        <v>224</v>
      </c>
      <c r="I401" s="312">
        <v>104714</v>
      </c>
      <c r="J401" s="313">
        <f t="shared" si="145"/>
        <v>23455936</v>
      </c>
      <c r="K401" s="308">
        <v>231</v>
      </c>
      <c r="L401" s="309">
        <v>69980</v>
      </c>
      <c r="M401" s="310">
        <f t="shared" si="146"/>
        <v>16165380</v>
      </c>
      <c r="N401" s="311">
        <v>231</v>
      </c>
      <c r="O401" s="312">
        <v>73233</v>
      </c>
      <c r="P401" s="313">
        <f t="shared" si="147"/>
        <v>16916823</v>
      </c>
      <c r="Q401" s="308">
        <v>231</v>
      </c>
      <c r="R401" s="309">
        <v>63062</v>
      </c>
      <c r="S401" s="310">
        <f t="shared" si="148"/>
        <v>14567322</v>
      </c>
      <c r="T401" s="311">
        <v>213</v>
      </c>
      <c r="U401" s="312">
        <v>64639</v>
      </c>
      <c r="V401" s="313">
        <f t="shared" si="149"/>
        <v>13768107</v>
      </c>
      <c r="W401" s="308">
        <v>55</v>
      </c>
      <c r="X401" s="309">
        <v>40702</v>
      </c>
      <c r="Y401" s="310">
        <f t="shared" si="150"/>
        <v>2238610</v>
      </c>
      <c r="Z401" s="311">
        <v>68</v>
      </c>
      <c r="AA401" s="312">
        <v>42806</v>
      </c>
      <c r="AB401" s="313">
        <f t="shared" si="151"/>
        <v>2910808</v>
      </c>
      <c r="AC401" s="308"/>
      <c r="AD401" s="309"/>
      <c r="AE401" s="310">
        <f t="shared" si="152"/>
        <v>0</v>
      </c>
      <c r="AF401" s="311"/>
      <c r="AG401" s="312"/>
      <c r="AH401" s="313">
        <f t="shared" si="153"/>
        <v>0</v>
      </c>
      <c r="AI401" s="308"/>
      <c r="AJ401" s="309"/>
      <c r="AK401" s="310">
        <f t="shared" si="154"/>
        <v>0</v>
      </c>
      <c r="AL401" s="311"/>
      <c r="AM401" s="312"/>
      <c r="AN401" s="313">
        <f t="shared" si="155"/>
        <v>0</v>
      </c>
      <c r="AO401" s="308">
        <v>52</v>
      </c>
      <c r="AP401" s="309">
        <v>130716</v>
      </c>
      <c r="AQ401" s="310">
        <f t="shared" si="156"/>
        <v>5561495.2224000003</v>
      </c>
      <c r="AR401" s="311">
        <v>60</v>
      </c>
      <c r="AS401" s="312">
        <v>137521</v>
      </c>
      <c r="AT401" s="313">
        <f t="shared" si="157"/>
        <v>6751180.932</v>
      </c>
      <c r="AU401" s="308">
        <v>39</v>
      </c>
      <c r="AV401" s="309">
        <v>76386</v>
      </c>
      <c r="AW401" s="310">
        <f t="shared" si="158"/>
        <v>2437461.9828000003</v>
      </c>
      <c r="AX401" s="311">
        <v>35</v>
      </c>
      <c r="AY401" s="312">
        <v>82116</v>
      </c>
      <c r="AZ401" s="313">
        <f t="shared" si="159"/>
        <v>2351555.892</v>
      </c>
      <c r="BA401" s="308">
        <v>21</v>
      </c>
      <c r="BB401" s="309">
        <v>55279</v>
      </c>
      <c r="BC401" s="310">
        <f t="shared" si="160"/>
        <v>949814.83380000002</v>
      </c>
      <c r="BD401" s="311">
        <v>27</v>
      </c>
      <c r="BE401" s="312">
        <v>58385</v>
      </c>
      <c r="BF401" s="313">
        <f t="shared" si="161"/>
        <v>1289806.389</v>
      </c>
      <c r="BG401" s="308">
        <v>55</v>
      </c>
      <c r="BH401" s="309">
        <v>42901</v>
      </c>
      <c r="BI401" s="310">
        <f t="shared" si="162"/>
        <v>1930587.9010000001</v>
      </c>
      <c r="BJ401" s="311">
        <v>62</v>
      </c>
      <c r="BK401" s="312">
        <v>45992</v>
      </c>
      <c r="BL401" s="313">
        <f t="shared" si="163"/>
        <v>2333100.5728000002</v>
      </c>
      <c r="BM401" s="308"/>
      <c r="BN401" s="309"/>
      <c r="BO401" s="310">
        <f t="shared" si="164"/>
        <v>0</v>
      </c>
      <c r="BP401" s="311"/>
      <c r="BQ401" s="312"/>
      <c r="BR401" s="313">
        <f t="shared" si="165"/>
        <v>0</v>
      </c>
      <c r="BS401" s="308"/>
      <c r="BT401" s="309"/>
      <c r="BU401" s="310">
        <f t="shared" si="166"/>
        <v>0</v>
      </c>
      <c r="BV401" s="311"/>
      <c r="BW401" s="312"/>
      <c r="BX401" s="313">
        <f t="shared" si="167"/>
        <v>0</v>
      </c>
    </row>
    <row r="402" spans="1:76">
      <c r="A402" s="324" t="s">
        <v>410</v>
      </c>
      <c r="B402" s="323" t="s">
        <v>890</v>
      </c>
      <c r="C402" s="324">
        <v>207500</v>
      </c>
      <c r="D402" s="320">
        <v>1</v>
      </c>
      <c r="E402" s="308">
        <v>298</v>
      </c>
      <c r="F402" s="309">
        <v>107114</v>
      </c>
      <c r="G402" s="310">
        <f t="shared" si="144"/>
        <v>31919972</v>
      </c>
      <c r="H402" s="311">
        <v>316</v>
      </c>
      <c r="I402" s="312">
        <v>106281</v>
      </c>
      <c r="J402" s="313">
        <f t="shared" si="145"/>
        <v>33584796</v>
      </c>
      <c r="K402" s="308">
        <v>243</v>
      </c>
      <c r="L402" s="309">
        <v>69525</v>
      </c>
      <c r="M402" s="310">
        <f t="shared" si="146"/>
        <v>16894575</v>
      </c>
      <c r="N402" s="311">
        <v>259</v>
      </c>
      <c r="O402" s="312">
        <v>70528</v>
      </c>
      <c r="P402" s="313">
        <f t="shared" si="147"/>
        <v>18266752</v>
      </c>
      <c r="Q402" s="308">
        <v>272</v>
      </c>
      <c r="R402" s="309">
        <v>59026</v>
      </c>
      <c r="S402" s="310">
        <f t="shared" si="148"/>
        <v>16055072</v>
      </c>
      <c r="T402" s="311">
        <v>259</v>
      </c>
      <c r="U402" s="312">
        <v>61807</v>
      </c>
      <c r="V402" s="313">
        <f t="shared" si="149"/>
        <v>16008013</v>
      </c>
      <c r="W402" s="308">
        <v>137</v>
      </c>
      <c r="X402" s="309">
        <v>38852</v>
      </c>
      <c r="Y402" s="310">
        <f t="shared" si="150"/>
        <v>5322724</v>
      </c>
      <c r="Z402" s="311">
        <v>136</v>
      </c>
      <c r="AA402" s="312">
        <v>42337</v>
      </c>
      <c r="AB402" s="313">
        <f t="shared" si="151"/>
        <v>5757832</v>
      </c>
      <c r="AC402" s="308"/>
      <c r="AD402" s="309"/>
      <c r="AE402" s="310">
        <f t="shared" si="152"/>
        <v>0</v>
      </c>
      <c r="AF402" s="311"/>
      <c r="AG402" s="312"/>
      <c r="AH402" s="313">
        <f t="shared" si="153"/>
        <v>0</v>
      </c>
      <c r="AI402" s="308"/>
      <c r="AJ402" s="309"/>
      <c r="AK402" s="310">
        <f t="shared" si="154"/>
        <v>0</v>
      </c>
      <c r="AL402" s="311"/>
      <c r="AM402" s="312"/>
      <c r="AN402" s="313">
        <f t="shared" si="155"/>
        <v>0</v>
      </c>
      <c r="AO402" s="308">
        <v>75</v>
      </c>
      <c r="AP402" s="309">
        <v>140704</v>
      </c>
      <c r="AQ402" s="310">
        <f t="shared" si="156"/>
        <v>8634300.9600000009</v>
      </c>
      <c r="AR402" s="311">
        <v>80</v>
      </c>
      <c r="AS402" s="312">
        <v>143397</v>
      </c>
      <c r="AT402" s="313">
        <f t="shared" si="157"/>
        <v>9386194.0319999997</v>
      </c>
      <c r="AU402" s="308">
        <v>38</v>
      </c>
      <c r="AV402" s="309">
        <v>104854</v>
      </c>
      <c r="AW402" s="310">
        <f t="shared" si="158"/>
        <v>3260078.6264</v>
      </c>
      <c r="AX402" s="311">
        <v>35</v>
      </c>
      <c r="AY402" s="312">
        <v>103772</v>
      </c>
      <c r="AZ402" s="313">
        <f t="shared" si="159"/>
        <v>2971718.764</v>
      </c>
      <c r="BA402" s="308">
        <v>11</v>
      </c>
      <c r="BB402" s="309">
        <v>69506</v>
      </c>
      <c r="BC402" s="310">
        <f t="shared" si="160"/>
        <v>625567.90120000008</v>
      </c>
      <c r="BD402" s="311">
        <v>12</v>
      </c>
      <c r="BE402" s="312">
        <v>74623</v>
      </c>
      <c r="BF402" s="313">
        <f t="shared" si="161"/>
        <v>732678.4632</v>
      </c>
      <c r="BG402" s="308">
        <v>17</v>
      </c>
      <c r="BH402" s="309">
        <v>46909</v>
      </c>
      <c r="BI402" s="310">
        <f t="shared" si="162"/>
        <v>652476.04460000002</v>
      </c>
      <c r="BJ402" s="311">
        <v>15</v>
      </c>
      <c r="BK402" s="312">
        <v>48067</v>
      </c>
      <c r="BL402" s="313">
        <f t="shared" si="163"/>
        <v>589926.29100000008</v>
      </c>
      <c r="BM402" s="308"/>
      <c r="BN402" s="309"/>
      <c r="BO402" s="310">
        <f t="shared" si="164"/>
        <v>0</v>
      </c>
      <c r="BP402" s="311"/>
      <c r="BQ402" s="312"/>
      <c r="BR402" s="313">
        <f t="shared" si="165"/>
        <v>0</v>
      </c>
      <c r="BS402" s="308"/>
      <c r="BT402" s="309"/>
      <c r="BU402" s="310">
        <f t="shared" si="166"/>
        <v>0</v>
      </c>
      <c r="BV402" s="311"/>
      <c r="BW402" s="312"/>
      <c r="BX402" s="313">
        <f t="shared" si="167"/>
        <v>0</v>
      </c>
    </row>
    <row r="403" spans="1:76">
      <c r="A403" s="324" t="s">
        <v>410</v>
      </c>
      <c r="B403" s="323" t="s">
        <v>891</v>
      </c>
      <c r="C403" s="324">
        <v>207263</v>
      </c>
      <c r="D403" s="324">
        <v>3</v>
      </c>
      <c r="E403" s="308">
        <v>56</v>
      </c>
      <c r="F403" s="309">
        <v>68860</v>
      </c>
      <c r="G403" s="310">
        <f t="shared" si="144"/>
        <v>3856160</v>
      </c>
      <c r="H403" s="311">
        <v>53</v>
      </c>
      <c r="I403" s="312">
        <v>69024</v>
      </c>
      <c r="J403" s="313">
        <f t="shared" si="145"/>
        <v>3658272</v>
      </c>
      <c r="K403" s="308">
        <v>73</v>
      </c>
      <c r="L403" s="309">
        <v>58050</v>
      </c>
      <c r="M403" s="310">
        <f t="shared" si="146"/>
        <v>4237650</v>
      </c>
      <c r="N403" s="311">
        <v>71</v>
      </c>
      <c r="O403" s="312">
        <v>58256</v>
      </c>
      <c r="P403" s="313">
        <f t="shared" si="147"/>
        <v>4136176</v>
      </c>
      <c r="Q403" s="308">
        <v>79</v>
      </c>
      <c r="R403" s="309">
        <v>49142</v>
      </c>
      <c r="S403" s="310">
        <f t="shared" si="148"/>
        <v>3882218</v>
      </c>
      <c r="T403" s="311">
        <v>85</v>
      </c>
      <c r="U403" s="312">
        <v>48818</v>
      </c>
      <c r="V403" s="313">
        <f t="shared" si="149"/>
        <v>4149530</v>
      </c>
      <c r="W403" s="308">
        <v>73</v>
      </c>
      <c r="X403" s="309">
        <v>38285</v>
      </c>
      <c r="Y403" s="310">
        <f t="shared" si="150"/>
        <v>2794805</v>
      </c>
      <c r="Z403" s="311">
        <v>79</v>
      </c>
      <c r="AA403" s="312">
        <v>37992</v>
      </c>
      <c r="AB403" s="313">
        <f t="shared" si="151"/>
        <v>3001368</v>
      </c>
      <c r="AC403" s="308"/>
      <c r="AD403" s="309"/>
      <c r="AE403" s="310">
        <f t="shared" si="152"/>
        <v>0</v>
      </c>
      <c r="AF403" s="311"/>
      <c r="AG403" s="312"/>
      <c r="AH403" s="313">
        <f t="shared" si="153"/>
        <v>0</v>
      </c>
      <c r="AI403" s="308"/>
      <c r="AJ403" s="309"/>
      <c r="AK403" s="310">
        <f t="shared" si="154"/>
        <v>0</v>
      </c>
      <c r="AL403" s="311"/>
      <c r="AM403" s="312"/>
      <c r="AN403" s="313">
        <f t="shared" si="155"/>
        <v>0</v>
      </c>
      <c r="AO403" s="308">
        <v>10</v>
      </c>
      <c r="AP403" s="309">
        <v>99719</v>
      </c>
      <c r="AQ403" s="310">
        <f t="shared" si="156"/>
        <v>815900.85800000001</v>
      </c>
      <c r="AR403" s="311">
        <v>10</v>
      </c>
      <c r="AS403" s="312">
        <v>101584</v>
      </c>
      <c r="AT403" s="313">
        <f t="shared" si="157"/>
        <v>831160.28800000006</v>
      </c>
      <c r="AU403" s="308">
        <v>8</v>
      </c>
      <c r="AV403" s="309">
        <v>76656</v>
      </c>
      <c r="AW403" s="310">
        <f t="shared" si="158"/>
        <v>501759.51360000001</v>
      </c>
      <c r="AX403" s="311">
        <v>8</v>
      </c>
      <c r="AY403" s="312">
        <v>76287</v>
      </c>
      <c r="AZ403" s="313">
        <f t="shared" si="159"/>
        <v>499344.18720000004</v>
      </c>
      <c r="BA403" s="308">
        <v>8</v>
      </c>
      <c r="BB403" s="309">
        <v>69494</v>
      </c>
      <c r="BC403" s="310">
        <f t="shared" si="160"/>
        <v>454879.9264</v>
      </c>
      <c r="BD403" s="311">
        <v>8</v>
      </c>
      <c r="BE403" s="312">
        <v>67118</v>
      </c>
      <c r="BF403" s="313">
        <f t="shared" si="161"/>
        <v>439327.5808</v>
      </c>
      <c r="BG403" s="308">
        <v>13</v>
      </c>
      <c r="BH403" s="309">
        <v>48368</v>
      </c>
      <c r="BI403" s="310">
        <f t="shared" si="162"/>
        <v>514471.06880000001</v>
      </c>
      <c r="BJ403" s="311">
        <v>10</v>
      </c>
      <c r="BK403" s="312">
        <v>49562</v>
      </c>
      <c r="BL403" s="313">
        <f t="shared" si="163"/>
        <v>405516.28400000004</v>
      </c>
      <c r="BM403" s="308"/>
      <c r="BN403" s="309"/>
      <c r="BO403" s="310">
        <f t="shared" si="164"/>
        <v>0</v>
      </c>
      <c r="BP403" s="311"/>
      <c r="BQ403" s="312"/>
      <c r="BR403" s="313">
        <f t="shared" si="165"/>
        <v>0</v>
      </c>
      <c r="BS403" s="308"/>
      <c r="BT403" s="309"/>
      <c r="BU403" s="310">
        <f t="shared" si="166"/>
        <v>0</v>
      </c>
      <c r="BV403" s="311"/>
      <c r="BW403" s="312"/>
      <c r="BX403" s="313">
        <f t="shared" si="167"/>
        <v>0</v>
      </c>
    </row>
    <row r="404" spans="1:76">
      <c r="A404" s="324" t="s">
        <v>410</v>
      </c>
      <c r="B404" s="323" t="s">
        <v>892</v>
      </c>
      <c r="C404" s="324">
        <v>206941</v>
      </c>
      <c r="D404" s="320">
        <v>3</v>
      </c>
      <c r="E404" s="308">
        <v>155</v>
      </c>
      <c r="F404" s="309">
        <v>77583</v>
      </c>
      <c r="G404" s="310">
        <f t="shared" si="144"/>
        <v>12025365</v>
      </c>
      <c r="H404" s="311">
        <v>163</v>
      </c>
      <c r="I404" s="312">
        <v>77641</v>
      </c>
      <c r="J404" s="313">
        <f t="shared" si="145"/>
        <v>12655483</v>
      </c>
      <c r="K404" s="308">
        <v>47</v>
      </c>
      <c r="L404" s="309">
        <v>66548</v>
      </c>
      <c r="M404" s="310">
        <f t="shared" si="146"/>
        <v>3127756</v>
      </c>
      <c r="N404" s="311">
        <v>45</v>
      </c>
      <c r="O404" s="312">
        <v>66251</v>
      </c>
      <c r="P404" s="313">
        <f t="shared" si="147"/>
        <v>2981295</v>
      </c>
      <c r="Q404" s="308">
        <v>117</v>
      </c>
      <c r="R404" s="309">
        <v>58346</v>
      </c>
      <c r="S404" s="310">
        <f t="shared" si="148"/>
        <v>6826482</v>
      </c>
      <c r="T404" s="311">
        <v>128</v>
      </c>
      <c r="U404" s="312">
        <v>58367</v>
      </c>
      <c r="V404" s="313">
        <f t="shared" si="149"/>
        <v>7470976</v>
      </c>
      <c r="W404" s="308">
        <v>110</v>
      </c>
      <c r="X404" s="309">
        <v>39692</v>
      </c>
      <c r="Y404" s="310">
        <f t="shared" si="150"/>
        <v>4366120</v>
      </c>
      <c r="Z404" s="311">
        <v>100</v>
      </c>
      <c r="AA404" s="312">
        <v>40143</v>
      </c>
      <c r="AB404" s="313">
        <f t="shared" si="151"/>
        <v>4014300</v>
      </c>
      <c r="AC404" s="308"/>
      <c r="AD404" s="309"/>
      <c r="AE404" s="310">
        <f t="shared" si="152"/>
        <v>0</v>
      </c>
      <c r="AF404" s="311"/>
      <c r="AG404" s="312"/>
      <c r="AH404" s="313">
        <f t="shared" si="153"/>
        <v>0</v>
      </c>
      <c r="AI404" s="308"/>
      <c r="AJ404" s="309"/>
      <c r="AK404" s="310">
        <f t="shared" si="154"/>
        <v>0</v>
      </c>
      <c r="AL404" s="311"/>
      <c r="AM404" s="312"/>
      <c r="AN404" s="313">
        <f t="shared" si="155"/>
        <v>0</v>
      </c>
      <c r="AO404" s="308"/>
      <c r="AP404" s="309"/>
      <c r="AQ404" s="310">
        <f t="shared" si="156"/>
        <v>0</v>
      </c>
      <c r="AR404" s="311"/>
      <c r="AS404" s="312"/>
      <c r="AT404" s="313">
        <f t="shared" si="157"/>
        <v>0</v>
      </c>
      <c r="AU404" s="308"/>
      <c r="AV404" s="309"/>
      <c r="AW404" s="310">
        <f t="shared" si="158"/>
        <v>0</v>
      </c>
      <c r="AX404" s="311"/>
      <c r="AY404" s="312"/>
      <c r="AZ404" s="313">
        <f t="shared" si="159"/>
        <v>0</v>
      </c>
      <c r="BA404" s="308"/>
      <c r="BB404" s="309"/>
      <c r="BC404" s="310">
        <f t="shared" si="160"/>
        <v>0</v>
      </c>
      <c r="BD404" s="311"/>
      <c r="BE404" s="312"/>
      <c r="BF404" s="313">
        <f t="shared" si="161"/>
        <v>0</v>
      </c>
      <c r="BG404" s="308"/>
      <c r="BH404" s="309"/>
      <c r="BI404" s="310">
        <f t="shared" si="162"/>
        <v>0</v>
      </c>
      <c r="BJ404" s="311"/>
      <c r="BK404" s="312"/>
      <c r="BL404" s="313">
        <f t="shared" si="163"/>
        <v>0</v>
      </c>
      <c r="BM404" s="308"/>
      <c r="BN404" s="309"/>
      <c r="BO404" s="310">
        <f t="shared" si="164"/>
        <v>0</v>
      </c>
      <c r="BP404" s="311"/>
      <c r="BQ404" s="312"/>
      <c r="BR404" s="313">
        <f t="shared" si="165"/>
        <v>0</v>
      </c>
      <c r="BS404" s="308"/>
      <c r="BT404" s="309"/>
      <c r="BU404" s="310">
        <f t="shared" si="166"/>
        <v>0</v>
      </c>
      <c r="BV404" s="311"/>
      <c r="BW404" s="312"/>
      <c r="BX404" s="313">
        <f t="shared" si="167"/>
        <v>0</v>
      </c>
    </row>
    <row r="405" spans="1:76">
      <c r="A405" s="324" t="s">
        <v>410</v>
      </c>
      <c r="B405" s="323" t="s">
        <v>893</v>
      </c>
      <c r="C405" s="324">
        <v>206914</v>
      </c>
      <c r="D405" s="320">
        <v>5</v>
      </c>
      <c r="E405" s="308">
        <v>36</v>
      </c>
      <c r="F405" s="309">
        <v>63117</v>
      </c>
      <c r="G405" s="310">
        <f t="shared" si="144"/>
        <v>2272212</v>
      </c>
      <c r="H405" s="311">
        <v>36</v>
      </c>
      <c r="I405" s="312">
        <v>76606</v>
      </c>
      <c r="J405" s="313">
        <f t="shared" si="145"/>
        <v>2757816</v>
      </c>
      <c r="K405" s="308">
        <v>37</v>
      </c>
      <c r="L405" s="309">
        <v>58022</v>
      </c>
      <c r="M405" s="310">
        <f t="shared" si="146"/>
        <v>2146814</v>
      </c>
      <c r="N405" s="311">
        <v>39</v>
      </c>
      <c r="O405" s="312">
        <v>57742</v>
      </c>
      <c r="P405" s="313">
        <f t="shared" si="147"/>
        <v>2251938</v>
      </c>
      <c r="Q405" s="308">
        <v>63</v>
      </c>
      <c r="R405" s="309">
        <v>48168</v>
      </c>
      <c r="S405" s="310">
        <f t="shared" si="148"/>
        <v>3034584</v>
      </c>
      <c r="T405" s="311">
        <v>60</v>
      </c>
      <c r="U405" s="312">
        <v>47849</v>
      </c>
      <c r="V405" s="313">
        <f t="shared" si="149"/>
        <v>2870940</v>
      </c>
      <c r="W405" s="308">
        <v>34</v>
      </c>
      <c r="X405" s="309">
        <v>35559</v>
      </c>
      <c r="Y405" s="310">
        <f t="shared" si="150"/>
        <v>1209006</v>
      </c>
      <c r="Z405" s="311">
        <v>35</v>
      </c>
      <c r="AA405" s="312">
        <v>35808</v>
      </c>
      <c r="AB405" s="313">
        <f t="shared" si="151"/>
        <v>1253280</v>
      </c>
      <c r="AC405" s="308"/>
      <c r="AD405" s="309"/>
      <c r="AE405" s="310">
        <f t="shared" si="152"/>
        <v>0</v>
      </c>
      <c r="AF405" s="311"/>
      <c r="AG405" s="312"/>
      <c r="AH405" s="313">
        <f t="shared" si="153"/>
        <v>0</v>
      </c>
      <c r="AI405" s="308"/>
      <c r="AJ405" s="309"/>
      <c r="AK405" s="310">
        <f t="shared" si="154"/>
        <v>0</v>
      </c>
      <c r="AL405" s="311"/>
      <c r="AM405" s="312"/>
      <c r="AN405" s="313">
        <f t="shared" si="155"/>
        <v>0</v>
      </c>
      <c r="AO405" s="308"/>
      <c r="AP405" s="309"/>
      <c r="AQ405" s="310">
        <f t="shared" si="156"/>
        <v>0</v>
      </c>
      <c r="AR405" s="311"/>
      <c r="AS405" s="312"/>
      <c r="AT405" s="313">
        <f t="shared" si="157"/>
        <v>0</v>
      </c>
      <c r="AU405" s="308"/>
      <c r="AV405" s="309"/>
      <c r="AW405" s="310">
        <f t="shared" si="158"/>
        <v>0</v>
      </c>
      <c r="AX405" s="311"/>
      <c r="AY405" s="312"/>
      <c r="AZ405" s="313">
        <f t="shared" si="159"/>
        <v>0</v>
      </c>
      <c r="BA405" s="308"/>
      <c r="BB405" s="309"/>
      <c r="BC405" s="310">
        <f t="shared" si="160"/>
        <v>0</v>
      </c>
      <c r="BD405" s="311"/>
      <c r="BE405" s="312"/>
      <c r="BF405" s="313">
        <f t="shared" si="161"/>
        <v>0</v>
      </c>
      <c r="BG405" s="308"/>
      <c r="BH405" s="309"/>
      <c r="BI405" s="310">
        <f t="shared" si="162"/>
        <v>0</v>
      </c>
      <c r="BJ405" s="311"/>
      <c r="BK405" s="312"/>
      <c r="BL405" s="313">
        <f t="shared" si="163"/>
        <v>0</v>
      </c>
      <c r="BM405" s="308"/>
      <c r="BN405" s="309"/>
      <c r="BO405" s="310">
        <f t="shared" si="164"/>
        <v>0</v>
      </c>
      <c r="BP405" s="311"/>
      <c r="BQ405" s="312"/>
      <c r="BR405" s="313">
        <f t="shared" si="165"/>
        <v>0</v>
      </c>
      <c r="BS405" s="308"/>
      <c r="BT405" s="309"/>
      <c r="BU405" s="310">
        <f t="shared" si="166"/>
        <v>0</v>
      </c>
      <c r="BV405" s="311"/>
      <c r="BW405" s="312"/>
      <c r="BX405" s="313">
        <f t="shared" si="167"/>
        <v>0</v>
      </c>
    </row>
    <row r="406" spans="1:76">
      <c r="A406" s="324" t="s">
        <v>410</v>
      </c>
      <c r="B406" s="323" t="s">
        <v>894</v>
      </c>
      <c r="C406" s="324">
        <v>207041</v>
      </c>
      <c r="D406" s="320">
        <v>5</v>
      </c>
      <c r="E406" s="308">
        <v>52</v>
      </c>
      <c r="F406" s="309">
        <v>68534</v>
      </c>
      <c r="G406" s="310">
        <f t="shared" si="144"/>
        <v>3563768</v>
      </c>
      <c r="H406" s="311">
        <v>55</v>
      </c>
      <c r="I406" s="312">
        <v>68426</v>
      </c>
      <c r="J406" s="313">
        <f t="shared" si="145"/>
        <v>3763430</v>
      </c>
      <c r="K406" s="308">
        <v>18</v>
      </c>
      <c r="L406" s="309">
        <v>54325</v>
      </c>
      <c r="M406" s="310">
        <f t="shared" si="146"/>
        <v>977850</v>
      </c>
      <c r="N406" s="311">
        <v>24</v>
      </c>
      <c r="O406" s="312">
        <v>54265</v>
      </c>
      <c r="P406" s="313">
        <f t="shared" si="147"/>
        <v>1302360</v>
      </c>
      <c r="Q406" s="308">
        <v>42</v>
      </c>
      <c r="R406" s="309">
        <v>48499</v>
      </c>
      <c r="S406" s="310">
        <f t="shared" si="148"/>
        <v>2036958</v>
      </c>
      <c r="T406" s="311">
        <v>45</v>
      </c>
      <c r="U406" s="312">
        <v>47407</v>
      </c>
      <c r="V406" s="313">
        <f t="shared" si="149"/>
        <v>2133315</v>
      </c>
      <c r="W406" s="308">
        <v>35</v>
      </c>
      <c r="X406" s="309">
        <v>42996</v>
      </c>
      <c r="Y406" s="310">
        <f t="shared" si="150"/>
        <v>1504860</v>
      </c>
      <c r="Z406" s="311">
        <v>37</v>
      </c>
      <c r="AA406" s="312">
        <v>42676</v>
      </c>
      <c r="AB406" s="313">
        <f t="shared" si="151"/>
        <v>1579012</v>
      </c>
      <c r="AC406" s="308"/>
      <c r="AD406" s="309"/>
      <c r="AE406" s="310">
        <f t="shared" si="152"/>
        <v>0</v>
      </c>
      <c r="AF406" s="311"/>
      <c r="AG406" s="312"/>
      <c r="AH406" s="313">
        <f t="shared" si="153"/>
        <v>0</v>
      </c>
      <c r="AI406" s="308"/>
      <c r="AJ406" s="309"/>
      <c r="AK406" s="310">
        <f t="shared" si="154"/>
        <v>0</v>
      </c>
      <c r="AL406" s="311"/>
      <c r="AM406" s="312"/>
      <c r="AN406" s="313">
        <f t="shared" si="155"/>
        <v>0</v>
      </c>
      <c r="AO406" s="308">
        <v>2</v>
      </c>
      <c r="AP406" s="309">
        <v>86378</v>
      </c>
      <c r="AQ406" s="310">
        <f t="shared" si="156"/>
        <v>141348.95920000001</v>
      </c>
      <c r="AR406" s="311"/>
      <c r="AS406" s="312"/>
      <c r="AT406" s="313">
        <f t="shared" si="157"/>
        <v>0</v>
      </c>
      <c r="AU406" s="308">
        <v>1</v>
      </c>
      <c r="AV406" s="309">
        <v>72500</v>
      </c>
      <c r="AW406" s="310">
        <f t="shared" si="158"/>
        <v>59319.5</v>
      </c>
      <c r="AX406" s="311">
        <v>2</v>
      </c>
      <c r="AY406" s="312">
        <v>86447</v>
      </c>
      <c r="AZ406" s="313">
        <f t="shared" si="159"/>
        <v>141461.8708</v>
      </c>
      <c r="BA406" s="308">
        <v>25</v>
      </c>
      <c r="BB406" s="309">
        <v>59558</v>
      </c>
      <c r="BC406" s="310">
        <f t="shared" si="160"/>
        <v>1218258.8900000001</v>
      </c>
      <c r="BD406" s="311">
        <v>1</v>
      </c>
      <c r="BE406" s="312">
        <v>72638</v>
      </c>
      <c r="BF406" s="313">
        <f t="shared" si="161"/>
        <v>59432.411599999999</v>
      </c>
      <c r="BG406" s="308">
        <v>1</v>
      </c>
      <c r="BH406" s="309">
        <v>47141</v>
      </c>
      <c r="BI406" s="310">
        <f t="shared" si="162"/>
        <v>38570.766199999998</v>
      </c>
      <c r="BJ406" s="311">
        <v>3</v>
      </c>
      <c r="BK406" s="312">
        <v>45007</v>
      </c>
      <c r="BL406" s="313">
        <f t="shared" si="163"/>
        <v>110474.18220000001</v>
      </c>
      <c r="BM406" s="308"/>
      <c r="BN406" s="309"/>
      <c r="BO406" s="310">
        <f t="shared" si="164"/>
        <v>0</v>
      </c>
      <c r="BP406" s="311"/>
      <c r="BQ406" s="312"/>
      <c r="BR406" s="313">
        <f t="shared" si="165"/>
        <v>0</v>
      </c>
      <c r="BS406" s="308"/>
      <c r="BT406" s="309"/>
      <c r="BU406" s="310">
        <f t="shared" si="166"/>
        <v>0</v>
      </c>
      <c r="BV406" s="311"/>
      <c r="BW406" s="312"/>
      <c r="BX406" s="313">
        <f t="shared" si="167"/>
        <v>0</v>
      </c>
    </row>
    <row r="407" spans="1:76">
      <c r="A407" s="324" t="s">
        <v>410</v>
      </c>
      <c r="B407" s="361" t="s">
        <v>895</v>
      </c>
      <c r="C407" s="324">
        <v>207209</v>
      </c>
      <c r="D407" s="320">
        <v>5</v>
      </c>
      <c r="E407" s="308">
        <v>8</v>
      </c>
      <c r="F407" s="309">
        <v>54818</v>
      </c>
      <c r="G407" s="310">
        <f t="shared" si="144"/>
        <v>438544</v>
      </c>
      <c r="H407" s="311">
        <v>9</v>
      </c>
      <c r="I407" s="312">
        <v>54976</v>
      </c>
      <c r="J407" s="313">
        <f t="shared" si="145"/>
        <v>494784</v>
      </c>
      <c r="K407" s="308">
        <v>18</v>
      </c>
      <c r="L407" s="309">
        <v>54325</v>
      </c>
      <c r="M407" s="310">
        <f t="shared" si="146"/>
        <v>977850</v>
      </c>
      <c r="N407" s="311">
        <v>17</v>
      </c>
      <c r="O407" s="312">
        <v>54319</v>
      </c>
      <c r="P407" s="313">
        <f t="shared" si="147"/>
        <v>923423</v>
      </c>
      <c r="Q407" s="308">
        <v>35</v>
      </c>
      <c r="R407" s="309">
        <v>47236</v>
      </c>
      <c r="S407" s="310">
        <f t="shared" si="148"/>
        <v>1653260</v>
      </c>
      <c r="T407" s="311">
        <v>36</v>
      </c>
      <c r="U407" s="312">
        <v>47168</v>
      </c>
      <c r="V407" s="313">
        <f t="shared" si="149"/>
        <v>1698048</v>
      </c>
      <c r="W407" s="308">
        <v>23</v>
      </c>
      <c r="X407" s="309">
        <v>40874</v>
      </c>
      <c r="Y407" s="310">
        <f t="shared" si="150"/>
        <v>940102</v>
      </c>
      <c r="Z407" s="311"/>
      <c r="AA407" s="312"/>
      <c r="AB407" s="313">
        <f t="shared" si="151"/>
        <v>0</v>
      </c>
      <c r="AC407" s="308"/>
      <c r="AD407" s="309"/>
      <c r="AE407" s="310">
        <f t="shared" si="152"/>
        <v>0</v>
      </c>
      <c r="AF407" s="311"/>
      <c r="AG407" s="312"/>
      <c r="AH407" s="313">
        <f t="shared" si="153"/>
        <v>0</v>
      </c>
      <c r="AI407" s="308"/>
      <c r="AJ407" s="309"/>
      <c r="AK407" s="310">
        <f t="shared" si="154"/>
        <v>0</v>
      </c>
      <c r="AL407" s="311"/>
      <c r="AM407" s="312"/>
      <c r="AN407" s="313">
        <f t="shared" si="155"/>
        <v>0</v>
      </c>
      <c r="AO407" s="308">
        <v>2</v>
      </c>
      <c r="AP407" s="309">
        <v>63990</v>
      </c>
      <c r="AQ407" s="310">
        <f t="shared" si="156"/>
        <v>104713.236</v>
      </c>
      <c r="AR407" s="311">
        <v>2</v>
      </c>
      <c r="AS407" s="312">
        <v>92747</v>
      </c>
      <c r="AT407" s="313">
        <f t="shared" si="157"/>
        <v>151771.19080000001</v>
      </c>
      <c r="AU407" s="308">
        <v>12</v>
      </c>
      <c r="AV407" s="309">
        <v>71292</v>
      </c>
      <c r="AW407" s="310">
        <f t="shared" si="158"/>
        <v>699973.37280000001</v>
      </c>
      <c r="AX407" s="311">
        <v>11</v>
      </c>
      <c r="AY407" s="312">
        <v>69161</v>
      </c>
      <c r="AZ407" s="313">
        <f t="shared" si="159"/>
        <v>622462.83220000006</v>
      </c>
      <c r="BA407" s="308"/>
      <c r="BB407" s="309"/>
      <c r="BC407" s="310">
        <f t="shared" si="160"/>
        <v>0</v>
      </c>
      <c r="BD407" s="311">
        <v>23</v>
      </c>
      <c r="BE407" s="312">
        <v>60107</v>
      </c>
      <c r="BF407" s="313">
        <f t="shared" si="161"/>
        <v>1131129.5902</v>
      </c>
      <c r="BG407" s="308">
        <v>16</v>
      </c>
      <c r="BH407" s="309">
        <v>44284</v>
      </c>
      <c r="BI407" s="310">
        <f t="shared" si="162"/>
        <v>579730.70079999999</v>
      </c>
      <c r="BJ407" s="311">
        <v>16</v>
      </c>
      <c r="BK407" s="312">
        <v>43986</v>
      </c>
      <c r="BL407" s="313">
        <f t="shared" si="163"/>
        <v>575829.52320000005</v>
      </c>
      <c r="BM407" s="308"/>
      <c r="BN407" s="309"/>
      <c r="BO407" s="310">
        <f t="shared" si="164"/>
        <v>0</v>
      </c>
      <c r="BP407" s="311"/>
      <c r="BQ407" s="312"/>
      <c r="BR407" s="313">
        <f t="shared" si="165"/>
        <v>0</v>
      </c>
      <c r="BS407" s="308"/>
      <c r="BT407" s="309"/>
      <c r="BU407" s="310">
        <f t="shared" si="166"/>
        <v>0</v>
      </c>
      <c r="BV407" s="311"/>
      <c r="BW407" s="312"/>
      <c r="BX407" s="313">
        <f t="shared" si="167"/>
        <v>0</v>
      </c>
    </row>
    <row r="408" spans="1:76">
      <c r="A408" s="324" t="s">
        <v>410</v>
      </c>
      <c r="B408" s="323" t="s">
        <v>896</v>
      </c>
      <c r="C408" s="324">
        <v>207306</v>
      </c>
      <c r="D408" s="320">
        <v>5</v>
      </c>
      <c r="E408" s="308">
        <v>18</v>
      </c>
      <c r="F408" s="309">
        <v>63317</v>
      </c>
      <c r="G408" s="310">
        <f t="shared" si="144"/>
        <v>1139706</v>
      </c>
      <c r="H408" s="311">
        <v>16</v>
      </c>
      <c r="I408" s="312">
        <v>64058</v>
      </c>
      <c r="J408" s="313">
        <f t="shared" si="145"/>
        <v>1024928</v>
      </c>
      <c r="K408" s="308">
        <v>12</v>
      </c>
      <c r="L408" s="309">
        <v>52123</v>
      </c>
      <c r="M408" s="310">
        <f t="shared" si="146"/>
        <v>625476</v>
      </c>
      <c r="N408" s="311">
        <v>12</v>
      </c>
      <c r="O408" s="312">
        <v>53461</v>
      </c>
      <c r="P408" s="313">
        <f t="shared" si="147"/>
        <v>641532</v>
      </c>
      <c r="Q408" s="308">
        <v>16</v>
      </c>
      <c r="R408" s="309">
        <v>47766</v>
      </c>
      <c r="S408" s="310">
        <f t="shared" si="148"/>
        <v>764256</v>
      </c>
      <c r="T408" s="311">
        <v>16</v>
      </c>
      <c r="U408" s="312">
        <v>45775</v>
      </c>
      <c r="V408" s="313">
        <f t="shared" si="149"/>
        <v>732400</v>
      </c>
      <c r="W408" s="308">
        <v>33</v>
      </c>
      <c r="X408" s="309">
        <v>37516</v>
      </c>
      <c r="Y408" s="310">
        <f t="shared" si="150"/>
        <v>1238028</v>
      </c>
      <c r="Z408" s="311">
        <v>35</v>
      </c>
      <c r="AA408" s="312">
        <v>38525</v>
      </c>
      <c r="AB408" s="313">
        <f t="shared" si="151"/>
        <v>1348375</v>
      </c>
      <c r="AC408" s="308"/>
      <c r="AD408" s="309"/>
      <c r="AE408" s="310">
        <f t="shared" si="152"/>
        <v>0</v>
      </c>
      <c r="AF408" s="311"/>
      <c r="AG408" s="312"/>
      <c r="AH408" s="313">
        <f t="shared" si="153"/>
        <v>0</v>
      </c>
      <c r="AI408" s="308"/>
      <c r="AJ408" s="309"/>
      <c r="AK408" s="310">
        <f t="shared" si="154"/>
        <v>0</v>
      </c>
      <c r="AL408" s="311"/>
      <c r="AM408" s="312"/>
      <c r="AN408" s="313">
        <f t="shared" si="155"/>
        <v>0</v>
      </c>
      <c r="AO408" s="308"/>
      <c r="AP408" s="309"/>
      <c r="AQ408" s="310">
        <f t="shared" si="156"/>
        <v>0</v>
      </c>
      <c r="AR408" s="311">
        <v>1</v>
      </c>
      <c r="AS408" s="312">
        <v>75000</v>
      </c>
      <c r="AT408" s="313">
        <f t="shared" si="157"/>
        <v>61365</v>
      </c>
      <c r="AU408" s="308">
        <v>2</v>
      </c>
      <c r="AV408" s="309">
        <v>82929</v>
      </c>
      <c r="AW408" s="310">
        <f t="shared" si="158"/>
        <v>135705.01560000001</v>
      </c>
      <c r="AX408" s="311">
        <v>2</v>
      </c>
      <c r="AY408" s="312">
        <v>84975</v>
      </c>
      <c r="AZ408" s="313">
        <f t="shared" si="159"/>
        <v>139053.09</v>
      </c>
      <c r="BA408" s="308"/>
      <c r="BB408" s="309"/>
      <c r="BC408" s="310">
        <f t="shared" si="160"/>
        <v>0</v>
      </c>
      <c r="BD408" s="311">
        <v>1</v>
      </c>
      <c r="BE408" s="312">
        <v>92700</v>
      </c>
      <c r="BF408" s="313">
        <f t="shared" si="161"/>
        <v>75847.14</v>
      </c>
      <c r="BG408" s="308">
        <v>4</v>
      </c>
      <c r="BH408" s="309">
        <v>50012</v>
      </c>
      <c r="BI408" s="310">
        <f t="shared" si="162"/>
        <v>163679.27360000001</v>
      </c>
      <c r="BJ408" s="311">
        <v>3</v>
      </c>
      <c r="BK408" s="312">
        <v>59205</v>
      </c>
      <c r="BL408" s="313">
        <f t="shared" si="163"/>
        <v>145324.59299999999</v>
      </c>
      <c r="BM408" s="308"/>
      <c r="BN408" s="309"/>
      <c r="BO408" s="310">
        <f t="shared" si="164"/>
        <v>0</v>
      </c>
      <c r="BP408" s="311"/>
      <c r="BQ408" s="312"/>
      <c r="BR408" s="313">
        <f t="shared" si="165"/>
        <v>0</v>
      </c>
      <c r="BS408" s="308"/>
      <c r="BT408" s="309"/>
      <c r="BU408" s="310">
        <f t="shared" si="166"/>
        <v>0</v>
      </c>
      <c r="BV408" s="311"/>
      <c r="BW408" s="312"/>
      <c r="BX408" s="313">
        <f t="shared" si="167"/>
        <v>0</v>
      </c>
    </row>
    <row r="409" spans="1:76">
      <c r="A409" s="324" t="s">
        <v>410</v>
      </c>
      <c r="B409" s="323" t="s">
        <v>897</v>
      </c>
      <c r="C409" s="324">
        <v>207847</v>
      </c>
      <c r="D409" s="320">
        <v>5</v>
      </c>
      <c r="E409" s="308">
        <v>35</v>
      </c>
      <c r="F409" s="309">
        <v>66320</v>
      </c>
      <c r="G409" s="310">
        <f t="shared" si="144"/>
        <v>2321200</v>
      </c>
      <c r="H409" s="311">
        <v>43</v>
      </c>
      <c r="I409" s="312">
        <v>69383</v>
      </c>
      <c r="J409" s="313">
        <f t="shared" si="145"/>
        <v>2983469</v>
      </c>
      <c r="K409" s="308">
        <v>37</v>
      </c>
      <c r="L409" s="309">
        <v>59986</v>
      </c>
      <c r="M409" s="310">
        <f t="shared" si="146"/>
        <v>2219482</v>
      </c>
      <c r="N409" s="311">
        <v>26</v>
      </c>
      <c r="O409" s="312">
        <v>61255</v>
      </c>
      <c r="P409" s="313">
        <f t="shared" si="147"/>
        <v>1592630</v>
      </c>
      <c r="Q409" s="308">
        <v>36</v>
      </c>
      <c r="R409" s="309">
        <v>50877</v>
      </c>
      <c r="S409" s="310">
        <f t="shared" si="148"/>
        <v>1831572</v>
      </c>
      <c r="T409" s="311">
        <v>38</v>
      </c>
      <c r="U409" s="312">
        <v>50944</v>
      </c>
      <c r="V409" s="313">
        <f t="shared" si="149"/>
        <v>1935872</v>
      </c>
      <c r="W409" s="308">
        <v>21</v>
      </c>
      <c r="X409" s="309">
        <v>36478</v>
      </c>
      <c r="Y409" s="310">
        <f t="shared" si="150"/>
        <v>766038</v>
      </c>
      <c r="Z409" s="311">
        <v>21</v>
      </c>
      <c r="AA409" s="312">
        <v>39042</v>
      </c>
      <c r="AB409" s="313">
        <f t="shared" si="151"/>
        <v>819882</v>
      </c>
      <c r="AC409" s="308"/>
      <c r="AD409" s="309"/>
      <c r="AE409" s="310">
        <f t="shared" si="152"/>
        <v>0</v>
      </c>
      <c r="AF409" s="311"/>
      <c r="AG409" s="312"/>
      <c r="AH409" s="313">
        <f t="shared" si="153"/>
        <v>0</v>
      </c>
      <c r="AI409" s="308"/>
      <c r="AJ409" s="309"/>
      <c r="AK409" s="310">
        <f t="shared" si="154"/>
        <v>0</v>
      </c>
      <c r="AL409" s="311"/>
      <c r="AM409" s="312"/>
      <c r="AN409" s="313">
        <f t="shared" si="155"/>
        <v>0</v>
      </c>
      <c r="AO409" s="308">
        <v>5</v>
      </c>
      <c r="AP409" s="309">
        <v>112383</v>
      </c>
      <c r="AQ409" s="310">
        <f t="shared" si="156"/>
        <v>459758.853</v>
      </c>
      <c r="AR409" s="311">
        <v>6</v>
      </c>
      <c r="AS409" s="312">
        <v>117140</v>
      </c>
      <c r="AT409" s="313">
        <f t="shared" si="157"/>
        <v>575063.68800000008</v>
      </c>
      <c r="AU409" s="308">
        <v>1</v>
      </c>
      <c r="AV409" s="309">
        <v>67140</v>
      </c>
      <c r="AW409" s="310">
        <f t="shared" si="158"/>
        <v>54933.948000000004</v>
      </c>
      <c r="AX409" s="311"/>
      <c r="AY409" s="312"/>
      <c r="AZ409" s="313">
        <f t="shared" si="159"/>
        <v>0</v>
      </c>
      <c r="BA409" s="308">
        <v>7</v>
      </c>
      <c r="BB409" s="309">
        <v>54795</v>
      </c>
      <c r="BC409" s="310">
        <f t="shared" si="160"/>
        <v>313832.88300000003</v>
      </c>
      <c r="BD409" s="311">
        <v>1</v>
      </c>
      <c r="BE409" s="312">
        <v>70482</v>
      </c>
      <c r="BF409" s="313">
        <f t="shared" si="161"/>
        <v>57668.3724</v>
      </c>
      <c r="BG409" s="308">
        <v>1</v>
      </c>
      <c r="BH409" s="309">
        <v>50088</v>
      </c>
      <c r="BI409" s="310">
        <f t="shared" si="162"/>
        <v>40982.001600000003</v>
      </c>
      <c r="BJ409" s="311">
        <v>5</v>
      </c>
      <c r="BK409" s="312">
        <v>58125</v>
      </c>
      <c r="BL409" s="313">
        <f t="shared" si="163"/>
        <v>237789.375</v>
      </c>
      <c r="BM409" s="308"/>
      <c r="BN409" s="309"/>
      <c r="BO409" s="310">
        <f t="shared" si="164"/>
        <v>0</v>
      </c>
      <c r="BP409" s="311"/>
      <c r="BQ409" s="312"/>
      <c r="BR409" s="313">
        <f t="shared" si="165"/>
        <v>0</v>
      </c>
      <c r="BS409" s="308"/>
      <c r="BT409" s="309"/>
      <c r="BU409" s="310">
        <f t="shared" si="166"/>
        <v>0</v>
      </c>
      <c r="BV409" s="311"/>
      <c r="BW409" s="312"/>
      <c r="BX409" s="313">
        <f t="shared" si="167"/>
        <v>0</v>
      </c>
    </row>
    <row r="410" spans="1:76">
      <c r="A410" s="324" t="s">
        <v>410</v>
      </c>
      <c r="B410" s="323" t="s">
        <v>898</v>
      </c>
      <c r="C410" s="324">
        <v>207865</v>
      </c>
      <c r="D410" s="320">
        <v>5</v>
      </c>
      <c r="E410" s="308">
        <v>37</v>
      </c>
      <c r="F410" s="309">
        <v>74049</v>
      </c>
      <c r="G410" s="310">
        <f t="shared" si="144"/>
        <v>2739813</v>
      </c>
      <c r="H410" s="311">
        <v>36</v>
      </c>
      <c r="I410" s="312">
        <v>76606</v>
      </c>
      <c r="J410" s="313">
        <f t="shared" si="145"/>
        <v>2757816</v>
      </c>
      <c r="K410" s="308">
        <v>24</v>
      </c>
      <c r="L410" s="309">
        <v>60448</v>
      </c>
      <c r="M410" s="310">
        <f t="shared" si="146"/>
        <v>1450752</v>
      </c>
      <c r="N410" s="311">
        <v>26</v>
      </c>
      <c r="O410" s="312">
        <v>61213</v>
      </c>
      <c r="P410" s="313">
        <f t="shared" si="147"/>
        <v>1591538</v>
      </c>
      <c r="Q410" s="308">
        <v>65</v>
      </c>
      <c r="R410" s="309">
        <v>48286</v>
      </c>
      <c r="S410" s="310">
        <f t="shared" si="148"/>
        <v>3138590</v>
      </c>
      <c r="T410" s="311">
        <v>55</v>
      </c>
      <c r="U410" s="312">
        <v>49689</v>
      </c>
      <c r="V410" s="313">
        <f t="shared" si="149"/>
        <v>2732895</v>
      </c>
      <c r="W410" s="308">
        <v>82</v>
      </c>
      <c r="X410" s="309">
        <v>42164</v>
      </c>
      <c r="Y410" s="310">
        <f t="shared" si="150"/>
        <v>3457448</v>
      </c>
      <c r="Z410" s="311">
        <v>79</v>
      </c>
      <c r="AA410" s="312">
        <v>44448</v>
      </c>
      <c r="AB410" s="313">
        <f t="shared" si="151"/>
        <v>3511392</v>
      </c>
      <c r="AC410" s="308"/>
      <c r="AD410" s="309"/>
      <c r="AE410" s="310">
        <f t="shared" si="152"/>
        <v>0</v>
      </c>
      <c r="AF410" s="311"/>
      <c r="AG410" s="312"/>
      <c r="AH410" s="313">
        <f t="shared" si="153"/>
        <v>0</v>
      </c>
      <c r="AI410" s="308"/>
      <c r="AJ410" s="309"/>
      <c r="AK410" s="310">
        <f t="shared" si="154"/>
        <v>0</v>
      </c>
      <c r="AL410" s="311"/>
      <c r="AM410" s="312"/>
      <c r="AN410" s="313">
        <f t="shared" si="155"/>
        <v>0</v>
      </c>
      <c r="AO410" s="308">
        <v>3</v>
      </c>
      <c r="AP410" s="309">
        <v>115489</v>
      </c>
      <c r="AQ410" s="310">
        <f t="shared" si="156"/>
        <v>283479.29940000002</v>
      </c>
      <c r="AR410" s="311">
        <v>3</v>
      </c>
      <c r="AS410" s="312">
        <v>121100</v>
      </c>
      <c r="AT410" s="313">
        <f t="shared" si="157"/>
        <v>297252.06</v>
      </c>
      <c r="AU410" s="308">
        <v>7</v>
      </c>
      <c r="AV410" s="309">
        <v>95276</v>
      </c>
      <c r="AW410" s="310">
        <f t="shared" si="158"/>
        <v>545683.76240000001</v>
      </c>
      <c r="AX410" s="311">
        <v>8</v>
      </c>
      <c r="AY410" s="312">
        <v>98490</v>
      </c>
      <c r="AZ410" s="313">
        <f t="shared" si="159"/>
        <v>644676.14400000009</v>
      </c>
      <c r="BA410" s="308">
        <v>4</v>
      </c>
      <c r="BB410" s="309">
        <v>82333</v>
      </c>
      <c r="BC410" s="310">
        <f t="shared" si="160"/>
        <v>269459.4424</v>
      </c>
      <c r="BD410" s="311">
        <v>4</v>
      </c>
      <c r="BE410" s="312">
        <v>86988</v>
      </c>
      <c r="BF410" s="313">
        <f t="shared" si="161"/>
        <v>284694.32640000002</v>
      </c>
      <c r="BG410" s="308">
        <v>1</v>
      </c>
      <c r="BH410" s="309">
        <v>44302</v>
      </c>
      <c r="BI410" s="310">
        <f t="shared" si="162"/>
        <v>36247.896400000005</v>
      </c>
      <c r="BJ410" s="311">
        <v>1</v>
      </c>
      <c r="BK410" s="312">
        <v>46434</v>
      </c>
      <c r="BL410" s="313">
        <f t="shared" si="163"/>
        <v>37992.298800000004</v>
      </c>
      <c r="BM410" s="308"/>
      <c r="BN410" s="309"/>
      <c r="BO410" s="310">
        <f t="shared" si="164"/>
        <v>0</v>
      </c>
      <c r="BP410" s="311"/>
      <c r="BQ410" s="312"/>
      <c r="BR410" s="313">
        <f t="shared" si="165"/>
        <v>0</v>
      </c>
      <c r="BS410" s="308"/>
      <c r="BT410" s="309"/>
      <c r="BU410" s="310">
        <f t="shared" si="166"/>
        <v>0</v>
      </c>
      <c r="BV410" s="311"/>
      <c r="BW410" s="312"/>
      <c r="BX410" s="313">
        <f t="shared" si="167"/>
        <v>0</v>
      </c>
    </row>
    <row r="411" spans="1:76">
      <c r="A411" s="324" t="s">
        <v>410</v>
      </c>
      <c r="B411" s="323" t="s">
        <v>46</v>
      </c>
      <c r="C411" s="324">
        <v>207351</v>
      </c>
      <c r="D411" s="320">
        <v>6</v>
      </c>
      <c r="E411" s="308">
        <v>2</v>
      </c>
      <c r="F411" s="309">
        <v>45851</v>
      </c>
      <c r="G411" s="310">
        <f t="shared" si="144"/>
        <v>91702</v>
      </c>
      <c r="H411" s="311">
        <v>3</v>
      </c>
      <c r="I411" s="312">
        <v>48236</v>
      </c>
      <c r="J411" s="313">
        <f t="shared" si="145"/>
        <v>144708</v>
      </c>
      <c r="K411" s="308">
        <v>10</v>
      </c>
      <c r="L411" s="309">
        <v>47618</v>
      </c>
      <c r="M411" s="310">
        <f t="shared" si="146"/>
        <v>476180</v>
      </c>
      <c r="N411" s="311">
        <v>9</v>
      </c>
      <c r="O411" s="312">
        <v>50263</v>
      </c>
      <c r="P411" s="313">
        <f t="shared" si="147"/>
        <v>452367</v>
      </c>
      <c r="Q411" s="308">
        <v>14</v>
      </c>
      <c r="R411" s="309">
        <v>39194</v>
      </c>
      <c r="S411" s="310">
        <f t="shared" si="148"/>
        <v>548716</v>
      </c>
      <c r="T411" s="311">
        <v>14</v>
      </c>
      <c r="U411" s="312">
        <v>41881</v>
      </c>
      <c r="V411" s="313">
        <f t="shared" si="149"/>
        <v>586334</v>
      </c>
      <c r="W411" s="308">
        <v>23</v>
      </c>
      <c r="X411" s="309">
        <v>25222</v>
      </c>
      <c r="Y411" s="310">
        <f t="shared" si="150"/>
        <v>580106</v>
      </c>
      <c r="Z411" s="311">
        <v>16</v>
      </c>
      <c r="AA411" s="312">
        <v>27518</v>
      </c>
      <c r="AB411" s="313">
        <f t="shared" si="151"/>
        <v>440288</v>
      </c>
      <c r="AC411" s="308"/>
      <c r="AD411" s="309"/>
      <c r="AE411" s="310">
        <f t="shared" si="152"/>
        <v>0</v>
      </c>
      <c r="AF411" s="311"/>
      <c r="AG411" s="312"/>
      <c r="AH411" s="313">
        <f t="shared" si="153"/>
        <v>0</v>
      </c>
      <c r="AI411" s="308"/>
      <c r="AJ411" s="309"/>
      <c r="AK411" s="310">
        <f t="shared" si="154"/>
        <v>0</v>
      </c>
      <c r="AL411" s="311"/>
      <c r="AM411" s="312"/>
      <c r="AN411" s="313">
        <f t="shared" si="155"/>
        <v>0</v>
      </c>
      <c r="AO411" s="308"/>
      <c r="AP411" s="309"/>
      <c r="AQ411" s="310">
        <f t="shared" si="156"/>
        <v>0</v>
      </c>
      <c r="AR411" s="311"/>
      <c r="AS411" s="312"/>
      <c r="AT411" s="313">
        <f t="shared" si="157"/>
        <v>0</v>
      </c>
      <c r="AU411" s="308">
        <v>1</v>
      </c>
      <c r="AV411" s="309">
        <v>52600</v>
      </c>
      <c r="AW411" s="310">
        <f t="shared" si="158"/>
        <v>43037.32</v>
      </c>
      <c r="AX411" s="311"/>
      <c r="AY411" s="312"/>
      <c r="AZ411" s="313">
        <f t="shared" si="159"/>
        <v>0</v>
      </c>
      <c r="BA411" s="308">
        <v>2</v>
      </c>
      <c r="BB411" s="309">
        <v>42060</v>
      </c>
      <c r="BC411" s="310">
        <f t="shared" si="160"/>
        <v>68826.983999999997</v>
      </c>
      <c r="BD411" s="311">
        <v>2</v>
      </c>
      <c r="BE411" s="312">
        <v>56783</v>
      </c>
      <c r="BF411" s="313">
        <f t="shared" si="161"/>
        <v>92919.70120000001</v>
      </c>
      <c r="BG411" s="308">
        <v>4</v>
      </c>
      <c r="BH411" s="309">
        <v>27236</v>
      </c>
      <c r="BI411" s="310">
        <f t="shared" si="162"/>
        <v>89137.980800000005</v>
      </c>
      <c r="BJ411" s="311">
        <v>1</v>
      </c>
      <c r="BK411" s="312">
        <v>43510</v>
      </c>
      <c r="BL411" s="313">
        <f t="shared" si="163"/>
        <v>35599.882000000005</v>
      </c>
      <c r="BM411" s="308"/>
      <c r="BN411" s="309"/>
      <c r="BO411" s="310">
        <f t="shared" si="164"/>
        <v>0</v>
      </c>
      <c r="BP411" s="311"/>
      <c r="BQ411" s="312"/>
      <c r="BR411" s="313">
        <f t="shared" si="165"/>
        <v>0</v>
      </c>
      <c r="BS411" s="308"/>
      <c r="BT411" s="309"/>
      <c r="BU411" s="310">
        <f t="shared" si="166"/>
        <v>0</v>
      </c>
      <c r="BV411" s="311"/>
      <c r="BW411" s="312"/>
      <c r="BX411" s="313">
        <f t="shared" si="167"/>
        <v>0</v>
      </c>
    </row>
    <row r="412" spans="1:76">
      <c r="A412" s="324" t="s">
        <v>410</v>
      </c>
      <c r="B412" s="323" t="s">
        <v>48</v>
      </c>
      <c r="C412" s="324">
        <v>207661</v>
      </c>
      <c r="D412" s="320">
        <v>6</v>
      </c>
      <c r="E412" s="308">
        <v>9</v>
      </c>
      <c r="F412" s="309">
        <v>70284</v>
      </c>
      <c r="G412" s="310">
        <f t="shared" si="144"/>
        <v>632556</v>
      </c>
      <c r="H412" s="311">
        <v>6</v>
      </c>
      <c r="I412" s="312">
        <v>70588</v>
      </c>
      <c r="J412" s="313">
        <f t="shared" si="145"/>
        <v>423528</v>
      </c>
      <c r="K412" s="308"/>
      <c r="L412" s="309"/>
      <c r="M412" s="310">
        <f t="shared" si="146"/>
        <v>0</v>
      </c>
      <c r="N412" s="311">
        <v>20</v>
      </c>
      <c r="O412" s="312">
        <v>55355</v>
      </c>
      <c r="P412" s="313">
        <f t="shared" si="147"/>
        <v>1107100</v>
      </c>
      <c r="Q412" s="308">
        <v>34</v>
      </c>
      <c r="R412" s="309">
        <v>48692</v>
      </c>
      <c r="S412" s="310">
        <f t="shared" si="148"/>
        <v>1655528</v>
      </c>
      <c r="T412" s="311">
        <v>36</v>
      </c>
      <c r="U412" s="312">
        <v>47886</v>
      </c>
      <c r="V412" s="313">
        <f t="shared" si="149"/>
        <v>1723896</v>
      </c>
      <c r="W412" s="308">
        <v>24</v>
      </c>
      <c r="X412" s="309">
        <v>41740</v>
      </c>
      <c r="Y412" s="310">
        <f t="shared" si="150"/>
        <v>1001760</v>
      </c>
      <c r="Z412" s="311">
        <v>20</v>
      </c>
      <c r="AA412" s="312">
        <v>42894</v>
      </c>
      <c r="AB412" s="313">
        <f t="shared" si="151"/>
        <v>857880</v>
      </c>
      <c r="AC412" s="308"/>
      <c r="AD412" s="309"/>
      <c r="AE412" s="310">
        <f t="shared" si="152"/>
        <v>0</v>
      </c>
      <c r="AF412" s="311"/>
      <c r="AG412" s="312"/>
      <c r="AH412" s="313">
        <f t="shared" si="153"/>
        <v>0</v>
      </c>
      <c r="AI412" s="308"/>
      <c r="AJ412" s="309"/>
      <c r="AK412" s="310">
        <f t="shared" si="154"/>
        <v>0</v>
      </c>
      <c r="AL412" s="311"/>
      <c r="AM412" s="312"/>
      <c r="AN412" s="313">
        <f t="shared" si="155"/>
        <v>0</v>
      </c>
      <c r="AO412" s="308">
        <v>0</v>
      </c>
      <c r="AP412" s="309">
        <v>0</v>
      </c>
      <c r="AQ412" s="310">
        <f t="shared" si="156"/>
        <v>0</v>
      </c>
      <c r="AR412" s="311">
        <v>3</v>
      </c>
      <c r="AS412" s="312">
        <v>75340</v>
      </c>
      <c r="AT412" s="313">
        <f t="shared" si="157"/>
        <v>184929.56400000001</v>
      </c>
      <c r="AU412" s="308">
        <v>1</v>
      </c>
      <c r="AV412" s="309">
        <v>68140</v>
      </c>
      <c r="AW412" s="310">
        <f t="shared" si="158"/>
        <v>55752.148000000001</v>
      </c>
      <c r="AX412" s="311">
        <v>5</v>
      </c>
      <c r="AY412" s="312">
        <v>78986</v>
      </c>
      <c r="AZ412" s="313">
        <f t="shared" si="159"/>
        <v>323131.72600000002</v>
      </c>
      <c r="BA412" s="308"/>
      <c r="BB412" s="309"/>
      <c r="BC412" s="310">
        <f t="shared" si="160"/>
        <v>0</v>
      </c>
      <c r="BD412" s="311">
        <v>1</v>
      </c>
      <c r="BE412" s="312">
        <v>78000</v>
      </c>
      <c r="BF412" s="313">
        <f t="shared" si="161"/>
        <v>63819.600000000006</v>
      </c>
      <c r="BG412" s="308">
        <v>2</v>
      </c>
      <c r="BH412" s="309">
        <v>30630</v>
      </c>
      <c r="BI412" s="310">
        <f t="shared" si="162"/>
        <v>50122.932000000001</v>
      </c>
      <c r="BJ412" s="311">
        <v>3</v>
      </c>
      <c r="BK412" s="312">
        <v>35159</v>
      </c>
      <c r="BL412" s="313">
        <f t="shared" si="163"/>
        <v>86301.281400000007</v>
      </c>
      <c r="BM412" s="308"/>
      <c r="BN412" s="309"/>
      <c r="BO412" s="310">
        <f t="shared" si="164"/>
        <v>0</v>
      </c>
      <c r="BP412" s="311"/>
      <c r="BQ412" s="312"/>
      <c r="BR412" s="313">
        <f t="shared" si="165"/>
        <v>0</v>
      </c>
      <c r="BS412" s="308"/>
      <c r="BT412" s="309"/>
      <c r="BU412" s="310">
        <f t="shared" si="166"/>
        <v>0</v>
      </c>
      <c r="BV412" s="311"/>
      <c r="BW412" s="312"/>
      <c r="BX412" s="313">
        <f t="shared" si="167"/>
        <v>0</v>
      </c>
    </row>
    <row r="413" spans="1:76">
      <c r="A413" s="324" t="s">
        <v>410</v>
      </c>
      <c r="B413" s="323" t="s">
        <v>47</v>
      </c>
      <c r="C413" s="324">
        <v>207722</v>
      </c>
      <c r="D413" s="320">
        <v>6</v>
      </c>
      <c r="E413" s="308">
        <v>17</v>
      </c>
      <c r="F413" s="309">
        <v>54238</v>
      </c>
      <c r="G413" s="310">
        <f t="shared" si="144"/>
        <v>922046</v>
      </c>
      <c r="H413" s="311">
        <v>15</v>
      </c>
      <c r="I413" s="312">
        <v>63095</v>
      </c>
      <c r="J413" s="313">
        <f t="shared" si="145"/>
        <v>946425</v>
      </c>
      <c r="K413" s="308">
        <v>8</v>
      </c>
      <c r="L413" s="309">
        <v>46381</v>
      </c>
      <c r="M413" s="310">
        <f t="shared" si="146"/>
        <v>371048</v>
      </c>
      <c r="N413" s="311">
        <v>9</v>
      </c>
      <c r="O413" s="312">
        <v>51892</v>
      </c>
      <c r="P413" s="313">
        <f t="shared" si="147"/>
        <v>467028</v>
      </c>
      <c r="Q413" s="308">
        <v>17</v>
      </c>
      <c r="R413" s="309">
        <v>41047</v>
      </c>
      <c r="S413" s="310">
        <f t="shared" si="148"/>
        <v>697799</v>
      </c>
      <c r="T413" s="311">
        <v>15</v>
      </c>
      <c r="U413" s="312">
        <v>45777</v>
      </c>
      <c r="V413" s="313">
        <f t="shared" si="149"/>
        <v>686655</v>
      </c>
      <c r="W413" s="308">
        <v>6</v>
      </c>
      <c r="X413" s="309">
        <v>37671</v>
      </c>
      <c r="Y413" s="310">
        <f t="shared" si="150"/>
        <v>226026</v>
      </c>
      <c r="Z413" s="311">
        <v>7</v>
      </c>
      <c r="AA413" s="312">
        <v>42146</v>
      </c>
      <c r="AB413" s="313">
        <f t="shared" si="151"/>
        <v>295022</v>
      </c>
      <c r="AC413" s="308"/>
      <c r="AD413" s="309"/>
      <c r="AE413" s="310">
        <f t="shared" si="152"/>
        <v>0</v>
      </c>
      <c r="AF413" s="311"/>
      <c r="AG413" s="312"/>
      <c r="AH413" s="313">
        <f t="shared" si="153"/>
        <v>0</v>
      </c>
      <c r="AI413" s="308"/>
      <c r="AJ413" s="309"/>
      <c r="AK413" s="310">
        <f t="shared" si="154"/>
        <v>0</v>
      </c>
      <c r="AL413" s="311"/>
      <c r="AM413" s="312"/>
      <c r="AN413" s="313">
        <f t="shared" si="155"/>
        <v>0</v>
      </c>
      <c r="AO413" s="308">
        <v>4</v>
      </c>
      <c r="AP413" s="309">
        <v>70869</v>
      </c>
      <c r="AQ413" s="310">
        <f t="shared" si="156"/>
        <v>231940.0632</v>
      </c>
      <c r="AR413" s="311">
        <v>5</v>
      </c>
      <c r="AS413" s="312">
        <v>78380</v>
      </c>
      <c r="AT413" s="313">
        <f t="shared" si="157"/>
        <v>320652.58</v>
      </c>
      <c r="AU413" s="308">
        <v>2</v>
      </c>
      <c r="AV413" s="309">
        <v>61425</v>
      </c>
      <c r="AW413" s="310">
        <f t="shared" si="158"/>
        <v>100515.87000000001</v>
      </c>
      <c r="AX413" s="311">
        <v>1</v>
      </c>
      <c r="AY413" s="312">
        <v>69075</v>
      </c>
      <c r="AZ413" s="313">
        <f t="shared" si="159"/>
        <v>56517.165000000001</v>
      </c>
      <c r="BA413" s="308"/>
      <c r="BB413" s="309"/>
      <c r="BC413" s="310">
        <f t="shared" si="160"/>
        <v>0</v>
      </c>
      <c r="BD413" s="311"/>
      <c r="BE413" s="312"/>
      <c r="BF413" s="313">
        <f t="shared" si="161"/>
        <v>0</v>
      </c>
      <c r="BG413" s="308">
        <v>4</v>
      </c>
      <c r="BH413" s="309">
        <v>53469</v>
      </c>
      <c r="BI413" s="310">
        <f t="shared" si="162"/>
        <v>174993.3432</v>
      </c>
      <c r="BJ413" s="311">
        <v>4</v>
      </c>
      <c r="BK413" s="312">
        <v>56181</v>
      </c>
      <c r="BL413" s="313">
        <f t="shared" si="163"/>
        <v>183869.17680000002</v>
      </c>
      <c r="BM413" s="308"/>
      <c r="BN413" s="309"/>
      <c r="BO413" s="310">
        <f t="shared" si="164"/>
        <v>0</v>
      </c>
      <c r="BP413" s="311"/>
      <c r="BQ413" s="312"/>
      <c r="BR413" s="313">
        <f t="shared" si="165"/>
        <v>0</v>
      </c>
      <c r="BS413" s="308"/>
      <c r="BT413" s="309"/>
      <c r="BU413" s="310">
        <f t="shared" si="166"/>
        <v>0</v>
      </c>
      <c r="BV413" s="311"/>
      <c r="BW413" s="312"/>
      <c r="BX413" s="313">
        <f t="shared" si="167"/>
        <v>0</v>
      </c>
    </row>
    <row r="414" spans="1:76">
      <c r="A414" s="324" t="s">
        <v>410</v>
      </c>
      <c r="B414" s="428" t="s">
        <v>58</v>
      </c>
      <c r="C414" s="429">
        <v>207564</v>
      </c>
      <c r="D414" s="430">
        <v>7</v>
      </c>
      <c r="E414" s="308"/>
      <c r="F414" s="309"/>
      <c r="G414" s="310">
        <f t="shared" si="144"/>
        <v>0</v>
      </c>
      <c r="H414" s="311"/>
      <c r="I414" s="312"/>
      <c r="J414" s="313">
        <f t="shared" si="145"/>
        <v>0</v>
      </c>
      <c r="K414" s="308"/>
      <c r="L414" s="309"/>
      <c r="M414" s="310">
        <f t="shared" si="146"/>
        <v>0</v>
      </c>
      <c r="N414" s="311"/>
      <c r="O414" s="312"/>
      <c r="P414" s="313">
        <f t="shared" si="147"/>
        <v>0</v>
      </c>
      <c r="Q414" s="308"/>
      <c r="R414" s="309"/>
      <c r="S414" s="310">
        <f t="shared" si="148"/>
        <v>0</v>
      </c>
      <c r="T414" s="311"/>
      <c r="U414" s="312"/>
      <c r="V414" s="313">
        <f t="shared" si="149"/>
        <v>0</v>
      </c>
      <c r="W414" s="308"/>
      <c r="X414" s="309"/>
      <c r="Y414" s="310">
        <f t="shared" si="150"/>
        <v>0</v>
      </c>
      <c r="Z414" s="311"/>
      <c r="AA414" s="312"/>
      <c r="AB414" s="313">
        <f t="shared" si="151"/>
        <v>0</v>
      </c>
      <c r="AC414" s="308"/>
      <c r="AD414" s="309"/>
      <c r="AE414" s="310">
        <f t="shared" si="152"/>
        <v>0</v>
      </c>
      <c r="AF414" s="311"/>
      <c r="AG414" s="312"/>
      <c r="AH414" s="313">
        <f t="shared" si="153"/>
        <v>0</v>
      </c>
      <c r="AI414" s="308">
        <v>55</v>
      </c>
      <c r="AJ414" s="309">
        <v>35616</v>
      </c>
      <c r="AK414" s="310">
        <f t="shared" si="154"/>
        <v>1958880</v>
      </c>
      <c r="AL414" s="311">
        <v>112</v>
      </c>
      <c r="AM414" s="451">
        <v>38709</v>
      </c>
      <c r="AN414" s="313">
        <f t="shared" si="155"/>
        <v>4335408</v>
      </c>
      <c r="AO414" s="308"/>
      <c r="AP414" s="309"/>
      <c r="AQ414" s="310">
        <f t="shared" si="156"/>
        <v>0</v>
      </c>
      <c r="AR414" s="311"/>
      <c r="AS414" s="312"/>
      <c r="AT414" s="313">
        <f t="shared" si="157"/>
        <v>0</v>
      </c>
      <c r="AU414" s="308"/>
      <c r="AV414" s="309"/>
      <c r="AW414" s="310">
        <f t="shared" si="158"/>
        <v>0</v>
      </c>
      <c r="AX414" s="311"/>
      <c r="AY414" s="312"/>
      <c r="AZ414" s="313">
        <f t="shared" si="159"/>
        <v>0</v>
      </c>
      <c r="BA414" s="308"/>
      <c r="BB414" s="309"/>
      <c r="BC414" s="310">
        <f t="shared" si="160"/>
        <v>0</v>
      </c>
      <c r="BD414" s="311"/>
      <c r="BE414" s="312"/>
      <c r="BF414" s="313">
        <f t="shared" si="161"/>
        <v>0</v>
      </c>
      <c r="BG414" s="308"/>
      <c r="BH414" s="309"/>
      <c r="BI414" s="310">
        <f t="shared" si="162"/>
        <v>0</v>
      </c>
      <c r="BJ414" s="311"/>
      <c r="BK414" s="312"/>
      <c r="BL414" s="313">
        <f t="shared" si="163"/>
        <v>0</v>
      </c>
      <c r="BM414" s="308"/>
      <c r="BN414" s="309"/>
      <c r="BO414" s="310">
        <f t="shared" si="164"/>
        <v>0</v>
      </c>
      <c r="BP414" s="311"/>
      <c r="BQ414" s="312"/>
      <c r="BR414" s="313">
        <f t="shared" si="165"/>
        <v>0</v>
      </c>
      <c r="BS414" s="308">
        <v>63</v>
      </c>
      <c r="BT414" s="309">
        <v>51610</v>
      </c>
      <c r="BU414" s="310">
        <f t="shared" si="166"/>
        <v>2660320.0260000001</v>
      </c>
      <c r="BV414" s="311">
        <v>12</v>
      </c>
      <c r="BW414" s="312">
        <v>53567</v>
      </c>
      <c r="BX414" s="313">
        <f t="shared" si="167"/>
        <v>525942.2328</v>
      </c>
    </row>
    <row r="415" spans="1:76">
      <c r="A415" s="324" t="s">
        <v>410</v>
      </c>
      <c r="B415" s="411" t="s">
        <v>49</v>
      </c>
      <c r="C415" s="324">
        <v>207449</v>
      </c>
      <c r="D415" s="320">
        <v>8</v>
      </c>
      <c r="E415" s="308"/>
      <c r="F415" s="309"/>
      <c r="G415" s="310">
        <f t="shared" si="144"/>
        <v>0</v>
      </c>
      <c r="H415" s="311"/>
      <c r="I415" s="312"/>
      <c r="J415" s="313">
        <f t="shared" si="145"/>
        <v>0</v>
      </c>
      <c r="K415" s="308"/>
      <c r="L415" s="309"/>
      <c r="M415" s="310">
        <f t="shared" si="146"/>
        <v>0</v>
      </c>
      <c r="N415" s="311"/>
      <c r="O415" s="312"/>
      <c r="P415" s="313">
        <f t="shared" si="147"/>
        <v>0</v>
      </c>
      <c r="Q415" s="308"/>
      <c r="R415" s="309"/>
      <c r="S415" s="310">
        <f t="shared" si="148"/>
        <v>0</v>
      </c>
      <c r="T415" s="311"/>
      <c r="U415" s="312"/>
      <c r="V415" s="313">
        <f t="shared" si="149"/>
        <v>0</v>
      </c>
      <c r="W415" s="308"/>
      <c r="X415" s="309"/>
      <c r="Y415" s="310">
        <f t="shared" si="150"/>
        <v>0</v>
      </c>
      <c r="Z415" s="311"/>
      <c r="AA415" s="312"/>
      <c r="AB415" s="313">
        <f t="shared" si="151"/>
        <v>0</v>
      </c>
      <c r="AC415" s="308"/>
      <c r="AD415" s="309"/>
      <c r="AE415" s="310">
        <f t="shared" si="152"/>
        <v>0</v>
      </c>
      <c r="AF415" s="311"/>
      <c r="AG415" s="312"/>
      <c r="AH415" s="313">
        <f t="shared" si="153"/>
        <v>0</v>
      </c>
      <c r="AI415" s="308">
        <v>133</v>
      </c>
      <c r="AJ415" s="309">
        <v>49117</v>
      </c>
      <c r="AK415" s="310">
        <f t="shared" si="154"/>
        <v>6532561</v>
      </c>
      <c r="AL415" s="311">
        <v>145</v>
      </c>
      <c r="AM415" s="312">
        <v>49143</v>
      </c>
      <c r="AN415" s="313">
        <f t="shared" si="155"/>
        <v>7125735</v>
      </c>
      <c r="AO415" s="308"/>
      <c r="AP415" s="309"/>
      <c r="AQ415" s="310">
        <f t="shared" si="156"/>
        <v>0</v>
      </c>
      <c r="AR415" s="311"/>
      <c r="AS415" s="312"/>
      <c r="AT415" s="313">
        <f t="shared" si="157"/>
        <v>0</v>
      </c>
      <c r="AU415" s="308"/>
      <c r="AV415" s="309"/>
      <c r="AW415" s="310">
        <f t="shared" si="158"/>
        <v>0</v>
      </c>
      <c r="AX415" s="311"/>
      <c r="AY415" s="312"/>
      <c r="AZ415" s="313">
        <f t="shared" si="159"/>
        <v>0</v>
      </c>
      <c r="BA415" s="308"/>
      <c r="BB415" s="309"/>
      <c r="BC415" s="310">
        <f t="shared" si="160"/>
        <v>0</v>
      </c>
      <c r="BD415" s="311"/>
      <c r="BE415" s="312"/>
      <c r="BF415" s="313">
        <f t="shared" si="161"/>
        <v>0</v>
      </c>
      <c r="BG415" s="308"/>
      <c r="BH415" s="309"/>
      <c r="BI415" s="310">
        <f t="shared" si="162"/>
        <v>0</v>
      </c>
      <c r="BJ415" s="311"/>
      <c r="BK415" s="312"/>
      <c r="BL415" s="313">
        <f t="shared" si="163"/>
        <v>0</v>
      </c>
      <c r="BM415" s="308"/>
      <c r="BN415" s="309"/>
      <c r="BO415" s="310">
        <f t="shared" si="164"/>
        <v>0</v>
      </c>
      <c r="BP415" s="311"/>
      <c r="BQ415" s="312"/>
      <c r="BR415" s="313">
        <f t="shared" si="165"/>
        <v>0</v>
      </c>
      <c r="BS415" s="308">
        <v>1</v>
      </c>
      <c r="BT415" s="309">
        <v>87083</v>
      </c>
      <c r="BU415" s="310">
        <f t="shared" si="166"/>
        <v>71251.310599999997</v>
      </c>
      <c r="BV415" s="311">
        <v>1</v>
      </c>
      <c r="BW415" s="312">
        <v>89824</v>
      </c>
      <c r="BX415" s="313">
        <f t="shared" si="167"/>
        <v>73493.996800000008</v>
      </c>
    </row>
    <row r="416" spans="1:76">
      <c r="A416" s="324" t="s">
        <v>410</v>
      </c>
      <c r="B416" s="323" t="s">
        <v>50</v>
      </c>
      <c r="C416" s="324">
        <v>207935</v>
      </c>
      <c r="D416" s="320">
        <v>8</v>
      </c>
      <c r="E416" s="308"/>
      <c r="F416" s="309"/>
      <c r="G416" s="310">
        <f t="shared" si="144"/>
        <v>0</v>
      </c>
      <c r="H416" s="311"/>
      <c r="I416" s="312"/>
      <c r="J416" s="313">
        <f t="shared" si="145"/>
        <v>0</v>
      </c>
      <c r="K416" s="308"/>
      <c r="L416" s="309"/>
      <c r="M416" s="310">
        <f t="shared" si="146"/>
        <v>0</v>
      </c>
      <c r="N416" s="311"/>
      <c r="O416" s="312"/>
      <c r="P416" s="313">
        <f t="shared" si="147"/>
        <v>0</v>
      </c>
      <c r="Q416" s="308"/>
      <c r="R416" s="309"/>
      <c r="S416" s="310">
        <f t="shared" si="148"/>
        <v>0</v>
      </c>
      <c r="T416" s="311"/>
      <c r="U416" s="312"/>
      <c r="V416" s="313">
        <f t="shared" si="149"/>
        <v>0</v>
      </c>
      <c r="W416" s="308"/>
      <c r="X416" s="309"/>
      <c r="Y416" s="310">
        <f t="shared" si="150"/>
        <v>0</v>
      </c>
      <c r="Z416" s="311"/>
      <c r="AA416" s="312"/>
      <c r="AB416" s="313">
        <f t="shared" si="151"/>
        <v>0</v>
      </c>
      <c r="AC416" s="308"/>
      <c r="AD416" s="309"/>
      <c r="AE416" s="310">
        <f t="shared" si="152"/>
        <v>0</v>
      </c>
      <c r="AF416" s="311"/>
      <c r="AG416" s="312"/>
      <c r="AH416" s="313">
        <f t="shared" si="153"/>
        <v>0</v>
      </c>
      <c r="AI416" s="308">
        <v>253</v>
      </c>
      <c r="AJ416" s="309">
        <v>55359</v>
      </c>
      <c r="AK416" s="310">
        <f t="shared" si="154"/>
        <v>14005827</v>
      </c>
      <c r="AL416" s="311">
        <v>257</v>
      </c>
      <c r="AM416" s="312">
        <v>56764</v>
      </c>
      <c r="AN416" s="313">
        <f t="shared" si="155"/>
        <v>14588348</v>
      </c>
      <c r="AO416" s="308"/>
      <c r="AP416" s="309"/>
      <c r="AQ416" s="310">
        <f t="shared" si="156"/>
        <v>0</v>
      </c>
      <c r="AR416" s="311"/>
      <c r="AS416" s="312"/>
      <c r="AT416" s="313">
        <f t="shared" si="157"/>
        <v>0</v>
      </c>
      <c r="AU416" s="308"/>
      <c r="AV416" s="309"/>
      <c r="AW416" s="310">
        <f t="shared" si="158"/>
        <v>0</v>
      </c>
      <c r="AX416" s="311"/>
      <c r="AY416" s="312"/>
      <c r="AZ416" s="313">
        <f t="shared" si="159"/>
        <v>0</v>
      </c>
      <c r="BA416" s="308"/>
      <c r="BB416" s="309"/>
      <c r="BC416" s="310">
        <f t="shared" si="160"/>
        <v>0</v>
      </c>
      <c r="BD416" s="311"/>
      <c r="BE416" s="312"/>
      <c r="BF416" s="313">
        <f t="shared" si="161"/>
        <v>0</v>
      </c>
      <c r="BG416" s="308"/>
      <c r="BH416" s="309"/>
      <c r="BI416" s="310">
        <f t="shared" si="162"/>
        <v>0</v>
      </c>
      <c r="BJ416" s="311"/>
      <c r="BK416" s="312"/>
      <c r="BL416" s="313">
        <f t="shared" si="163"/>
        <v>0</v>
      </c>
      <c r="BM416" s="308"/>
      <c r="BN416" s="309"/>
      <c r="BO416" s="310">
        <f t="shared" si="164"/>
        <v>0</v>
      </c>
      <c r="BP416" s="311"/>
      <c r="BQ416" s="312"/>
      <c r="BR416" s="313">
        <f t="shared" si="165"/>
        <v>0</v>
      </c>
      <c r="BS416" s="308">
        <v>42</v>
      </c>
      <c r="BT416" s="309">
        <v>61246</v>
      </c>
      <c r="BU416" s="310">
        <f t="shared" si="166"/>
        <v>2104682.0424000002</v>
      </c>
      <c r="BV416" s="311">
        <v>41</v>
      </c>
      <c r="BW416" s="312">
        <v>62620</v>
      </c>
      <c r="BX416" s="313">
        <f t="shared" si="167"/>
        <v>2100663.0440000002</v>
      </c>
    </row>
    <row r="417" spans="1:76">
      <c r="A417" s="324" t="s">
        <v>410</v>
      </c>
      <c r="B417" s="411" t="s">
        <v>51</v>
      </c>
      <c r="C417" s="324">
        <v>207281</v>
      </c>
      <c r="D417" s="320">
        <v>9</v>
      </c>
      <c r="E417" s="308"/>
      <c r="F417" s="309"/>
      <c r="G417" s="310">
        <f t="shared" si="144"/>
        <v>0</v>
      </c>
      <c r="H417" s="311"/>
      <c r="I417" s="312"/>
      <c r="J417" s="313">
        <f t="shared" si="145"/>
        <v>0</v>
      </c>
      <c r="K417" s="308"/>
      <c r="L417" s="309"/>
      <c r="M417" s="310">
        <f t="shared" si="146"/>
        <v>0</v>
      </c>
      <c r="N417" s="311"/>
      <c r="O417" s="312"/>
      <c r="P417" s="313">
        <f t="shared" si="147"/>
        <v>0</v>
      </c>
      <c r="Q417" s="308"/>
      <c r="R417" s="309"/>
      <c r="S417" s="310">
        <f t="shared" si="148"/>
        <v>0</v>
      </c>
      <c r="T417" s="311"/>
      <c r="U417" s="312"/>
      <c r="V417" s="313">
        <f t="shared" si="149"/>
        <v>0</v>
      </c>
      <c r="W417" s="308"/>
      <c r="X417" s="309"/>
      <c r="Y417" s="310">
        <f t="shared" si="150"/>
        <v>0</v>
      </c>
      <c r="Z417" s="311"/>
      <c r="AA417" s="312"/>
      <c r="AB417" s="313">
        <f t="shared" si="151"/>
        <v>0</v>
      </c>
      <c r="AC417" s="308"/>
      <c r="AD417" s="309"/>
      <c r="AE417" s="310">
        <f t="shared" si="152"/>
        <v>0</v>
      </c>
      <c r="AF417" s="311"/>
      <c r="AG417" s="312"/>
      <c r="AH417" s="313">
        <f t="shared" si="153"/>
        <v>0</v>
      </c>
      <c r="AI417" s="308">
        <v>91</v>
      </c>
      <c r="AJ417" s="309">
        <v>46483</v>
      </c>
      <c r="AK417" s="310">
        <f t="shared" si="154"/>
        <v>4229953</v>
      </c>
      <c r="AL417" s="311">
        <v>94</v>
      </c>
      <c r="AM417" s="312">
        <v>45989</v>
      </c>
      <c r="AN417" s="313">
        <f t="shared" si="155"/>
        <v>4322966</v>
      </c>
      <c r="AO417" s="308"/>
      <c r="AP417" s="309"/>
      <c r="AQ417" s="310">
        <f t="shared" si="156"/>
        <v>0</v>
      </c>
      <c r="AR417" s="311"/>
      <c r="AS417" s="312"/>
      <c r="AT417" s="313">
        <f t="shared" si="157"/>
        <v>0</v>
      </c>
      <c r="AU417" s="308"/>
      <c r="AV417" s="309"/>
      <c r="AW417" s="310">
        <f t="shared" si="158"/>
        <v>0</v>
      </c>
      <c r="AX417" s="311"/>
      <c r="AY417" s="312"/>
      <c r="AZ417" s="313">
        <f t="shared" si="159"/>
        <v>0</v>
      </c>
      <c r="BA417" s="308"/>
      <c r="BB417" s="309"/>
      <c r="BC417" s="310">
        <f t="shared" si="160"/>
        <v>0</v>
      </c>
      <c r="BD417" s="311"/>
      <c r="BE417" s="312"/>
      <c r="BF417" s="313">
        <f t="shared" si="161"/>
        <v>0</v>
      </c>
      <c r="BG417" s="308"/>
      <c r="BH417" s="309"/>
      <c r="BI417" s="310">
        <f t="shared" si="162"/>
        <v>0</v>
      </c>
      <c r="BJ417" s="311"/>
      <c r="BK417" s="312"/>
      <c r="BL417" s="313">
        <f t="shared" si="163"/>
        <v>0</v>
      </c>
      <c r="BM417" s="308"/>
      <c r="BN417" s="309"/>
      <c r="BO417" s="310">
        <f t="shared" si="164"/>
        <v>0</v>
      </c>
      <c r="BP417" s="311"/>
      <c r="BQ417" s="312"/>
      <c r="BR417" s="313">
        <f t="shared" si="165"/>
        <v>0</v>
      </c>
      <c r="BS417" s="308">
        <v>3</v>
      </c>
      <c r="BT417" s="309">
        <v>37268</v>
      </c>
      <c r="BU417" s="310">
        <f t="shared" si="166"/>
        <v>91478.032800000001</v>
      </c>
      <c r="BV417" s="311">
        <v>3</v>
      </c>
      <c r="BW417" s="312">
        <v>53887</v>
      </c>
      <c r="BX417" s="313">
        <f t="shared" si="167"/>
        <v>132271.03020000001</v>
      </c>
    </row>
    <row r="418" spans="1:76">
      <c r="A418" s="324" t="s">
        <v>410</v>
      </c>
      <c r="B418" s="323" t="s">
        <v>59</v>
      </c>
      <c r="C418" s="324">
        <v>207397</v>
      </c>
      <c r="D418" s="320">
        <v>9</v>
      </c>
      <c r="E418" s="308"/>
      <c r="F418" s="309"/>
      <c r="G418" s="310">
        <f t="shared" si="144"/>
        <v>0</v>
      </c>
      <c r="H418" s="311"/>
      <c r="I418" s="312"/>
      <c r="J418" s="313">
        <f t="shared" si="145"/>
        <v>0</v>
      </c>
      <c r="K418" s="308"/>
      <c r="L418" s="309"/>
      <c r="M418" s="310">
        <f t="shared" si="146"/>
        <v>0</v>
      </c>
      <c r="N418" s="311"/>
      <c r="O418" s="312"/>
      <c r="P418" s="313">
        <f t="shared" si="147"/>
        <v>0</v>
      </c>
      <c r="Q418" s="308"/>
      <c r="R418" s="309"/>
      <c r="S418" s="310">
        <f t="shared" si="148"/>
        <v>0</v>
      </c>
      <c r="T418" s="311"/>
      <c r="U418" s="312"/>
      <c r="V418" s="313">
        <f t="shared" si="149"/>
        <v>0</v>
      </c>
      <c r="W418" s="308"/>
      <c r="X418" s="309"/>
      <c r="Y418" s="310">
        <f t="shared" si="150"/>
        <v>0</v>
      </c>
      <c r="Z418" s="311"/>
      <c r="AA418" s="312"/>
      <c r="AB418" s="313">
        <f t="shared" si="151"/>
        <v>0</v>
      </c>
      <c r="AC418" s="308"/>
      <c r="AD418" s="309"/>
      <c r="AE418" s="310">
        <f t="shared" si="152"/>
        <v>0</v>
      </c>
      <c r="AF418" s="311"/>
      <c r="AG418" s="312"/>
      <c r="AH418" s="313">
        <f t="shared" si="153"/>
        <v>0</v>
      </c>
      <c r="AI418" s="308">
        <v>48</v>
      </c>
      <c r="AJ418" s="309">
        <v>47447</v>
      </c>
      <c r="AK418" s="310">
        <f t="shared" si="154"/>
        <v>2277456</v>
      </c>
      <c r="AL418" s="311">
        <v>27</v>
      </c>
      <c r="AM418" s="312">
        <v>50691</v>
      </c>
      <c r="AN418" s="313">
        <f t="shared" si="155"/>
        <v>1368657</v>
      </c>
      <c r="AO418" s="308"/>
      <c r="AP418" s="309"/>
      <c r="AQ418" s="310">
        <f t="shared" si="156"/>
        <v>0</v>
      </c>
      <c r="AR418" s="311"/>
      <c r="AS418" s="312"/>
      <c r="AT418" s="313">
        <f t="shared" si="157"/>
        <v>0</v>
      </c>
      <c r="AU418" s="308"/>
      <c r="AV418" s="309"/>
      <c r="AW418" s="310">
        <f t="shared" si="158"/>
        <v>0</v>
      </c>
      <c r="AX418" s="311"/>
      <c r="AY418" s="312"/>
      <c r="AZ418" s="313">
        <f t="shared" si="159"/>
        <v>0</v>
      </c>
      <c r="BA418" s="308"/>
      <c r="BB418" s="309"/>
      <c r="BC418" s="310">
        <f t="shared" si="160"/>
        <v>0</v>
      </c>
      <c r="BD418" s="311"/>
      <c r="BE418" s="312"/>
      <c r="BF418" s="313">
        <f t="shared" si="161"/>
        <v>0</v>
      </c>
      <c r="BG418" s="308"/>
      <c r="BH418" s="309"/>
      <c r="BI418" s="310">
        <f t="shared" si="162"/>
        <v>0</v>
      </c>
      <c r="BJ418" s="311"/>
      <c r="BK418" s="312"/>
      <c r="BL418" s="313">
        <f t="shared" si="163"/>
        <v>0</v>
      </c>
      <c r="BM418" s="308"/>
      <c r="BN418" s="309"/>
      <c r="BO418" s="310">
        <f t="shared" si="164"/>
        <v>0</v>
      </c>
      <c r="BP418" s="311"/>
      <c r="BQ418" s="312"/>
      <c r="BR418" s="313">
        <f t="shared" si="165"/>
        <v>0</v>
      </c>
      <c r="BS418" s="308">
        <v>25</v>
      </c>
      <c r="BT418" s="309">
        <v>64589</v>
      </c>
      <c r="BU418" s="310">
        <f t="shared" si="166"/>
        <v>1321167.9950000001</v>
      </c>
      <c r="BV418" s="311">
        <v>27</v>
      </c>
      <c r="BW418" s="312"/>
      <c r="BX418" s="313">
        <f t="shared" si="167"/>
        <v>0</v>
      </c>
    </row>
    <row r="419" spans="1:76">
      <c r="A419" s="324" t="s">
        <v>410</v>
      </c>
      <c r="B419" s="323" t="s">
        <v>60</v>
      </c>
      <c r="C419" s="324">
        <v>207670</v>
      </c>
      <c r="D419" s="320">
        <v>9</v>
      </c>
      <c r="E419" s="308"/>
      <c r="F419" s="309"/>
      <c r="G419" s="310">
        <f t="shared" si="144"/>
        <v>0</v>
      </c>
      <c r="H419" s="311"/>
      <c r="I419" s="312"/>
      <c r="J419" s="313">
        <f t="shared" si="145"/>
        <v>0</v>
      </c>
      <c r="K419" s="308"/>
      <c r="L419" s="309"/>
      <c r="M419" s="310">
        <f t="shared" si="146"/>
        <v>0</v>
      </c>
      <c r="N419" s="311"/>
      <c r="O419" s="312"/>
      <c r="P419" s="313">
        <f t="shared" si="147"/>
        <v>0</v>
      </c>
      <c r="Q419" s="308"/>
      <c r="R419" s="309"/>
      <c r="S419" s="310">
        <f t="shared" si="148"/>
        <v>0</v>
      </c>
      <c r="T419" s="311"/>
      <c r="U419" s="312"/>
      <c r="V419" s="313">
        <f t="shared" si="149"/>
        <v>0</v>
      </c>
      <c r="W419" s="308"/>
      <c r="X419" s="309"/>
      <c r="Y419" s="310">
        <f t="shared" si="150"/>
        <v>0</v>
      </c>
      <c r="Z419" s="311"/>
      <c r="AA419" s="312"/>
      <c r="AB419" s="313">
        <f t="shared" si="151"/>
        <v>0</v>
      </c>
      <c r="AC419" s="308"/>
      <c r="AD419" s="309"/>
      <c r="AE419" s="310">
        <f t="shared" si="152"/>
        <v>0</v>
      </c>
      <c r="AF419" s="311"/>
      <c r="AG419" s="312"/>
      <c r="AH419" s="313">
        <f t="shared" si="153"/>
        <v>0</v>
      </c>
      <c r="AI419" s="308">
        <v>107</v>
      </c>
      <c r="AJ419" s="309">
        <v>42726</v>
      </c>
      <c r="AK419" s="310">
        <f t="shared" si="154"/>
        <v>4571682</v>
      </c>
      <c r="AL419" s="311">
        <v>102</v>
      </c>
      <c r="AM419" s="312">
        <v>47218</v>
      </c>
      <c r="AN419" s="313">
        <f t="shared" si="155"/>
        <v>4816236</v>
      </c>
      <c r="AO419" s="308"/>
      <c r="AP419" s="309"/>
      <c r="AQ419" s="310">
        <f t="shared" si="156"/>
        <v>0</v>
      </c>
      <c r="AR419" s="311"/>
      <c r="AS419" s="312"/>
      <c r="AT419" s="313">
        <f t="shared" si="157"/>
        <v>0</v>
      </c>
      <c r="AU419" s="308"/>
      <c r="AV419" s="309"/>
      <c r="AW419" s="310">
        <f t="shared" si="158"/>
        <v>0</v>
      </c>
      <c r="AX419" s="311"/>
      <c r="AY419" s="312"/>
      <c r="AZ419" s="313">
        <f t="shared" si="159"/>
        <v>0</v>
      </c>
      <c r="BA419" s="308"/>
      <c r="BB419" s="309"/>
      <c r="BC419" s="310">
        <f t="shared" si="160"/>
        <v>0</v>
      </c>
      <c r="BD419" s="311"/>
      <c r="BE419" s="312"/>
      <c r="BF419" s="313">
        <f t="shared" si="161"/>
        <v>0</v>
      </c>
      <c r="BG419" s="308"/>
      <c r="BH419" s="309"/>
      <c r="BI419" s="310">
        <f t="shared" si="162"/>
        <v>0</v>
      </c>
      <c r="BJ419" s="311"/>
      <c r="BK419" s="312"/>
      <c r="BL419" s="313">
        <f t="shared" si="163"/>
        <v>0</v>
      </c>
      <c r="BM419" s="308"/>
      <c r="BN419" s="309"/>
      <c r="BO419" s="310">
        <f t="shared" si="164"/>
        <v>0</v>
      </c>
      <c r="BP419" s="311"/>
      <c r="BQ419" s="312"/>
      <c r="BR419" s="313">
        <f t="shared" si="165"/>
        <v>0</v>
      </c>
      <c r="BS419" s="308">
        <v>16</v>
      </c>
      <c r="BT419" s="309">
        <v>59998</v>
      </c>
      <c r="BU419" s="310">
        <f t="shared" si="166"/>
        <v>785445.81760000007</v>
      </c>
      <c r="BV419" s="311">
        <v>17</v>
      </c>
      <c r="BW419" s="312">
        <v>60393</v>
      </c>
      <c r="BX419" s="313">
        <f t="shared" si="167"/>
        <v>840030.3942000001</v>
      </c>
    </row>
    <row r="420" spans="1:76">
      <c r="A420" s="324" t="s">
        <v>410</v>
      </c>
      <c r="B420" s="323" t="s">
        <v>61</v>
      </c>
      <c r="C420" s="324">
        <v>206923</v>
      </c>
      <c r="D420" s="320">
        <v>10</v>
      </c>
      <c r="E420" s="308"/>
      <c r="F420" s="309"/>
      <c r="G420" s="310">
        <f t="shared" si="144"/>
        <v>0</v>
      </c>
      <c r="H420" s="311"/>
      <c r="I420" s="312"/>
      <c r="J420" s="313">
        <f t="shared" si="145"/>
        <v>0</v>
      </c>
      <c r="K420" s="308"/>
      <c r="L420" s="309"/>
      <c r="M420" s="310">
        <f t="shared" si="146"/>
        <v>0</v>
      </c>
      <c r="N420" s="311"/>
      <c r="O420" s="312"/>
      <c r="P420" s="313">
        <f t="shared" si="147"/>
        <v>0</v>
      </c>
      <c r="Q420" s="308"/>
      <c r="R420" s="309"/>
      <c r="S420" s="310">
        <f t="shared" si="148"/>
        <v>0</v>
      </c>
      <c r="T420" s="311"/>
      <c r="U420" s="312"/>
      <c r="V420" s="313">
        <f t="shared" si="149"/>
        <v>0</v>
      </c>
      <c r="W420" s="308"/>
      <c r="X420" s="309"/>
      <c r="Y420" s="310">
        <f t="shared" si="150"/>
        <v>0</v>
      </c>
      <c r="Z420" s="311"/>
      <c r="AA420" s="312"/>
      <c r="AB420" s="313">
        <f t="shared" si="151"/>
        <v>0</v>
      </c>
      <c r="AC420" s="308"/>
      <c r="AD420" s="309"/>
      <c r="AE420" s="310">
        <f t="shared" si="152"/>
        <v>0</v>
      </c>
      <c r="AF420" s="311"/>
      <c r="AG420" s="312"/>
      <c r="AH420" s="313">
        <f t="shared" si="153"/>
        <v>0</v>
      </c>
      <c r="AI420" s="308">
        <v>48</v>
      </c>
      <c r="AJ420" s="309">
        <v>38531</v>
      </c>
      <c r="AK420" s="310">
        <f t="shared" si="154"/>
        <v>1849488</v>
      </c>
      <c r="AL420" s="311">
        <v>47</v>
      </c>
      <c r="AM420" s="312">
        <v>40313</v>
      </c>
      <c r="AN420" s="313">
        <f t="shared" si="155"/>
        <v>1894711</v>
      </c>
      <c r="AO420" s="308"/>
      <c r="AP420" s="309"/>
      <c r="AQ420" s="310">
        <f t="shared" si="156"/>
        <v>0</v>
      </c>
      <c r="AR420" s="311"/>
      <c r="AS420" s="312"/>
      <c r="AT420" s="313">
        <f t="shared" si="157"/>
        <v>0</v>
      </c>
      <c r="AU420" s="308"/>
      <c r="AV420" s="309"/>
      <c r="AW420" s="310">
        <f t="shared" si="158"/>
        <v>0</v>
      </c>
      <c r="AX420" s="311"/>
      <c r="AY420" s="312"/>
      <c r="AZ420" s="313">
        <f t="shared" si="159"/>
        <v>0</v>
      </c>
      <c r="BA420" s="308"/>
      <c r="BB420" s="309"/>
      <c r="BC420" s="310">
        <f t="shared" si="160"/>
        <v>0</v>
      </c>
      <c r="BD420" s="311"/>
      <c r="BE420" s="312"/>
      <c r="BF420" s="313">
        <f t="shared" si="161"/>
        <v>0</v>
      </c>
      <c r="BG420" s="308"/>
      <c r="BH420" s="309"/>
      <c r="BI420" s="310">
        <f t="shared" si="162"/>
        <v>0</v>
      </c>
      <c r="BJ420" s="311"/>
      <c r="BK420" s="312"/>
      <c r="BL420" s="313">
        <f t="shared" si="163"/>
        <v>0</v>
      </c>
      <c r="BM420" s="308"/>
      <c r="BN420" s="309"/>
      <c r="BO420" s="310">
        <f t="shared" si="164"/>
        <v>0</v>
      </c>
      <c r="BP420" s="311"/>
      <c r="BQ420" s="312"/>
      <c r="BR420" s="313">
        <f t="shared" si="165"/>
        <v>0</v>
      </c>
      <c r="BS420" s="308">
        <v>13</v>
      </c>
      <c r="BT420" s="309">
        <v>43808</v>
      </c>
      <c r="BU420" s="310">
        <f t="shared" si="166"/>
        <v>465968.1728</v>
      </c>
      <c r="BV420" s="311">
        <v>10</v>
      </c>
      <c r="BW420" s="312">
        <v>47700</v>
      </c>
      <c r="BX420" s="313">
        <f t="shared" si="167"/>
        <v>390281.4</v>
      </c>
    </row>
    <row r="421" spans="1:76">
      <c r="A421" s="324" t="s">
        <v>410</v>
      </c>
      <c r="B421" s="323" t="s">
        <v>62</v>
      </c>
      <c r="C421" s="324">
        <v>206996</v>
      </c>
      <c r="D421" s="320">
        <v>10</v>
      </c>
      <c r="E421" s="308"/>
      <c r="F421" s="309"/>
      <c r="G421" s="310">
        <f t="shared" si="144"/>
        <v>0</v>
      </c>
      <c r="H421" s="311"/>
      <c r="I421" s="312"/>
      <c r="J421" s="313">
        <f t="shared" si="145"/>
        <v>0</v>
      </c>
      <c r="K421" s="308"/>
      <c r="L421" s="309"/>
      <c r="M421" s="310">
        <f t="shared" si="146"/>
        <v>0</v>
      </c>
      <c r="N421" s="311"/>
      <c r="O421" s="312"/>
      <c r="P421" s="313">
        <f t="shared" si="147"/>
        <v>0</v>
      </c>
      <c r="Q421" s="308"/>
      <c r="R421" s="309"/>
      <c r="S421" s="310">
        <f t="shared" si="148"/>
        <v>0</v>
      </c>
      <c r="T421" s="311"/>
      <c r="U421" s="312"/>
      <c r="V421" s="313">
        <f t="shared" si="149"/>
        <v>0</v>
      </c>
      <c r="W421" s="308"/>
      <c r="X421" s="309"/>
      <c r="Y421" s="310">
        <f t="shared" si="150"/>
        <v>0</v>
      </c>
      <c r="Z421" s="311"/>
      <c r="AA421" s="312"/>
      <c r="AB421" s="313">
        <f t="shared" si="151"/>
        <v>0</v>
      </c>
      <c r="AC421" s="308"/>
      <c r="AD421" s="309"/>
      <c r="AE421" s="310">
        <f t="shared" si="152"/>
        <v>0</v>
      </c>
      <c r="AF421" s="311"/>
      <c r="AG421" s="312"/>
      <c r="AH421" s="313">
        <f t="shared" si="153"/>
        <v>0</v>
      </c>
      <c r="AI421" s="308">
        <v>47</v>
      </c>
      <c r="AJ421" s="309">
        <v>38474</v>
      </c>
      <c r="AK421" s="310">
        <f t="shared" si="154"/>
        <v>1808278</v>
      </c>
      <c r="AL421" s="311">
        <v>48</v>
      </c>
      <c r="AM421" s="312">
        <v>37801</v>
      </c>
      <c r="AN421" s="313">
        <f t="shared" si="155"/>
        <v>1814448</v>
      </c>
      <c r="AO421" s="308"/>
      <c r="AP421" s="309"/>
      <c r="AQ421" s="310">
        <f t="shared" si="156"/>
        <v>0</v>
      </c>
      <c r="AR421" s="311"/>
      <c r="AS421" s="312"/>
      <c r="AT421" s="313">
        <f t="shared" si="157"/>
        <v>0</v>
      </c>
      <c r="AU421" s="308"/>
      <c r="AV421" s="309"/>
      <c r="AW421" s="310">
        <f t="shared" si="158"/>
        <v>0</v>
      </c>
      <c r="AX421" s="311"/>
      <c r="AY421" s="312"/>
      <c r="AZ421" s="313">
        <f t="shared" si="159"/>
        <v>0</v>
      </c>
      <c r="BA421" s="308"/>
      <c r="BB421" s="309"/>
      <c r="BC421" s="310">
        <f t="shared" si="160"/>
        <v>0</v>
      </c>
      <c r="BD421" s="311"/>
      <c r="BE421" s="312"/>
      <c r="BF421" s="313">
        <f t="shared" si="161"/>
        <v>0</v>
      </c>
      <c r="BG421" s="308"/>
      <c r="BH421" s="309"/>
      <c r="BI421" s="310">
        <f t="shared" si="162"/>
        <v>0</v>
      </c>
      <c r="BJ421" s="311"/>
      <c r="BK421" s="312"/>
      <c r="BL421" s="313">
        <f t="shared" si="163"/>
        <v>0</v>
      </c>
      <c r="BM421" s="308"/>
      <c r="BN421" s="309"/>
      <c r="BO421" s="310">
        <f t="shared" si="164"/>
        <v>0</v>
      </c>
      <c r="BP421" s="311"/>
      <c r="BQ421" s="312"/>
      <c r="BR421" s="313">
        <f t="shared" si="165"/>
        <v>0</v>
      </c>
      <c r="BS421" s="308">
        <v>2</v>
      </c>
      <c r="BT421" s="309">
        <v>49952</v>
      </c>
      <c r="BU421" s="310">
        <f t="shared" si="166"/>
        <v>81741.452799999999</v>
      </c>
      <c r="BV421" s="311">
        <v>3</v>
      </c>
      <c r="BW421" s="312">
        <v>49231</v>
      </c>
      <c r="BX421" s="313">
        <f t="shared" si="167"/>
        <v>120842.41260000001</v>
      </c>
    </row>
    <row r="422" spans="1:76">
      <c r="A422" s="324" t="s">
        <v>410</v>
      </c>
      <c r="B422" s="323" t="s">
        <v>63</v>
      </c>
      <c r="C422" s="324">
        <v>207050</v>
      </c>
      <c r="D422" s="320">
        <v>10</v>
      </c>
      <c r="E422" s="308"/>
      <c r="F422" s="309"/>
      <c r="G422" s="310">
        <f t="shared" si="144"/>
        <v>0</v>
      </c>
      <c r="H422" s="311"/>
      <c r="I422" s="312"/>
      <c r="J422" s="313">
        <f t="shared" si="145"/>
        <v>0</v>
      </c>
      <c r="K422" s="308"/>
      <c r="L422" s="309"/>
      <c r="M422" s="310">
        <f t="shared" si="146"/>
        <v>0</v>
      </c>
      <c r="N422" s="311"/>
      <c r="O422" s="312"/>
      <c r="P422" s="313">
        <f t="shared" si="147"/>
        <v>0</v>
      </c>
      <c r="Q422" s="308"/>
      <c r="R422" s="309"/>
      <c r="S422" s="310">
        <f t="shared" si="148"/>
        <v>0</v>
      </c>
      <c r="T422" s="311"/>
      <c r="U422" s="312"/>
      <c r="V422" s="313">
        <f t="shared" si="149"/>
        <v>0</v>
      </c>
      <c r="W422" s="308"/>
      <c r="X422" s="309"/>
      <c r="Y422" s="310">
        <f t="shared" si="150"/>
        <v>0</v>
      </c>
      <c r="Z422" s="311"/>
      <c r="AA422" s="312"/>
      <c r="AB422" s="313">
        <f t="shared" si="151"/>
        <v>0</v>
      </c>
      <c r="AC422" s="308"/>
      <c r="AD422" s="309"/>
      <c r="AE422" s="310">
        <f t="shared" si="152"/>
        <v>0</v>
      </c>
      <c r="AF422" s="311"/>
      <c r="AG422" s="312"/>
      <c r="AH422" s="313">
        <f t="shared" si="153"/>
        <v>0</v>
      </c>
      <c r="AI422" s="308">
        <v>47</v>
      </c>
      <c r="AJ422" s="309">
        <v>42608</v>
      </c>
      <c r="AK422" s="310">
        <f t="shared" si="154"/>
        <v>2002576</v>
      </c>
      <c r="AL422" s="311">
        <v>49</v>
      </c>
      <c r="AM422" s="312">
        <v>43114</v>
      </c>
      <c r="AN422" s="313">
        <f t="shared" si="155"/>
        <v>2112586</v>
      </c>
      <c r="AO422" s="308"/>
      <c r="AP422" s="309"/>
      <c r="AQ422" s="310">
        <f t="shared" si="156"/>
        <v>0</v>
      </c>
      <c r="AR422" s="311"/>
      <c r="AS422" s="312"/>
      <c r="AT422" s="313">
        <f t="shared" si="157"/>
        <v>0</v>
      </c>
      <c r="AU422" s="308"/>
      <c r="AV422" s="309"/>
      <c r="AW422" s="310">
        <f t="shared" si="158"/>
        <v>0</v>
      </c>
      <c r="AX422" s="311"/>
      <c r="AY422" s="312"/>
      <c r="AZ422" s="313">
        <f t="shared" si="159"/>
        <v>0</v>
      </c>
      <c r="BA422" s="308"/>
      <c r="BB422" s="309"/>
      <c r="BC422" s="310">
        <f t="shared" si="160"/>
        <v>0</v>
      </c>
      <c r="BD422" s="311"/>
      <c r="BE422" s="312"/>
      <c r="BF422" s="313">
        <f t="shared" si="161"/>
        <v>0</v>
      </c>
      <c r="BG422" s="308"/>
      <c r="BH422" s="309"/>
      <c r="BI422" s="310">
        <f t="shared" si="162"/>
        <v>0</v>
      </c>
      <c r="BJ422" s="311"/>
      <c r="BK422" s="312"/>
      <c r="BL422" s="313">
        <f t="shared" si="163"/>
        <v>0</v>
      </c>
      <c r="BM422" s="308"/>
      <c r="BN422" s="309"/>
      <c r="BO422" s="310">
        <f t="shared" si="164"/>
        <v>0</v>
      </c>
      <c r="BP422" s="311"/>
      <c r="BQ422" s="312"/>
      <c r="BR422" s="313">
        <f t="shared" si="165"/>
        <v>0</v>
      </c>
      <c r="BS422" s="308"/>
      <c r="BT422" s="309"/>
      <c r="BU422" s="310">
        <f t="shared" si="166"/>
        <v>0</v>
      </c>
      <c r="BV422" s="311"/>
      <c r="BW422" s="312"/>
      <c r="BX422" s="313">
        <f t="shared" si="167"/>
        <v>0</v>
      </c>
    </row>
    <row r="423" spans="1:76">
      <c r="A423" s="324" t="s">
        <v>410</v>
      </c>
      <c r="B423" s="323" t="s">
        <v>64</v>
      </c>
      <c r="C423" s="324">
        <v>207236</v>
      </c>
      <c r="D423" s="320">
        <v>10</v>
      </c>
      <c r="E423" s="308"/>
      <c r="F423" s="309"/>
      <c r="G423" s="310">
        <f t="shared" si="144"/>
        <v>0</v>
      </c>
      <c r="H423" s="311"/>
      <c r="I423" s="312"/>
      <c r="J423" s="313">
        <f t="shared" si="145"/>
        <v>0</v>
      </c>
      <c r="K423" s="308"/>
      <c r="L423" s="309"/>
      <c r="M423" s="310">
        <f t="shared" si="146"/>
        <v>0</v>
      </c>
      <c r="N423" s="311"/>
      <c r="O423" s="312"/>
      <c r="P423" s="313">
        <f t="shared" si="147"/>
        <v>0</v>
      </c>
      <c r="Q423" s="308"/>
      <c r="R423" s="309"/>
      <c r="S423" s="310">
        <f t="shared" si="148"/>
        <v>0</v>
      </c>
      <c r="T423" s="311"/>
      <c r="U423" s="312"/>
      <c r="V423" s="313">
        <f t="shared" si="149"/>
        <v>0</v>
      </c>
      <c r="W423" s="308"/>
      <c r="X423" s="309"/>
      <c r="Y423" s="310">
        <f t="shared" si="150"/>
        <v>0</v>
      </c>
      <c r="Z423" s="311"/>
      <c r="AA423" s="312"/>
      <c r="AB423" s="313">
        <f t="shared" si="151"/>
        <v>0</v>
      </c>
      <c r="AC423" s="308"/>
      <c r="AD423" s="309"/>
      <c r="AE423" s="310">
        <f t="shared" si="152"/>
        <v>0</v>
      </c>
      <c r="AF423" s="311"/>
      <c r="AG423" s="312"/>
      <c r="AH423" s="313">
        <f t="shared" si="153"/>
        <v>0</v>
      </c>
      <c r="AI423" s="308">
        <v>32</v>
      </c>
      <c r="AJ423" s="309">
        <v>40905</v>
      </c>
      <c r="AK423" s="310">
        <f t="shared" si="154"/>
        <v>1308960</v>
      </c>
      <c r="AL423" s="311">
        <v>40</v>
      </c>
      <c r="AM423" s="312">
        <v>41785</v>
      </c>
      <c r="AN423" s="313">
        <f t="shared" si="155"/>
        <v>1671400</v>
      </c>
      <c r="AO423" s="308"/>
      <c r="AP423" s="309"/>
      <c r="AQ423" s="310">
        <f t="shared" si="156"/>
        <v>0</v>
      </c>
      <c r="AR423" s="311"/>
      <c r="AS423" s="312"/>
      <c r="AT423" s="313">
        <f t="shared" si="157"/>
        <v>0</v>
      </c>
      <c r="AU423" s="308"/>
      <c r="AV423" s="309"/>
      <c r="AW423" s="310">
        <f t="shared" si="158"/>
        <v>0</v>
      </c>
      <c r="AX423" s="311"/>
      <c r="AY423" s="312"/>
      <c r="AZ423" s="313">
        <f t="shared" si="159"/>
        <v>0</v>
      </c>
      <c r="BA423" s="308"/>
      <c r="BB423" s="309"/>
      <c r="BC423" s="310">
        <f t="shared" si="160"/>
        <v>0</v>
      </c>
      <c r="BD423" s="311"/>
      <c r="BE423" s="312"/>
      <c r="BF423" s="313">
        <f t="shared" si="161"/>
        <v>0</v>
      </c>
      <c r="BG423" s="308"/>
      <c r="BH423" s="309"/>
      <c r="BI423" s="310">
        <f t="shared" si="162"/>
        <v>0</v>
      </c>
      <c r="BJ423" s="311"/>
      <c r="BK423" s="312"/>
      <c r="BL423" s="313">
        <f t="shared" si="163"/>
        <v>0</v>
      </c>
      <c r="BM423" s="308"/>
      <c r="BN423" s="309"/>
      <c r="BO423" s="310">
        <f t="shared" si="164"/>
        <v>0</v>
      </c>
      <c r="BP423" s="311"/>
      <c r="BQ423" s="312"/>
      <c r="BR423" s="313">
        <f t="shared" si="165"/>
        <v>0</v>
      </c>
      <c r="BS423" s="308">
        <v>10</v>
      </c>
      <c r="BT423" s="309">
        <v>60314</v>
      </c>
      <c r="BU423" s="310">
        <f t="shared" si="166"/>
        <v>493489.14800000004</v>
      </c>
      <c r="BV423" s="311">
        <v>7</v>
      </c>
      <c r="BW423" s="312">
        <v>58448</v>
      </c>
      <c r="BX423" s="313">
        <f t="shared" si="167"/>
        <v>334755.07520000002</v>
      </c>
    </row>
    <row r="424" spans="1:76">
      <c r="A424" s="324" t="s">
        <v>410</v>
      </c>
      <c r="B424" s="323" t="s">
        <v>65</v>
      </c>
      <c r="C424" s="324">
        <v>207290</v>
      </c>
      <c r="D424" s="320">
        <v>10</v>
      </c>
      <c r="E424" s="308"/>
      <c r="F424" s="309"/>
      <c r="G424" s="310">
        <f t="shared" si="144"/>
        <v>0</v>
      </c>
      <c r="H424" s="311"/>
      <c r="I424" s="312"/>
      <c r="J424" s="313">
        <f t="shared" si="145"/>
        <v>0</v>
      </c>
      <c r="K424" s="308"/>
      <c r="L424" s="309"/>
      <c r="M424" s="310">
        <f t="shared" si="146"/>
        <v>0</v>
      </c>
      <c r="N424" s="311"/>
      <c r="O424" s="312"/>
      <c r="P424" s="313">
        <f t="shared" si="147"/>
        <v>0</v>
      </c>
      <c r="Q424" s="308"/>
      <c r="R424" s="309"/>
      <c r="S424" s="310">
        <f t="shared" si="148"/>
        <v>0</v>
      </c>
      <c r="T424" s="311"/>
      <c r="U424" s="312"/>
      <c r="V424" s="313">
        <f t="shared" si="149"/>
        <v>0</v>
      </c>
      <c r="W424" s="308"/>
      <c r="X424" s="309"/>
      <c r="Y424" s="310">
        <f t="shared" si="150"/>
        <v>0</v>
      </c>
      <c r="Z424" s="311"/>
      <c r="AA424" s="312"/>
      <c r="AB424" s="313">
        <f t="shared" si="151"/>
        <v>0</v>
      </c>
      <c r="AC424" s="308"/>
      <c r="AD424" s="309"/>
      <c r="AE424" s="310">
        <f t="shared" si="152"/>
        <v>0</v>
      </c>
      <c r="AF424" s="311"/>
      <c r="AG424" s="312"/>
      <c r="AH424" s="313">
        <f t="shared" si="153"/>
        <v>0</v>
      </c>
      <c r="AI424" s="308">
        <v>69</v>
      </c>
      <c r="AJ424" s="309">
        <v>40246</v>
      </c>
      <c r="AK424" s="310">
        <f t="shared" si="154"/>
        <v>2776974</v>
      </c>
      <c r="AL424" s="311">
        <v>68</v>
      </c>
      <c r="AM424" s="312">
        <v>42105</v>
      </c>
      <c r="AN424" s="313">
        <f t="shared" si="155"/>
        <v>2863140</v>
      </c>
      <c r="AO424" s="308"/>
      <c r="AP424" s="309"/>
      <c r="AQ424" s="310">
        <f t="shared" si="156"/>
        <v>0</v>
      </c>
      <c r="AR424" s="311"/>
      <c r="AS424" s="312"/>
      <c r="AT424" s="313">
        <f t="shared" si="157"/>
        <v>0</v>
      </c>
      <c r="AU424" s="308"/>
      <c r="AV424" s="309"/>
      <c r="AW424" s="310">
        <f t="shared" si="158"/>
        <v>0</v>
      </c>
      <c r="AX424" s="311"/>
      <c r="AY424" s="312"/>
      <c r="AZ424" s="313">
        <f t="shared" si="159"/>
        <v>0</v>
      </c>
      <c r="BA424" s="308"/>
      <c r="BB424" s="309"/>
      <c r="BC424" s="310">
        <f t="shared" si="160"/>
        <v>0</v>
      </c>
      <c r="BD424" s="311"/>
      <c r="BE424" s="312"/>
      <c r="BF424" s="313">
        <f t="shared" si="161"/>
        <v>0</v>
      </c>
      <c r="BG424" s="308"/>
      <c r="BH424" s="309"/>
      <c r="BI424" s="310">
        <f t="shared" si="162"/>
        <v>0</v>
      </c>
      <c r="BJ424" s="311"/>
      <c r="BK424" s="312"/>
      <c r="BL424" s="313">
        <f t="shared" si="163"/>
        <v>0</v>
      </c>
      <c r="BM424" s="308"/>
      <c r="BN424" s="309"/>
      <c r="BO424" s="310">
        <f t="shared" si="164"/>
        <v>0</v>
      </c>
      <c r="BP424" s="311"/>
      <c r="BQ424" s="312"/>
      <c r="BR424" s="313">
        <f t="shared" si="165"/>
        <v>0</v>
      </c>
      <c r="BS424" s="308">
        <v>5</v>
      </c>
      <c r="BT424" s="309">
        <v>56564</v>
      </c>
      <c r="BU424" s="310">
        <f t="shared" si="166"/>
        <v>231403.32400000002</v>
      </c>
      <c r="BV424" s="311">
        <v>5</v>
      </c>
      <c r="BW424" s="312">
        <v>50615</v>
      </c>
      <c r="BX424" s="313">
        <f t="shared" si="167"/>
        <v>207065.965</v>
      </c>
    </row>
    <row r="425" spans="1:76">
      <c r="A425" s="324" t="s">
        <v>410</v>
      </c>
      <c r="B425" s="323" t="s">
        <v>66</v>
      </c>
      <c r="C425" s="324">
        <v>207069</v>
      </c>
      <c r="D425" s="320">
        <v>10</v>
      </c>
      <c r="E425" s="308"/>
      <c r="F425" s="309"/>
      <c r="G425" s="310">
        <f t="shared" si="144"/>
        <v>0</v>
      </c>
      <c r="H425" s="311"/>
      <c r="I425" s="312"/>
      <c r="J425" s="313">
        <f t="shared" si="145"/>
        <v>0</v>
      </c>
      <c r="K425" s="308"/>
      <c r="L425" s="309"/>
      <c r="M425" s="310">
        <f t="shared" si="146"/>
        <v>0</v>
      </c>
      <c r="N425" s="311"/>
      <c r="O425" s="312"/>
      <c r="P425" s="313">
        <f t="shared" si="147"/>
        <v>0</v>
      </c>
      <c r="Q425" s="308"/>
      <c r="R425" s="309"/>
      <c r="S425" s="310">
        <f t="shared" si="148"/>
        <v>0</v>
      </c>
      <c r="T425" s="311"/>
      <c r="U425" s="312"/>
      <c r="V425" s="313">
        <f t="shared" si="149"/>
        <v>0</v>
      </c>
      <c r="W425" s="308"/>
      <c r="X425" s="309"/>
      <c r="Y425" s="310">
        <f t="shared" si="150"/>
        <v>0</v>
      </c>
      <c r="Z425" s="311"/>
      <c r="AA425" s="312"/>
      <c r="AB425" s="313">
        <f t="shared" si="151"/>
        <v>0</v>
      </c>
      <c r="AC425" s="308"/>
      <c r="AD425" s="309"/>
      <c r="AE425" s="310">
        <f t="shared" si="152"/>
        <v>0</v>
      </c>
      <c r="AF425" s="311"/>
      <c r="AG425" s="312"/>
      <c r="AH425" s="313">
        <f t="shared" si="153"/>
        <v>0</v>
      </c>
      <c r="AI425" s="308">
        <v>29</v>
      </c>
      <c r="AJ425" s="309">
        <v>38724</v>
      </c>
      <c r="AK425" s="310">
        <f t="shared" si="154"/>
        <v>1122996</v>
      </c>
      <c r="AL425" s="311">
        <v>28</v>
      </c>
      <c r="AM425" s="312">
        <v>39837</v>
      </c>
      <c r="AN425" s="313">
        <f t="shared" si="155"/>
        <v>1115436</v>
      </c>
      <c r="AO425" s="308"/>
      <c r="AP425" s="309"/>
      <c r="AQ425" s="310">
        <f t="shared" si="156"/>
        <v>0</v>
      </c>
      <c r="AR425" s="311"/>
      <c r="AS425" s="312"/>
      <c r="AT425" s="313">
        <f t="shared" si="157"/>
        <v>0</v>
      </c>
      <c r="AU425" s="308"/>
      <c r="AV425" s="309"/>
      <c r="AW425" s="310">
        <f t="shared" si="158"/>
        <v>0</v>
      </c>
      <c r="AX425" s="311"/>
      <c r="AY425" s="312"/>
      <c r="AZ425" s="313">
        <f t="shared" si="159"/>
        <v>0</v>
      </c>
      <c r="BA425" s="308"/>
      <c r="BB425" s="309"/>
      <c r="BC425" s="310">
        <f t="shared" si="160"/>
        <v>0</v>
      </c>
      <c r="BD425" s="311"/>
      <c r="BE425" s="312"/>
      <c r="BF425" s="313">
        <f t="shared" si="161"/>
        <v>0</v>
      </c>
      <c r="BG425" s="308"/>
      <c r="BH425" s="309"/>
      <c r="BI425" s="310">
        <f t="shared" si="162"/>
        <v>0</v>
      </c>
      <c r="BJ425" s="311"/>
      <c r="BK425" s="312"/>
      <c r="BL425" s="313">
        <f t="shared" si="163"/>
        <v>0</v>
      </c>
      <c r="BM425" s="308"/>
      <c r="BN425" s="309"/>
      <c r="BO425" s="310">
        <f t="shared" si="164"/>
        <v>0</v>
      </c>
      <c r="BP425" s="311"/>
      <c r="BQ425" s="312"/>
      <c r="BR425" s="313">
        <f t="shared" si="165"/>
        <v>0</v>
      </c>
      <c r="BS425" s="308">
        <v>6</v>
      </c>
      <c r="BT425" s="309">
        <v>46050</v>
      </c>
      <c r="BU425" s="310">
        <f t="shared" si="166"/>
        <v>226068.66</v>
      </c>
      <c r="BV425" s="311">
        <v>7</v>
      </c>
      <c r="BW425" s="312">
        <v>48799</v>
      </c>
      <c r="BX425" s="313">
        <f t="shared" si="167"/>
        <v>279491.39260000002</v>
      </c>
    </row>
    <row r="426" spans="1:76">
      <c r="A426" s="324" t="s">
        <v>410</v>
      </c>
      <c r="B426" s="323" t="s">
        <v>67</v>
      </c>
      <c r="C426" s="324">
        <v>207740</v>
      </c>
      <c r="D426" s="320">
        <v>10</v>
      </c>
      <c r="E426" s="308"/>
      <c r="F426" s="309"/>
      <c r="G426" s="310">
        <f t="shared" si="144"/>
        <v>0</v>
      </c>
      <c r="H426" s="311"/>
      <c r="I426" s="312"/>
      <c r="J426" s="313">
        <f t="shared" si="145"/>
        <v>0</v>
      </c>
      <c r="K426" s="308"/>
      <c r="L426" s="309"/>
      <c r="M426" s="310">
        <f t="shared" si="146"/>
        <v>0</v>
      </c>
      <c r="N426" s="311"/>
      <c r="O426" s="312"/>
      <c r="P426" s="313">
        <f t="shared" si="147"/>
        <v>0</v>
      </c>
      <c r="Q426" s="308"/>
      <c r="R426" s="309"/>
      <c r="S426" s="310">
        <f t="shared" si="148"/>
        <v>0</v>
      </c>
      <c r="T426" s="311"/>
      <c r="U426" s="312"/>
      <c r="V426" s="313">
        <f t="shared" si="149"/>
        <v>0</v>
      </c>
      <c r="W426" s="308"/>
      <c r="X426" s="309"/>
      <c r="Y426" s="310">
        <f t="shared" si="150"/>
        <v>0</v>
      </c>
      <c r="Z426" s="311"/>
      <c r="AA426" s="312"/>
      <c r="AB426" s="313">
        <f t="shared" si="151"/>
        <v>0</v>
      </c>
      <c r="AC426" s="308"/>
      <c r="AD426" s="309"/>
      <c r="AE426" s="310">
        <f t="shared" si="152"/>
        <v>0</v>
      </c>
      <c r="AF426" s="311"/>
      <c r="AG426" s="312"/>
      <c r="AH426" s="313">
        <f t="shared" si="153"/>
        <v>0</v>
      </c>
      <c r="AI426" s="308">
        <v>37</v>
      </c>
      <c r="AJ426" s="309">
        <v>42474</v>
      </c>
      <c r="AK426" s="310">
        <f t="shared" si="154"/>
        <v>1571538</v>
      </c>
      <c r="AL426" s="311">
        <v>36</v>
      </c>
      <c r="AM426" s="312">
        <v>43661</v>
      </c>
      <c r="AN426" s="313">
        <f t="shared" si="155"/>
        <v>1571796</v>
      </c>
      <c r="AO426" s="308"/>
      <c r="AP426" s="309"/>
      <c r="AQ426" s="310">
        <f t="shared" si="156"/>
        <v>0</v>
      </c>
      <c r="AR426" s="311"/>
      <c r="AS426" s="312"/>
      <c r="AT426" s="313">
        <f t="shared" si="157"/>
        <v>0</v>
      </c>
      <c r="AU426" s="308"/>
      <c r="AV426" s="309"/>
      <c r="AW426" s="310">
        <f t="shared" si="158"/>
        <v>0</v>
      </c>
      <c r="AX426" s="311"/>
      <c r="AY426" s="312"/>
      <c r="AZ426" s="313">
        <f t="shared" si="159"/>
        <v>0</v>
      </c>
      <c r="BA426" s="308"/>
      <c r="BB426" s="309"/>
      <c r="BC426" s="310">
        <f t="shared" si="160"/>
        <v>0</v>
      </c>
      <c r="BD426" s="311"/>
      <c r="BE426" s="312"/>
      <c r="BF426" s="313">
        <f t="shared" si="161"/>
        <v>0</v>
      </c>
      <c r="BG426" s="308"/>
      <c r="BH426" s="309"/>
      <c r="BI426" s="310">
        <f t="shared" si="162"/>
        <v>0</v>
      </c>
      <c r="BJ426" s="311"/>
      <c r="BK426" s="312"/>
      <c r="BL426" s="313">
        <f t="shared" si="163"/>
        <v>0</v>
      </c>
      <c r="BM426" s="308"/>
      <c r="BN426" s="309"/>
      <c r="BO426" s="310">
        <f t="shared" si="164"/>
        <v>0</v>
      </c>
      <c r="BP426" s="311"/>
      <c r="BQ426" s="312"/>
      <c r="BR426" s="313">
        <f t="shared" si="165"/>
        <v>0</v>
      </c>
      <c r="BS426" s="308">
        <v>9</v>
      </c>
      <c r="BT426" s="309">
        <v>43043</v>
      </c>
      <c r="BU426" s="310">
        <f t="shared" si="166"/>
        <v>316960.04340000002</v>
      </c>
      <c r="BV426" s="311">
        <v>10</v>
      </c>
      <c r="BW426" s="312">
        <v>45326</v>
      </c>
      <c r="BX426" s="313">
        <f t="shared" si="167"/>
        <v>370857.33199999999</v>
      </c>
    </row>
    <row r="427" spans="1:76">
      <c r="A427" s="324" t="s">
        <v>410</v>
      </c>
      <c r="B427" s="323" t="s">
        <v>68</v>
      </c>
      <c r="C427" s="324">
        <v>208035</v>
      </c>
      <c r="D427" s="320">
        <v>10</v>
      </c>
      <c r="E427" s="308"/>
      <c r="F427" s="309"/>
      <c r="G427" s="310">
        <f t="shared" si="144"/>
        <v>0</v>
      </c>
      <c r="H427" s="311"/>
      <c r="I427" s="312"/>
      <c r="J427" s="313">
        <f t="shared" si="145"/>
        <v>0</v>
      </c>
      <c r="K427" s="308"/>
      <c r="L427" s="309"/>
      <c r="M427" s="310">
        <f t="shared" si="146"/>
        <v>0</v>
      </c>
      <c r="N427" s="311"/>
      <c r="O427" s="312"/>
      <c r="P427" s="313">
        <f t="shared" si="147"/>
        <v>0</v>
      </c>
      <c r="Q427" s="308"/>
      <c r="R427" s="309"/>
      <c r="S427" s="310">
        <f t="shared" si="148"/>
        <v>0</v>
      </c>
      <c r="T427" s="311"/>
      <c r="U427" s="312"/>
      <c r="V427" s="313">
        <f t="shared" si="149"/>
        <v>0</v>
      </c>
      <c r="W427" s="308"/>
      <c r="X427" s="309"/>
      <c r="Y427" s="310">
        <f t="shared" si="150"/>
        <v>0</v>
      </c>
      <c r="Z427" s="311"/>
      <c r="AA427" s="312"/>
      <c r="AB427" s="313">
        <f t="shared" si="151"/>
        <v>0</v>
      </c>
      <c r="AC427" s="308"/>
      <c r="AD427" s="309"/>
      <c r="AE427" s="310">
        <f t="shared" si="152"/>
        <v>0</v>
      </c>
      <c r="AF427" s="311"/>
      <c r="AG427" s="312"/>
      <c r="AH427" s="313">
        <f t="shared" si="153"/>
        <v>0</v>
      </c>
      <c r="AI427" s="308">
        <v>40</v>
      </c>
      <c r="AJ427" s="309">
        <v>42406</v>
      </c>
      <c r="AK427" s="310">
        <f t="shared" si="154"/>
        <v>1696240</v>
      </c>
      <c r="AL427" s="311">
        <v>41</v>
      </c>
      <c r="AM427" s="312">
        <v>43923</v>
      </c>
      <c r="AN427" s="313">
        <f t="shared" si="155"/>
        <v>1800843</v>
      </c>
      <c r="AO427" s="308"/>
      <c r="AP427" s="309"/>
      <c r="AQ427" s="310">
        <f t="shared" si="156"/>
        <v>0</v>
      </c>
      <c r="AR427" s="311"/>
      <c r="AS427" s="312"/>
      <c r="AT427" s="313">
        <f t="shared" si="157"/>
        <v>0</v>
      </c>
      <c r="AU427" s="308"/>
      <c r="AV427" s="309"/>
      <c r="AW427" s="310">
        <f t="shared" si="158"/>
        <v>0</v>
      </c>
      <c r="AX427" s="311"/>
      <c r="AY427" s="312"/>
      <c r="AZ427" s="313">
        <f t="shared" si="159"/>
        <v>0</v>
      </c>
      <c r="BA427" s="308"/>
      <c r="BB427" s="309"/>
      <c r="BC427" s="310">
        <f t="shared" si="160"/>
        <v>0</v>
      </c>
      <c r="BD427" s="311"/>
      <c r="BE427" s="312"/>
      <c r="BF427" s="313">
        <f t="shared" si="161"/>
        <v>0</v>
      </c>
      <c r="BG427" s="308"/>
      <c r="BH427" s="309"/>
      <c r="BI427" s="310">
        <f t="shared" si="162"/>
        <v>0</v>
      </c>
      <c r="BJ427" s="311"/>
      <c r="BK427" s="312"/>
      <c r="BL427" s="313">
        <f t="shared" si="163"/>
        <v>0</v>
      </c>
      <c r="BM427" s="308"/>
      <c r="BN427" s="309"/>
      <c r="BO427" s="310">
        <f t="shared" si="164"/>
        <v>0</v>
      </c>
      <c r="BP427" s="311"/>
      <c r="BQ427" s="312"/>
      <c r="BR427" s="313">
        <f t="shared" si="165"/>
        <v>0</v>
      </c>
      <c r="BS427" s="308">
        <v>4</v>
      </c>
      <c r="BT427" s="309">
        <v>50362</v>
      </c>
      <c r="BU427" s="310">
        <f t="shared" si="166"/>
        <v>164824.7536</v>
      </c>
      <c r="BV427" s="311">
        <v>4</v>
      </c>
      <c r="BW427" s="312">
        <v>51696</v>
      </c>
      <c r="BX427" s="313">
        <f t="shared" si="167"/>
        <v>169190.66880000001</v>
      </c>
    </row>
    <row r="428" spans="1:76">
      <c r="A428" s="314" t="s">
        <v>410</v>
      </c>
      <c r="B428" s="315" t="s">
        <v>586</v>
      </c>
      <c r="C428" s="314">
        <v>245999</v>
      </c>
      <c r="D428" s="314">
        <v>12</v>
      </c>
      <c r="E428" s="308"/>
      <c r="F428" s="309"/>
      <c r="G428" s="310">
        <f t="shared" si="144"/>
        <v>0</v>
      </c>
      <c r="H428" s="311"/>
      <c r="I428" s="312"/>
      <c r="J428" s="313">
        <f t="shared" si="145"/>
        <v>0</v>
      </c>
      <c r="K428" s="308"/>
      <c r="L428" s="309"/>
      <c r="M428" s="310">
        <f t="shared" si="146"/>
        <v>0</v>
      </c>
      <c r="N428" s="311"/>
      <c r="O428" s="312"/>
      <c r="P428" s="313">
        <f t="shared" si="147"/>
        <v>0</v>
      </c>
      <c r="Q428" s="308"/>
      <c r="R428" s="309"/>
      <c r="S428" s="310">
        <f t="shared" si="148"/>
        <v>0</v>
      </c>
      <c r="T428" s="311"/>
      <c r="U428" s="312"/>
      <c r="V428" s="313">
        <f t="shared" si="149"/>
        <v>0</v>
      </c>
      <c r="W428" s="308"/>
      <c r="X428" s="309"/>
      <c r="Y428" s="310">
        <f t="shared" si="150"/>
        <v>0</v>
      </c>
      <c r="Z428" s="311"/>
      <c r="AA428" s="312"/>
      <c r="AB428" s="313">
        <f t="shared" si="151"/>
        <v>0</v>
      </c>
      <c r="AC428" s="308"/>
      <c r="AD428" s="309"/>
      <c r="AE428" s="310">
        <f t="shared" si="152"/>
        <v>0</v>
      </c>
      <c r="AF428" s="311"/>
      <c r="AG428" s="312"/>
      <c r="AH428" s="313">
        <f t="shared" si="153"/>
        <v>0</v>
      </c>
      <c r="AI428" s="308">
        <v>72</v>
      </c>
      <c r="AJ428" s="309">
        <v>57183.26</v>
      </c>
      <c r="AK428" s="310">
        <f t="shared" si="154"/>
        <v>4117194.72</v>
      </c>
      <c r="AL428" s="311">
        <v>71</v>
      </c>
      <c r="AM428" s="312">
        <v>58379</v>
      </c>
      <c r="AN428" s="313">
        <f t="shared" si="155"/>
        <v>4144909</v>
      </c>
      <c r="AO428" s="308"/>
      <c r="AP428" s="309"/>
      <c r="AQ428" s="310">
        <f t="shared" si="156"/>
        <v>0</v>
      </c>
      <c r="AR428" s="311"/>
      <c r="AS428" s="312"/>
      <c r="AT428" s="313">
        <f t="shared" si="157"/>
        <v>0</v>
      </c>
      <c r="AU428" s="308"/>
      <c r="AV428" s="309"/>
      <c r="AW428" s="310">
        <f t="shared" si="158"/>
        <v>0</v>
      </c>
      <c r="AX428" s="311"/>
      <c r="AY428" s="312"/>
      <c r="AZ428" s="313">
        <f t="shared" si="159"/>
        <v>0</v>
      </c>
      <c r="BA428" s="308"/>
      <c r="BB428" s="309"/>
      <c r="BC428" s="310">
        <f t="shared" si="160"/>
        <v>0</v>
      </c>
      <c r="BD428" s="311"/>
      <c r="BE428" s="312"/>
      <c r="BF428" s="313">
        <f t="shared" si="161"/>
        <v>0</v>
      </c>
      <c r="BG428" s="308"/>
      <c r="BH428" s="309"/>
      <c r="BI428" s="310">
        <f t="shared" si="162"/>
        <v>0</v>
      </c>
      <c r="BJ428" s="311"/>
      <c r="BK428" s="312"/>
      <c r="BL428" s="313">
        <f t="shared" si="163"/>
        <v>0</v>
      </c>
      <c r="BM428" s="308"/>
      <c r="BN428" s="309"/>
      <c r="BO428" s="310">
        <f t="shared" si="164"/>
        <v>0</v>
      </c>
      <c r="BP428" s="311"/>
      <c r="BQ428" s="312"/>
      <c r="BR428" s="313">
        <f t="shared" si="165"/>
        <v>0</v>
      </c>
      <c r="BS428" s="308">
        <v>23</v>
      </c>
      <c r="BT428" s="309">
        <v>63687.65</v>
      </c>
      <c r="BU428" s="310">
        <f t="shared" si="166"/>
        <v>1198512.41029</v>
      </c>
      <c r="BV428" s="311">
        <v>21</v>
      </c>
      <c r="BW428" s="312">
        <v>65490</v>
      </c>
      <c r="BX428" s="313">
        <f t="shared" si="167"/>
        <v>1125262.2780000002</v>
      </c>
    </row>
    <row r="429" spans="1:76">
      <c r="A429" s="314" t="s">
        <v>410</v>
      </c>
      <c r="B429" s="315" t="s">
        <v>587</v>
      </c>
      <c r="C429" s="314">
        <v>364548</v>
      </c>
      <c r="D429" s="314">
        <v>12</v>
      </c>
      <c r="E429" s="308"/>
      <c r="F429" s="309"/>
      <c r="G429" s="310">
        <f t="shared" si="144"/>
        <v>0</v>
      </c>
      <c r="H429" s="311"/>
      <c r="I429" s="312"/>
      <c r="J429" s="313">
        <f t="shared" si="145"/>
        <v>0</v>
      </c>
      <c r="K429" s="308"/>
      <c r="L429" s="309"/>
      <c r="M429" s="310">
        <f t="shared" si="146"/>
        <v>0</v>
      </c>
      <c r="N429" s="311"/>
      <c r="O429" s="312"/>
      <c r="P429" s="313">
        <f t="shared" si="147"/>
        <v>0</v>
      </c>
      <c r="Q429" s="308"/>
      <c r="R429" s="309"/>
      <c r="S429" s="310">
        <f t="shared" si="148"/>
        <v>0</v>
      </c>
      <c r="T429" s="311"/>
      <c r="U429" s="312"/>
      <c r="V429" s="313">
        <f t="shared" si="149"/>
        <v>0</v>
      </c>
      <c r="W429" s="308"/>
      <c r="X429" s="309"/>
      <c r="Y429" s="310">
        <f t="shared" si="150"/>
        <v>0</v>
      </c>
      <c r="Z429" s="311"/>
      <c r="AA429" s="312"/>
      <c r="AB429" s="313">
        <f t="shared" si="151"/>
        <v>0</v>
      </c>
      <c r="AC429" s="308"/>
      <c r="AD429" s="309"/>
      <c r="AE429" s="310">
        <f t="shared" si="152"/>
        <v>0</v>
      </c>
      <c r="AF429" s="311"/>
      <c r="AG429" s="312"/>
      <c r="AH429" s="313">
        <f t="shared" si="153"/>
        <v>0</v>
      </c>
      <c r="AI429" s="308">
        <v>28</v>
      </c>
      <c r="AJ429" s="309">
        <v>46418.75</v>
      </c>
      <c r="AK429" s="310">
        <f t="shared" si="154"/>
        <v>1299725</v>
      </c>
      <c r="AL429" s="311">
        <v>29</v>
      </c>
      <c r="AM429" s="312">
        <v>47293</v>
      </c>
      <c r="AN429" s="313">
        <f t="shared" si="155"/>
        <v>1371497</v>
      </c>
      <c r="AO429" s="308"/>
      <c r="AP429" s="309"/>
      <c r="AQ429" s="310">
        <f t="shared" si="156"/>
        <v>0</v>
      </c>
      <c r="AR429" s="311"/>
      <c r="AS429" s="312"/>
      <c r="AT429" s="313">
        <f t="shared" si="157"/>
        <v>0</v>
      </c>
      <c r="AU429" s="308"/>
      <c r="AV429" s="309"/>
      <c r="AW429" s="310">
        <f t="shared" si="158"/>
        <v>0</v>
      </c>
      <c r="AX429" s="311"/>
      <c r="AY429" s="312"/>
      <c r="AZ429" s="313">
        <f t="shared" si="159"/>
        <v>0</v>
      </c>
      <c r="BA429" s="308"/>
      <c r="BB429" s="309"/>
      <c r="BC429" s="310">
        <f t="shared" si="160"/>
        <v>0</v>
      </c>
      <c r="BD429" s="311"/>
      <c r="BE429" s="312"/>
      <c r="BF429" s="313">
        <f t="shared" si="161"/>
        <v>0</v>
      </c>
      <c r="BG429" s="308"/>
      <c r="BH429" s="309"/>
      <c r="BI429" s="310">
        <f t="shared" si="162"/>
        <v>0</v>
      </c>
      <c r="BJ429" s="311"/>
      <c r="BK429" s="312"/>
      <c r="BL429" s="313">
        <f t="shared" si="163"/>
        <v>0</v>
      </c>
      <c r="BM429" s="308"/>
      <c r="BN429" s="309"/>
      <c r="BO429" s="310">
        <f t="shared" si="164"/>
        <v>0</v>
      </c>
      <c r="BP429" s="311"/>
      <c r="BQ429" s="312"/>
      <c r="BR429" s="313">
        <f t="shared" si="165"/>
        <v>0</v>
      </c>
      <c r="BS429" s="308">
        <v>23</v>
      </c>
      <c r="BT429" s="309">
        <v>52773.04</v>
      </c>
      <c r="BU429" s="310">
        <f t="shared" si="166"/>
        <v>993114.73054399993</v>
      </c>
      <c r="BV429" s="311">
        <v>22</v>
      </c>
      <c r="BW429" s="312">
        <v>52345</v>
      </c>
      <c r="BX429" s="313">
        <f t="shared" si="167"/>
        <v>942230.93800000008</v>
      </c>
    </row>
    <row r="430" spans="1:76">
      <c r="A430" s="314" t="s">
        <v>410</v>
      </c>
      <c r="B430" s="315" t="s">
        <v>588</v>
      </c>
      <c r="C430" s="314">
        <v>363165</v>
      </c>
      <c r="D430" s="314">
        <v>12</v>
      </c>
      <c r="E430" s="308"/>
      <c r="F430" s="309"/>
      <c r="G430" s="310">
        <f t="shared" si="144"/>
        <v>0</v>
      </c>
      <c r="H430" s="311"/>
      <c r="I430" s="312"/>
      <c r="J430" s="313">
        <f t="shared" si="145"/>
        <v>0</v>
      </c>
      <c r="K430" s="308"/>
      <c r="L430" s="309"/>
      <c r="M430" s="310">
        <f t="shared" si="146"/>
        <v>0</v>
      </c>
      <c r="N430" s="311"/>
      <c r="O430" s="312"/>
      <c r="P430" s="313">
        <f t="shared" si="147"/>
        <v>0</v>
      </c>
      <c r="Q430" s="308"/>
      <c r="R430" s="309"/>
      <c r="S430" s="310">
        <f t="shared" si="148"/>
        <v>0</v>
      </c>
      <c r="T430" s="311"/>
      <c r="U430" s="312"/>
      <c r="V430" s="313">
        <f t="shared" si="149"/>
        <v>0</v>
      </c>
      <c r="W430" s="308"/>
      <c r="X430" s="309"/>
      <c r="Y430" s="310">
        <f t="shared" si="150"/>
        <v>0</v>
      </c>
      <c r="Z430" s="311"/>
      <c r="AA430" s="312"/>
      <c r="AB430" s="313">
        <f t="shared" si="151"/>
        <v>0</v>
      </c>
      <c r="AC430" s="308"/>
      <c r="AD430" s="309"/>
      <c r="AE430" s="310">
        <f t="shared" si="152"/>
        <v>0</v>
      </c>
      <c r="AF430" s="311"/>
      <c r="AG430" s="312"/>
      <c r="AH430" s="313">
        <f t="shared" si="153"/>
        <v>0</v>
      </c>
      <c r="AI430" s="308">
        <v>42</v>
      </c>
      <c r="AJ430" s="309">
        <v>49449.05</v>
      </c>
      <c r="AK430" s="310">
        <f t="shared" si="154"/>
        <v>2076860.1</v>
      </c>
      <c r="AL430" s="311">
        <v>34</v>
      </c>
      <c r="AM430" s="312">
        <v>51437</v>
      </c>
      <c r="AN430" s="313">
        <f t="shared" si="155"/>
        <v>1748858</v>
      </c>
      <c r="AO430" s="308"/>
      <c r="AP430" s="309"/>
      <c r="AQ430" s="310">
        <f t="shared" si="156"/>
        <v>0</v>
      </c>
      <c r="AR430" s="311"/>
      <c r="AS430" s="312"/>
      <c r="AT430" s="313">
        <f t="shared" si="157"/>
        <v>0</v>
      </c>
      <c r="AU430" s="308"/>
      <c r="AV430" s="309"/>
      <c r="AW430" s="310">
        <f t="shared" si="158"/>
        <v>0</v>
      </c>
      <c r="AX430" s="311"/>
      <c r="AY430" s="312"/>
      <c r="AZ430" s="313">
        <f t="shared" si="159"/>
        <v>0</v>
      </c>
      <c r="BA430" s="308"/>
      <c r="BB430" s="309"/>
      <c r="BC430" s="310">
        <f t="shared" si="160"/>
        <v>0</v>
      </c>
      <c r="BD430" s="311"/>
      <c r="BE430" s="312"/>
      <c r="BF430" s="313">
        <f t="shared" si="161"/>
        <v>0</v>
      </c>
      <c r="BG430" s="308"/>
      <c r="BH430" s="309"/>
      <c r="BI430" s="310">
        <f t="shared" si="162"/>
        <v>0</v>
      </c>
      <c r="BJ430" s="311"/>
      <c r="BK430" s="312"/>
      <c r="BL430" s="313">
        <f t="shared" si="163"/>
        <v>0</v>
      </c>
      <c r="BM430" s="308"/>
      <c r="BN430" s="309"/>
      <c r="BO430" s="310">
        <f t="shared" si="164"/>
        <v>0</v>
      </c>
      <c r="BP430" s="311"/>
      <c r="BQ430" s="312"/>
      <c r="BR430" s="313">
        <f t="shared" si="165"/>
        <v>0</v>
      </c>
      <c r="BS430" s="308">
        <v>37</v>
      </c>
      <c r="BT430" s="309">
        <v>54426.68</v>
      </c>
      <c r="BU430" s="310">
        <f t="shared" si="166"/>
        <v>1647680.6543119999</v>
      </c>
      <c r="BV430" s="311"/>
      <c r="BW430" s="312"/>
      <c r="BX430" s="313">
        <f t="shared" si="167"/>
        <v>0</v>
      </c>
    </row>
    <row r="431" spans="1:76">
      <c r="A431" s="314" t="s">
        <v>410</v>
      </c>
      <c r="B431" s="431" t="s">
        <v>214</v>
      </c>
      <c r="C431" s="314">
        <v>248606</v>
      </c>
      <c r="D431" s="314">
        <v>12</v>
      </c>
      <c r="E431" s="308"/>
      <c r="F431" s="309"/>
      <c r="G431" s="310">
        <f t="shared" si="144"/>
        <v>0</v>
      </c>
      <c r="H431" s="311"/>
      <c r="I431" s="312"/>
      <c r="J431" s="313">
        <f t="shared" si="145"/>
        <v>0</v>
      </c>
      <c r="K431" s="308"/>
      <c r="L431" s="309"/>
      <c r="M431" s="310">
        <f t="shared" si="146"/>
        <v>0</v>
      </c>
      <c r="N431" s="311"/>
      <c r="O431" s="312"/>
      <c r="P431" s="313">
        <f t="shared" si="147"/>
        <v>0</v>
      </c>
      <c r="Q431" s="308"/>
      <c r="R431" s="309"/>
      <c r="S431" s="310">
        <f t="shared" si="148"/>
        <v>0</v>
      </c>
      <c r="T431" s="311"/>
      <c r="U431" s="312"/>
      <c r="V431" s="313">
        <f t="shared" si="149"/>
        <v>0</v>
      </c>
      <c r="W431" s="308"/>
      <c r="X431" s="309"/>
      <c r="Y431" s="310">
        <f t="shared" si="150"/>
        <v>0</v>
      </c>
      <c r="Z431" s="311"/>
      <c r="AA431" s="312"/>
      <c r="AB431" s="313">
        <f t="shared" si="151"/>
        <v>0</v>
      </c>
      <c r="AC431" s="308"/>
      <c r="AD431" s="309"/>
      <c r="AE431" s="310">
        <f t="shared" si="152"/>
        <v>0</v>
      </c>
      <c r="AF431" s="311"/>
      <c r="AG431" s="312"/>
      <c r="AH431" s="313">
        <f t="shared" si="153"/>
        <v>0</v>
      </c>
      <c r="AI431" s="308">
        <v>49</v>
      </c>
      <c r="AJ431" s="309">
        <v>55724.37</v>
      </c>
      <c r="AK431" s="310">
        <f t="shared" si="154"/>
        <v>2730494.1300000004</v>
      </c>
      <c r="AL431" s="311">
        <v>47</v>
      </c>
      <c r="AM431" s="312">
        <v>56398</v>
      </c>
      <c r="AN431" s="313">
        <f t="shared" si="155"/>
        <v>2650706</v>
      </c>
      <c r="AO431" s="308"/>
      <c r="AP431" s="309"/>
      <c r="AQ431" s="310">
        <f t="shared" si="156"/>
        <v>0</v>
      </c>
      <c r="AR431" s="311"/>
      <c r="AS431" s="312"/>
      <c r="AT431" s="313">
        <f t="shared" si="157"/>
        <v>0</v>
      </c>
      <c r="AU431" s="308"/>
      <c r="AV431" s="309"/>
      <c r="AW431" s="310">
        <f t="shared" si="158"/>
        <v>0</v>
      </c>
      <c r="AX431" s="311"/>
      <c r="AY431" s="312"/>
      <c r="AZ431" s="313">
        <f t="shared" si="159"/>
        <v>0</v>
      </c>
      <c r="BA431" s="308"/>
      <c r="BB431" s="309"/>
      <c r="BC431" s="310">
        <f t="shared" si="160"/>
        <v>0</v>
      </c>
      <c r="BD431" s="311"/>
      <c r="BE431" s="312"/>
      <c r="BF431" s="313">
        <f t="shared" si="161"/>
        <v>0</v>
      </c>
      <c r="BG431" s="308"/>
      <c r="BH431" s="309"/>
      <c r="BI431" s="310">
        <f t="shared" si="162"/>
        <v>0</v>
      </c>
      <c r="BJ431" s="311"/>
      <c r="BK431" s="312"/>
      <c r="BL431" s="313">
        <f t="shared" si="163"/>
        <v>0</v>
      </c>
      <c r="BM431" s="308"/>
      <c r="BN431" s="309"/>
      <c r="BO431" s="310">
        <f t="shared" si="164"/>
        <v>0</v>
      </c>
      <c r="BP431" s="311"/>
      <c r="BQ431" s="312"/>
      <c r="BR431" s="313">
        <f t="shared" si="165"/>
        <v>0</v>
      </c>
      <c r="BS431" s="308"/>
      <c r="BT431" s="309"/>
      <c r="BU431" s="310">
        <f t="shared" si="166"/>
        <v>0</v>
      </c>
      <c r="BV431" s="311">
        <v>1</v>
      </c>
      <c r="BW431" s="312">
        <v>48628</v>
      </c>
      <c r="BX431" s="313">
        <f t="shared" si="167"/>
        <v>39787.429600000003</v>
      </c>
    </row>
    <row r="432" spans="1:76">
      <c r="A432" s="314" t="s">
        <v>410</v>
      </c>
      <c r="B432" s="315" t="s">
        <v>589</v>
      </c>
      <c r="C432" s="314">
        <v>365213</v>
      </c>
      <c r="D432" s="314">
        <v>13</v>
      </c>
      <c r="E432" s="308"/>
      <c r="F432" s="309"/>
      <c r="G432" s="310">
        <f t="shared" si="144"/>
        <v>0</v>
      </c>
      <c r="H432" s="311"/>
      <c r="I432" s="312"/>
      <c r="J432" s="313">
        <f t="shared" si="145"/>
        <v>0</v>
      </c>
      <c r="K432" s="308"/>
      <c r="L432" s="309"/>
      <c r="M432" s="310">
        <f t="shared" si="146"/>
        <v>0</v>
      </c>
      <c r="N432" s="311"/>
      <c r="O432" s="312"/>
      <c r="P432" s="313">
        <f t="shared" si="147"/>
        <v>0</v>
      </c>
      <c r="Q432" s="308"/>
      <c r="R432" s="309"/>
      <c r="S432" s="310">
        <f t="shared" si="148"/>
        <v>0</v>
      </c>
      <c r="T432" s="311"/>
      <c r="U432" s="312"/>
      <c r="V432" s="313">
        <f t="shared" si="149"/>
        <v>0</v>
      </c>
      <c r="W432" s="308"/>
      <c r="X432" s="309"/>
      <c r="Y432" s="310">
        <f t="shared" si="150"/>
        <v>0</v>
      </c>
      <c r="Z432" s="311"/>
      <c r="AA432" s="312"/>
      <c r="AB432" s="313">
        <f t="shared" si="151"/>
        <v>0</v>
      </c>
      <c r="AC432" s="308"/>
      <c r="AD432" s="309"/>
      <c r="AE432" s="310">
        <f t="shared" si="152"/>
        <v>0</v>
      </c>
      <c r="AF432" s="311"/>
      <c r="AG432" s="312"/>
      <c r="AH432" s="313">
        <f t="shared" si="153"/>
        <v>0</v>
      </c>
      <c r="AI432" s="308">
        <v>16</v>
      </c>
      <c r="AJ432" s="309">
        <v>49593.93</v>
      </c>
      <c r="AK432" s="310">
        <f t="shared" si="154"/>
        <v>793502.88</v>
      </c>
      <c r="AL432" s="311">
        <v>16</v>
      </c>
      <c r="AM432" s="312">
        <v>49691</v>
      </c>
      <c r="AN432" s="313">
        <f t="shared" si="155"/>
        <v>795056</v>
      </c>
      <c r="AO432" s="308"/>
      <c r="AP432" s="309"/>
      <c r="AQ432" s="310">
        <f t="shared" si="156"/>
        <v>0</v>
      </c>
      <c r="AR432" s="311"/>
      <c r="AS432" s="312"/>
      <c r="AT432" s="313">
        <f t="shared" si="157"/>
        <v>0</v>
      </c>
      <c r="AU432" s="308"/>
      <c r="AV432" s="309"/>
      <c r="AW432" s="310">
        <f t="shared" si="158"/>
        <v>0</v>
      </c>
      <c r="AX432" s="311"/>
      <c r="AY432" s="312"/>
      <c r="AZ432" s="313">
        <f t="shared" si="159"/>
        <v>0</v>
      </c>
      <c r="BA432" s="308"/>
      <c r="BB432" s="309"/>
      <c r="BC432" s="310">
        <f t="shared" si="160"/>
        <v>0</v>
      </c>
      <c r="BD432" s="311"/>
      <c r="BE432" s="312"/>
      <c r="BF432" s="313">
        <f t="shared" si="161"/>
        <v>0</v>
      </c>
      <c r="BG432" s="308"/>
      <c r="BH432" s="309"/>
      <c r="BI432" s="310">
        <f t="shared" si="162"/>
        <v>0</v>
      </c>
      <c r="BJ432" s="311"/>
      <c r="BK432" s="312"/>
      <c r="BL432" s="313">
        <f t="shared" si="163"/>
        <v>0</v>
      </c>
      <c r="BM432" s="308"/>
      <c r="BN432" s="309"/>
      <c r="BO432" s="310">
        <f t="shared" si="164"/>
        <v>0</v>
      </c>
      <c r="BP432" s="311"/>
      <c r="BQ432" s="312"/>
      <c r="BR432" s="313">
        <f t="shared" si="165"/>
        <v>0</v>
      </c>
      <c r="BS432" s="308">
        <v>12</v>
      </c>
      <c r="BT432" s="309">
        <v>58495</v>
      </c>
      <c r="BU432" s="310">
        <f t="shared" si="166"/>
        <v>574327.30800000008</v>
      </c>
      <c r="BV432" s="311">
        <v>13</v>
      </c>
      <c r="BW432" s="312">
        <v>60765</v>
      </c>
      <c r="BX432" s="313">
        <f t="shared" si="167"/>
        <v>646332.99900000007</v>
      </c>
    </row>
    <row r="433" spans="1:76">
      <c r="A433" s="314" t="s">
        <v>410</v>
      </c>
      <c r="B433" s="315" t="s">
        <v>590</v>
      </c>
      <c r="C433" s="314">
        <v>364946</v>
      </c>
      <c r="D433" s="314">
        <v>13</v>
      </c>
      <c r="E433" s="308"/>
      <c r="F433" s="309"/>
      <c r="G433" s="310">
        <f t="shared" si="144"/>
        <v>0</v>
      </c>
      <c r="H433" s="311"/>
      <c r="I433" s="312"/>
      <c r="J433" s="313">
        <f t="shared" si="145"/>
        <v>0</v>
      </c>
      <c r="K433" s="308"/>
      <c r="L433" s="309"/>
      <c r="M433" s="310">
        <f t="shared" si="146"/>
        <v>0</v>
      </c>
      <c r="N433" s="311"/>
      <c r="O433" s="312"/>
      <c r="P433" s="313">
        <f t="shared" si="147"/>
        <v>0</v>
      </c>
      <c r="Q433" s="308"/>
      <c r="R433" s="309"/>
      <c r="S433" s="310">
        <f t="shared" si="148"/>
        <v>0</v>
      </c>
      <c r="T433" s="311"/>
      <c r="U433" s="312"/>
      <c r="V433" s="313">
        <f t="shared" si="149"/>
        <v>0</v>
      </c>
      <c r="W433" s="308"/>
      <c r="X433" s="309"/>
      <c r="Y433" s="310">
        <f t="shared" si="150"/>
        <v>0</v>
      </c>
      <c r="Z433" s="311"/>
      <c r="AA433" s="312"/>
      <c r="AB433" s="313">
        <f t="shared" si="151"/>
        <v>0</v>
      </c>
      <c r="AC433" s="308"/>
      <c r="AD433" s="309"/>
      <c r="AE433" s="310">
        <f t="shared" si="152"/>
        <v>0</v>
      </c>
      <c r="AF433" s="311"/>
      <c r="AG433" s="312"/>
      <c r="AH433" s="313">
        <f t="shared" si="153"/>
        <v>0</v>
      </c>
      <c r="AI433" s="308">
        <v>25</v>
      </c>
      <c r="AJ433" s="309">
        <v>45434.36</v>
      </c>
      <c r="AK433" s="310">
        <f t="shared" si="154"/>
        <v>1135859</v>
      </c>
      <c r="AL433" s="311">
        <v>23</v>
      </c>
      <c r="AM433" s="312">
        <v>45918</v>
      </c>
      <c r="AN433" s="313">
        <f t="shared" si="155"/>
        <v>1056114</v>
      </c>
      <c r="AO433" s="308"/>
      <c r="AP433" s="309"/>
      <c r="AQ433" s="310">
        <f t="shared" si="156"/>
        <v>0</v>
      </c>
      <c r="AR433" s="311"/>
      <c r="AS433" s="312"/>
      <c r="AT433" s="313">
        <f t="shared" si="157"/>
        <v>0</v>
      </c>
      <c r="AU433" s="308"/>
      <c r="AV433" s="309"/>
      <c r="AW433" s="310">
        <f t="shared" si="158"/>
        <v>0</v>
      </c>
      <c r="AX433" s="311"/>
      <c r="AY433" s="312"/>
      <c r="AZ433" s="313">
        <f t="shared" si="159"/>
        <v>0</v>
      </c>
      <c r="BA433" s="308"/>
      <c r="BB433" s="309"/>
      <c r="BC433" s="310">
        <f t="shared" si="160"/>
        <v>0</v>
      </c>
      <c r="BD433" s="311"/>
      <c r="BE433" s="312"/>
      <c r="BF433" s="313">
        <f t="shared" si="161"/>
        <v>0</v>
      </c>
      <c r="BG433" s="308"/>
      <c r="BH433" s="309"/>
      <c r="BI433" s="310">
        <f t="shared" si="162"/>
        <v>0</v>
      </c>
      <c r="BJ433" s="311"/>
      <c r="BK433" s="312"/>
      <c r="BL433" s="313">
        <f t="shared" si="163"/>
        <v>0</v>
      </c>
      <c r="BM433" s="308"/>
      <c r="BN433" s="309"/>
      <c r="BO433" s="310">
        <f t="shared" si="164"/>
        <v>0</v>
      </c>
      <c r="BP433" s="311"/>
      <c r="BQ433" s="312"/>
      <c r="BR433" s="313">
        <f t="shared" si="165"/>
        <v>0</v>
      </c>
      <c r="BS433" s="308">
        <v>14</v>
      </c>
      <c r="BT433" s="309">
        <v>51574.21</v>
      </c>
      <c r="BU433" s="310">
        <f t="shared" si="166"/>
        <v>590772.26070799993</v>
      </c>
      <c r="BV433" s="311">
        <v>14</v>
      </c>
      <c r="BW433" s="312">
        <v>52071</v>
      </c>
      <c r="BX433" s="313">
        <f t="shared" si="167"/>
        <v>596462.89080000005</v>
      </c>
    </row>
    <row r="434" spans="1:76">
      <c r="A434" s="314" t="s">
        <v>410</v>
      </c>
      <c r="B434" s="431" t="s">
        <v>215</v>
      </c>
      <c r="C434" s="314">
        <v>365374</v>
      </c>
      <c r="D434" s="314">
        <v>13</v>
      </c>
      <c r="E434" s="308"/>
      <c r="F434" s="309"/>
      <c r="G434" s="310">
        <f t="shared" si="144"/>
        <v>0</v>
      </c>
      <c r="H434" s="311"/>
      <c r="I434" s="312"/>
      <c r="J434" s="313">
        <f t="shared" si="145"/>
        <v>0</v>
      </c>
      <c r="K434" s="308"/>
      <c r="L434" s="309"/>
      <c r="M434" s="310">
        <f t="shared" si="146"/>
        <v>0</v>
      </c>
      <c r="N434" s="311"/>
      <c r="O434" s="312"/>
      <c r="P434" s="313">
        <f t="shared" si="147"/>
        <v>0</v>
      </c>
      <c r="Q434" s="308"/>
      <c r="R434" s="309"/>
      <c r="S434" s="310">
        <f t="shared" si="148"/>
        <v>0</v>
      </c>
      <c r="T434" s="311"/>
      <c r="U434" s="312"/>
      <c r="V434" s="313">
        <f t="shared" si="149"/>
        <v>0</v>
      </c>
      <c r="W434" s="308"/>
      <c r="X434" s="309"/>
      <c r="Y434" s="310">
        <f t="shared" si="150"/>
        <v>0</v>
      </c>
      <c r="Z434" s="311"/>
      <c r="AA434" s="312"/>
      <c r="AB434" s="313">
        <f t="shared" si="151"/>
        <v>0</v>
      </c>
      <c r="AC434" s="308"/>
      <c r="AD434" s="309"/>
      <c r="AE434" s="310">
        <f t="shared" si="152"/>
        <v>0</v>
      </c>
      <c r="AF434" s="311"/>
      <c r="AG434" s="312"/>
      <c r="AH434" s="313">
        <f t="shared" si="153"/>
        <v>0</v>
      </c>
      <c r="AI434" s="308">
        <v>40</v>
      </c>
      <c r="AJ434" s="309">
        <v>50150.53</v>
      </c>
      <c r="AK434" s="310">
        <f t="shared" si="154"/>
        <v>2006021.2</v>
      </c>
      <c r="AL434" s="311">
        <v>39</v>
      </c>
      <c r="AM434" s="312">
        <v>50946</v>
      </c>
      <c r="AN434" s="313">
        <f t="shared" si="155"/>
        <v>1986894</v>
      </c>
      <c r="AO434" s="308"/>
      <c r="AP434" s="309"/>
      <c r="AQ434" s="310">
        <f t="shared" si="156"/>
        <v>0</v>
      </c>
      <c r="AR434" s="311"/>
      <c r="AS434" s="312"/>
      <c r="AT434" s="313">
        <f t="shared" si="157"/>
        <v>0</v>
      </c>
      <c r="AU434" s="308"/>
      <c r="AV434" s="309"/>
      <c r="AW434" s="310">
        <f t="shared" si="158"/>
        <v>0</v>
      </c>
      <c r="AX434" s="311"/>
      <c r="AY434" s="312"/>
      <c r="AZ434" s="313">
        <f t="shared" si="159"/>
        <v>0</v>
      </c>
      <c r="BA434" s="308"/>
      <c r="BB434" s="309"/>
      <c r="BC434" s="310">
        <f t="shared" si="160"/>
        <v>0</v>
      </c>
      <c r="BD434" s="311"/>
      <c r="BE434" s="312"/>
      <c r="BF434" s="313">
        <f t="shared" si="161"/>
        <v>0</v>
      </c>
      <c r="BG434" s="308"/>
      <c r="BH434" s="309"/>
      <c r="BI434" s="310">
        <f t="shared" si="162"/>
        <v>0</v>
      </c>
      <c r="BJ434" s="311"/>
      <c r="BK434" s="312"/>
      <c r="BL434" s="313">
        <f t="shared" si="163"/>
        <v>0</v>
      </c>
      <c r="BM434" s="308"/>
      <c r="BN434" s="309"/>
      <c r="BO434" s="310">
        <f t="shared" si="164"/>
        <v>0</v>
      </c>
      <c r="BP434" s="311"/>
      <c r="BQ434" s="312"/>
      <c r="BR434" s="313">
        <f t="shared" si="165"/>
        <v>0</v>
      </c>
      <c r="BS434" s="308">
        <v>14</v>
      </c>
      <c r="BT434" s="309">
        <v>56355.57</v>
      </c>
      <c r="BU434" s="310">
        <f t="shared" si="166"/>
        <v>645541.78323599999</v>
      </c>
      <c r="BV434" s="311">
        <v>13</v>
      </c>
      <c r="BW434" s="312">
        <v>61440</v>
      </c>
      <c r="BX434" s="313">
        <f t="shared" si="167"/>
        <v>653512.70400000003</v>
      </c>
    </row>
    <row r="435" spans="1:76">
      <c r="A435" s="314" t="s">
        <v>410</v>
      </c>
      <c r="B435" s="315" t="s">
        <v>591</v>
      </c>
      <c r="C435" s="314">
        <v>246017</v>
      </c>
      <c r="D435" s="314">
        <v>13</v>
      </c>
      <c r="E435" s="308"/>
      <c r="F435" s="309"/>
      <c r="G435" s="310">
        <f t="shared" si="144"/>
        <v>0</v>
      </c>
      <c r="H435" s="311"/>
      <c r="I435" s="312"/>
      <c r="J435" s="313">
        <f t="shared" si="145"/>
        <v>0</v>
      </c>
      <c r="K435" s="308"/>
      <c r="L435" s="309"/>
      <c r="M435" s="310">
        <f t="shared" si="146"/>
        <v>0</v>
      </c>
      <c r="N435" s="311"/>
      <c r="O435" s="312"/>
      <c r="P435" s="313">
        <f t="shared" si="147"/>
        <v>0</v>
      </c>
      <c r="Q435" s="308"/>
      <c r="R435" s="309"/>
      <c r="S435" s="310">
        <f t="shared" si="148"/>
        <v>0</v>
      </c>
      <c r="T435" s="311"/>
      <c r="U435" s="312"/>
      <c r="V435" s="313">
        <f t="shared" si="149"/>
        <v>0</v>
      </c>
      <c r="W435" s="308"/>
      <c r="X435" s="309"/>
      <c r="Y435" s="310">
        <f t="shared" si="150"/>
        <v>0</v>
      </c>
      <c r="Z435" s="311"/>
      <c r="AA435" s="312"/>
      <c r="AB435" s="313">
        <f t="shared" si="151"/>
        <v>0</v>
      </c>
      <c r="AC435" s="308"/>
      <c r="AD435" s="309"/>
      <c r="AE435" s="310">
        <f t="shared" si="152"/>
        <v>0</v>
      </c>
      <c r="AF435" s="311"/>
      <c r="AG435" s="312"/>
      <c r="AH435" s="313">
        <f t="shared" si="153"/>
        <v>0</v>
      </c>
      <c r="AI435" s="308">
        <v>31</v>
      </c>
      <c r="AJ435" s="309">
        <v>46436.84</v>
      </c>
      <c r="AK435" s="310">
        <f t="shared" si="154"/>
        <v>1439542.0399999998</v>
      </c>
      <c r="AL435" s="311">
        <v>28</v>
      </c>
      <c r="AM435" s="312">
        <v>47083</v>
      </c>
      <c r="AN435" s="313">
        <f t="shared" si="155"/>
        <v>1318324</v>
      </c>
      <c r="AO435" s="308"/>
      <c r="AP435" s="309"/>
      <c r="AQ435" s="310">
        <f t="shared" si="156"/>
        <v>0</v>
      </c>
      <c r="AR435" s="311"/>
      <c r="AS435" s="312"/>
      <c r="AT435" s="313">
        <f t="shared" si="157"/>
        <v>0</v>
      </c>
      <c r="AU435" s="308"/>
      <c r="AV435" s="309"/>
      <c r="AW435" s="310">
        <f t="shared" si="158"/>
        <v>0</v>
      </c>
      <c r="AX435" s="311"/>
      <c r="AY435" s="312"/>
      <c r="AZ435" s="313">
        <f t="shared" si="159"/>
        <v>0</v>
      </c>
      <c r="BA435" s="308"/>
      <c r="BB435" s="309"/>
      <c r="BC435" s="310">
        <f t="shared" si="160"/>
        <v>0</v>
      </c>
      <c r="BD435" s="311"/>
      <c r="BE435" s="312"/>
      <c r="BF435" s="313">
        <f t="shared" si="161"/>
        <v>0</v>
      </c>
      <c r="BG435" s="308"/>
      <c r="BH435" s="309"/>
      <c r="BI435" s="310">
        <f t="shared" si="162"/>
        <v>0</v>
      </c>
      <c r="BJ435" s="311"/>
      <c r="BK435" s="312"/>
      <c r="BL435" s="313">
        <f t="shared" si="163"/>
        <v>0</v>
      </c>
      <c r="BM435" s="308"/>
      <c r="BN435" s="309"/>
      <c r="BO435" s="310">
        <f t="shared" si="164"/>
        <v>0</v>
      </c>
      <c r="BP435" s="311"/>
      <c r="BQ435" s="312"/>
      <c r="BR435" s="313">
        <f t="shared" si="165"/>
        <v>0</v>
      </c>
      <c r="BS435" s="308">
        <v>26</v>
      </c>
      <c r="BT435" s="309">
        <v>54133.58</v>
      </c>
      <c r="BU435" s="310">
        <f t="shared" si="166"/>
        <v>1151594.4740560001</v>
      </c>
      <c r="BV435" s="311">
        <v>22</v>
      </c>
      <c r="BW435" s="312">
        <v>58421</v>
      </c>
      <c r="BX435" s="313">
        <f t="shared" si="167"/>
        <v>1051601.3684</v>
      </c>
    </row>
    <row r="436" spans="1:76">
      <c r="A436" s="314" t="s">
        <v>410</v>
      </c>
      <c r="B436" s="315" t="s">
        <v>592</v>
      </c>
      <c r="C436" s="314">
        <v>375656</v>
      </c>
      <c r="D436" s="314">
        <v>13</v>
      </c>
      <c r="E436" s="308"/>
      <c r="F436" s="309"/>
      <c r="G436" s="310">
        <f t="shared" si="144"/>
        <v>0</v>
      </c>
      <c r="H436" s="311"/>
      <c r="I436" s="312"/>
      <c r="J436" s="313">
        <f t="shared" si="145"/>
        <v>0</v>
      </c>
      <c r="K436" s="308"/>
      <c r="L436" s="309"/>
      <c r="M436" s="310">
        <f t="shared" si="146"/>
        <v>0</v>
      </c>
      <c r="N436" s="311"/>
      <c r="O436" s="312"/>
      <c r="P436" s="313">
        <f t="shared" si="147"/>
        <v>0</v>
      </c>
      <c r="Q436" s="308"/>
      <c r="R436" s="309"/>
      <c r="S436" s="310">
        <f t="shared" si="148"/>
        <v>0</v>
      </c>
      <c r="T436" s="311"/>
      <c r="U436" s="312"/>
      <c r="V436" s="313">
        <f t="shared" si="149"/>
        <v>0</v>
      </c>
      <c r="W436" s="308"/>
      <c r="X436" s="309"/>
      <c r="Y436" s="310">
        <f t="shared" si="150"/>
        <v>0</v>
      </c>
      <c r="Z436" s="311"/>
      <c r="AA436" s="312"/>
      <c r="AB436" s="313">
        <f t="shared" si="151"/>
        <v>0</v>
      </c>
      <c r="AC436" s="308"/>
      <c r="AD436" s="309"/>
      <c r="AE436" s="310">
        <f t="shared" si="152"/>
        <v>0</v>
      </c>
      <c r="AF436" s="311"/>
      <c r="AG436" s="312"/>
      <c r="AH436" s="313">
        <f t="shared" si="153"/>
        <v>0</v>
      </c>
      <c r="AI436" s="308">
        <v>1</v>
      </c>
      <c r="AJ436" s="309">
        <v>46600</v>
      </c>
      <c r="AK436" s="310">
        <f t="shared" si="154"/>
        <v>46600</v>
      </c>
      <c r="AL436" s="311">
        <v>1</v>
      </c>
      <c r="AM436" s="312">
        <v>47950</v>
      </c>
      <c r="AN436" s="313">
        <f t="shared" si="155"/>
        <v>47950</v>
      </c>
      <c r="AO436" s="308"/>
      <c r="AP436" s="309"/>
      <c r="AQ436" s="310">
        <f t="shared" si="156"/>
        <v>0</v>
      </c>
      <c r="AR436" s="311"/>
      <c r="AS436" s="312"/>
      <c r="AT436" s="313">
        <f t="shared" si="157"/>
        <v>0</v>
      </c>
      <c r="AU436" s="308"/>
      <c r="AV436" s="309"/>
      <c r="AW436" s="310">
        <f t="shared" si="158"/>
        <v>0</v>
      </c>
      <c r="AX436" s="311"/>
      <c r="AY436" s="312"/>
      <c r="AZ436" s="313">
        <f t="shared" si="159"/>
        <v>0</v>
      </c>
      <c r="BA436" s="308"/>
      <c r="BB436" s="309"/>
      <c r="BC436" s="310">
        <f t="shared" si="160"/>
        <v>0</v>
      </c>
      <c r="BD436" s="311"/>
      <c r="BE436" s="312"/>
      <c r="BF436" s="313">
        <f t="shared" si="161"/>
        <v>0</v>
      </c>
      <c r="BG436" s="308"/>
      <c r="BH436" s="309"/>
      <c r="BI436" s="310">
        <f t="shared" si="162"/>
        <v>0</v>
      </c>
      <c r="BJ436" s="311"/>
      <c r="BK436" s="312"/>
      <c r="BL436" s="313">
        <f t="shared" si="163"/>
        <v>0</v>
      </c>
      <c r="BM436" s="308"/>
      <c r="BN436" s="309"/>
      <c r="BO436" s="310">
        <f t="shared" si="164"/>
        <v>0</v>
      </c>
      <c r="BP436" s="311"/>
      <c r="BQ436" s="312"/>
      <c r="BR436" s="313">
        <f t="shared" si="165"/>
        <v>0</v>
      </c>
      <c r="BS436" s="308">
        <v>4</v>
      </c>
      <c r="BT436" s="309">
        <v>42555.25</v>
      </c>
      <c r="BU436" s="310">
        <f t="shared" si="166"/>
        <v>139274.8222</v>
      </c>
      <c r="BV436" s="311">
        <v>4</v>
      </c>
      <c r="BW436" s="312">
        <v>48439</v>
      </c>
      <c r="BX436" s="313">
        <f t="shared" si="167"/>
        <v>158531.15919999999</v>
      </c>
    </row>
    <row r="437" spans="1:76">
      <c r="A437" s="314" t="s">
        <v>410</v>
      </c>
      <c r="B437" s="315" t="s">
        <v>593</v>
      </c>
      <c r="C437" s="314">
        <v>418348</v>
      </c>
      <c r="D437" s="314">
        <v>13</v>
      </c>
      <c r="E437" s="308"/>
      <c r="F437" s="309"/>
      <c r="G437" s="310">
        <f t="shared" si="144"/>
        <v>0</v>
      </c>
      <c r="H437" s="311"/>
      <c r="I437" s="312"/>
      <c r="J437" s="313">
        <f t="shared" si="145"/>
        <v>0</v>
      </c>
      <c r="K437" s="308"/>
      <c r="L437" s="309"/>
      <c r="M437" s="310">
        <f t="shared" si="146"/>
        <v>0</v>
      </c>
      <c r="N437" s="311"/>
      <c r="O437" s="312"/>
      <c r="P437" s="313">
        <f t="shared" si="147"/>
        <v>0</v>
      </c>
      <c r="Q437" s="308"/>
      <c r="R437" s="309"/>
      <c r="S437" s="310">
        <f t="shared" si="148"/>
        <v>0</v>
      </c>
      <c r="T437" s="311"/>
      <c r="U437" s="312"/>
      <c r="V437" s="313">
        <f t="shared" si="149"/>
        <v>0</v>
      </c>
      <c r="W437" s="308"/>
      <c r="X437" s="309"/>
      <c r="Y437" s="310">
        <f t="shared" si="150"/>
        <v>0</v>
      </c>
      <c r="Z437" s="311"/>
      <c r="AA437" s="312"/>
      <c r="AB437" s="313">
        <f t="shared" si="151"/>
        <v>0</v>
      </c>
      <c r="AC437" s="308"/>
      <c r="AD437" s="309"/>
      <c r="AE437" s="310">
        <f t="shared" si="152"/>
        <v>0</v>
      </c>
      <c r="AF437" s="311"/>
      <c r="AG437" s="312"/>
      <c r="AH437" s="313">
        <f t="shared" si="153"/>
        <v>0</v>
      </c>
      <c r="AI437" s="308">
        <v>17</v>
      </c>
      <c r="AJ437" s="309">
        <v>48548.65</v>
      </c>
      <c r="AK437" s="310">
        <f t="shared" si="154"/>
        <v>825327.05</v>
      </c>
      <c r="AL437" s="311">
        <v>17</v>
      </c>
      <c r="AM437" s="312">
        <v>49669</v>
      </c>
      <c r="AN437" s="313">
        <f t="shared" si="155"/>
        <v>844373</v>
      </c>
      <c r="AO437" s="308"/>
      <c r="AP437" s="309"/>
      <c r="AQ437" s="310">
        <f t="shared" si="156"/>
        <v>0</v>
      </c>
      <c r="AR437" s="311"/>
      <c r="AS437" s="312"/>
      <c r="AT437" s="313">
        <f t="shared" si="157"/>
        <v>0</v>
      </c>
      <c r="AU437" s="308"/>
      <c r="AV437" s="309"/>
      <c r="AW437" s="310">
        <f t="shared" si="158"/>
        <v>0</v>
      </c>
      <c r="AX437" s="311"/>
      <c r="AY437" s="312"/>
      <c r="AZ437" s="313">
        <f t="shared" si="159"/>
        <v>0</v>
      </c>
      <c r="BA437" s="308"/>
      <c r="BB437" s="309"/>
      <c r="BC437" s="310">
        <f t="shared" si="160"/>
        <v>0</v>
      </c>
      <c r="BD437" s="311"/>
      <c r="BE437" s="312"/>
      <c r="BF437" s="313">
        <f t="shared" si="161"/>
        <v>0</v>
      </c>
      <c r="BG437" s="308"/>
      <c r="BH437" s="309"/>
      <c r="BI437" s="310">
        <f t="shared" si="162"/>
        <v>0</v>
      </c>
      <c r="BJ437" s="311"/>
      <c r="BK437" s="312"/>
      <c r="BL437" s="313">
        <f t="shared" si="163"/>
        <v>0</v>
      </c>
      <c r="BM437" s="308"/>
      <c r="BN437" s="309"/>
      <c r="BO437" s="310">
        <f t="shared" si="164"/>
        <v>0</v>
      </c>
      <c r="BP437" s="311"/>
      <c r="BQ437" s="312"/>
      <c r="BR437" s="313">
        <f t="shared" si="165"/>
        <v>0</v>
      </c>
      <c r="BS437" s="308">
        <v>3</v>
      </c>
      <c r="BT437" s="309">
        <v>56277</v>
      </c>
      <c r="BU437" s="310">
        <f t="shared" si="166"/>
        <v>138137.52420000001</v>
      </c>
      <c r="BV437" s="311">
        <v>3</v>
      </c>
      <c r="BW437" s="312">
        <v>59765</v>
      </c>
      <c r="BX437" s="313">
        <f t="shared" si="167"/>
        <v>146699.16899999999</v>
      </c>
    </row>
    <row r="438" spans="1:76">
      <c r="A438" s="314" t="s">
        <v>410</v>
      </c>
      <c r="B438" s="315" t="s">
        <v>594</v>
      </c>
      <c r="C438" s="314">
        <v>375683</v>
      </c>
      <c r="D438" s="314">
        <v>13</v>
      </c>
      <c r="E438" s="308"/>
      <c r="F438" s="309"/>
      <c r="G438" s="310">
        <f t="shared" si="144"/>
        <v>0</v>
      </c>
      <c r="H438" s="311"/>
      <c r="I438" s="312"/>
      <c r="J438" s="313">
        <f t="shared" si="145"/>
        <v>0</v>
      </c>
      <c r="K438" s="308"/>
      <c r="L438" s="309"/>
      <c r="M438" s="310">
        <f t="shared" si="146"/>
        <v>0</v>
      </c>
      <c r="N438" s="311"/>
      <c r="O438" s="312"/>
      <c r="P438" s="313">
        <f t="shared" si="147"/>
        <v>0</v>
      </c>
      <c r="Q438" s="308"/>
      <c r="R438" s="309"/>
      <c r="S438" s="310">
        <f t="shared" si="148"/>
        <v>0</v>
      </c>
      <c r="T438" s="311"/>
      <c r="U438" s="312"/>
      <c r="V438" s="313">
        <f t="shared" si="149"/>
        <v>0</v>
      </c>
      <c r="W438" s="308"/>
      <c r="X438" s="309"/>
      <c r="Y438" s="310">
        <f t="shared" si="150"/>
        <v>0</v>
      </c>
      <c r="Z438" s="311"/>
      <c r="AA438" s="312"/>
      <c r="AB438" s="313">
        <f t="shared" si="151"/>
        <v>0</v>
      </c>
      <c r="AC438" s="308"/>
      <c r="AD438" s="309"/>
      <c r="AE438" s="310">
        <f t="shared" si="152"/>
        <v>0</v>
      </c>
      <c r="AF438" s="311"/>
      <c r="AG438" s="312"/>
      <c r="AH438" s="313">
        <f t="shared" si="153"/>
        <v>0</v>
      </c>
      <c r="AI438" s="308">
        <v>31</v>
      </c>
      <c r="AJ438" s="309">
        <v>49232.61</v>
      </c>
      <c r="AK438" s="310">
        <f t="shared" si="154"/>
        <v>1526210.91</v>
      </c>
      <c r="AL438" s="311">
        <v>31</v>
      </c>
      <c r="AM438" s="312">
        <v>49455</v>
      </c>
      <c r="AN438" s="313">
        <f t="shared" si="155"/>
        <v>1533105</v>
      </c>
      <c r="AO438" s="308"/>
      <c r="AP438" s="309"/>
      <c r="AQ438" s="310">
        <f t="shared" si="156"/>
        <v>0</v>
      </c>
      <c r="AR438" s="311"/>
      <c r="AS438" s="312"/>
      <c r="AT438" s="313">
        <f t="shared" si="157"/>
        <v>0</v>
      </c>
      <c r="AU438" s="308"/>
      <c r="AV438" s="309"/>
      <c r="AW438" s="310">
        <f t="shared" si="158"/>
        <v>0</v>
      </c>
      <c r="AX438" s="311"/>
      <c r="AY438" s="312"/>
      <c r="AZ438" s="313">
        <f t="shared" si="159"/>
        <v>0</v>
      </c>
      <c r="BA438" s="308"/>
      <c r="BB438" s="309"/>
      <c r="BC438" s="310">
        <f t="shared" si="160"/>
        <v>0</v>
      </c>
      <c r="BD438" s="311"/>
      <c r="BE438" s="312"/>
      <c r="BF438" s="313">
        <f t="shared" si="161"/>
        <v>0</v>
      </c>
      <c r="BG438" s="308"/>
      <c r="BH438" s="309"/>
      <c r="BI438" s="310">
        <f t="shared" si="162"/>
        <v>0</v>
      </c>
      <c r="BJ438" s="311"/>
      <c r="BK438" s="312"/>
      <c r="BL438" s="313">
        <f t="shared" si="163"/>
        <v>0</v>
      </c>
      <c r="BM438" s="308"/>
      <c r="BN438" s="309"/>
      <c r="BO438" s="310">
        <f t="shared" si="164"/>
        <v>0</v>
      </c>
      <c r="BP438" s="311"/>
      <c r="BQ438" s="312"/>
      <c r="BR438" s="313">
        <f t="shared" si="165"/>
        <v>0</v>
      </c>
      <c r="BS438" s="308">
        <v>7</v>
      </c>
      <c r="BT438" s="309">
        <v>54294.86</v>
      </c>
      <c r="BU438" s="310">
        <f t="shared" si="166"/>
        <v>310968.38116400002</v>
      </c>
      <c r="BV438" s="311">
        <v>7</v>
      </c>
      <c r="BW438" s="312">
        <v>56067</v>
      </c>
      <c r="BX438" s="313">
        <f t="shared" si="167"/>
        <v>321118.13579999999</v>
      </c>
    </row>
    <row r="439" spans="1:76">
      <c r="A439" s="314" t="s">
        <v>410</v>
      </c>
      <c r="B439" s="315" t="s">
        <v>595</v>
      </c>
      <c r="C439" s="314">
        <v>428019</v>
      </c>
      <c r="D439" s="314">
        <v>13</v>
      </c>
      <c r="E439" s="308"/>
      <c r="F439" s="309"/>
      <c r="G439" s="310">
        <f t="shared" si="144"/>
        <v>0</v>
      </c>
      <c r="H439" s="311"/>
      <c r="I439" s="312"/>
      <c r="J439" s="313">
        <f t="shared" si="145"/>
        <v>0</v>
      </c>
      <c r="K439" s="308"/>
      <c r="L439" s="309"/>
      <c r="M439" s="310">
        <f t="shared" si="146"/>
        <v>0</v>
      </c>
      <c r="N439" s="311"/>
      <c r="O439" s="312"/>
      <c r="P439" s="313">
        <f t="shared" si="147"/>
        <v>0</v>
      </c>
      <c r="Q439" s="308"/>
      <c r="R439" s="309"/>
      <c r="S439" s="310">
        <f t="shared" si="148"/>
        <v>0</v>
      </c>
      <c r="T439" s="311"/>
      <c r="U439" s="312"/>
      <c r="V439" s="313">
        <f t="shared" si="149"/>
        <v>0</v>
      </c>
      <c r="W439" s="308"/>
      <c r="X439" s="309"/>
      <c r="Y439" s="310">
        <f t="shared" si="150"/>
        <v>0</v>
      </c>
      <c r="Z439" s="311"/>
      <c r="AA439" s="312"/>
      <c r="AB439" s="313">
        <f t="shared" si="151"/>
        <v>0</v>
      </c>
      <c r="AC439" s="308"/>
      <c r="AD439" s="309"/>
      <c r="AE439" s="310">
        <f t="shared" si="152"/>
        <v>0</v>
      </c>
      <c r="AF439" s="311"/>
      <c r="AG439" s="312"/>
      <c r="AH439" s="313">
        <f t="shared" si="153"/>
        <v>0</v>
      </c>
      <c r="AI439" s="308">
        <v>4</v>
      </c>
      <c r="AJ439" s="309">
        <v>48589</v>
      </c>
      <c r="AK439" s="310">
        <f t="shared" si="154"/>
        <v>194356</v>
      </c>
      <c r="AL439" s="311">
        <v>4</v>
      </c>
      <c r="AM439" s="312">
        <v>49589</v>
      </c>
      <c r="AN439" s="313">
        <f t="shared" si="155"/>
        <v>198356</v>
      </c>
      <c r="AO439" s="308"/>
      <c r="AP439" s="309"/>
      <c r="AQ439" s="310">
        <f t="shared" si="156"/>
        <v>0</v>
      </c>
      <c r="AR439" s="311"/>
      <c r="AS439" s="312"/>
      <c r="AT439" s="313">
        <f t="shared" si="157"/>
        <v>0</v>
      </c>
      <c r="AU439" s="308"/>
      <c r="AV439" s="309"/>
      <c r="AW439" s="310">
        <f t="shared" si="158"/>
        <v>0</v>
      </c>
      <c r="AX439" s="311"/>
      <c r="AY439" s="312"/>
      <c r="AZ439" s="313">
        <f t="shared" si="159"/>
        <v>0</v>
      </c>
      <c r="BA439" s="308"/>
      <c r="BB439" s="309"/>
      <c r="BC439" s="310">
        <f t="shared" si="160"/>
        <v>0</v>
      </c>
      <c r="BD439" s="311"/>
      <c r="BE439" s="312"/>
      <c r="BF439" s="313">
        <f t="shared" si="161"/>
        <v>0</v>
      </c>
      <c r="BG439" s="308"/>
      <c r="BH439" s="309"/>
      <c r="BI439" s="310">
        <f t="shared" si="162"/>
        <v>0</v>
      </c>
      <c r="BJ439" s="311"/>
      <c r="BK439" s="312"/>
      <c r="BL439" s="313">
        <f t="shared" si="163"/>
        <v>0</v>
      </c>
      <c r="BM439" s="308"/>
      <c r="BN439" s="309"/>
      <c r="BO439" s="310">
        <f t="shared" si="164"/>
        <v>0</v>
      </c>
      <c r="BP439" s="311"/>
      <c r="BQ439" s="312"/>
      <c r="BR439" s="313">
        <f t="shared" si="165"/>
        <v>0</v>
      </c>
      <c r="BS439" s="308">
        <v>7</v>
      </c>
      <c r="BT439" s="309">
        <v>50549.43</v>
      </c>
      <c r="BU439" s="310">
        <f t="shared" si="166"/>
        <v>289516.80538200005</v>
      </c>
      <c r="BV439" s="311">
        <v>6</v>
      </c>
      <c r="BW439" s="312">
        <v>55468</v>
      </c>
      <c r="BX439" s="313">
        <f t="shared" si="167"/>
        <v>272303.50560000003</v>
      </c>
    </row>
    <row r="440" spans="1:76">
      <c r="A440" s="314" t="s">
        <v>410</v>
      </c>
      <c r="B440" s="315" t="s">
        <v>596</v>
      </c>
      <c r="C440" s="314">
        <v>208053</v>
      </c>
      <c r="D440" s="314">
        <v>13</v>
      </c>
      <c r="E440" s="308"/>
      <c r="F440" s="309"/>
      <c r="G440" s="310">
        <f t="shared" si="144"/>
        <v>0</v>
      </c>
      <c r="H440" s="311"/>
      <c r="I440" s="312"/>
      <c r="J440" s="313">
        <f t="shared" si="145"/>
        <v>0</v>
      </c>
      <c r="K440" s="308"/>
      <c r="L440" s="309"/>
      <c r="M440" s="310">
        <f t="shared" si="146"/>
        <v>0</v>
      </c>
      <c r="N440" s="311"/>
      <c r="O440" s="312"/>
      <c r="P440" s="313">
        <f t="shared" si="147"/>
        <v>0</v>
      </c>
      <c r="Q440" s="308"/>
      <c r="R440" s="309"/>
      <c r="S440" s="310">
        <f t="shared" si="148"/>
        <v>0</v>
      </c>
      <c r="T440" s="311"/>
      <c r="U440" s="312"/>
      <c r="V440" s="313">
        <f t="shared" si="149"/>
        <v>0</v>
      </c>
      <c r="W440" s="308"/>
      <c r="X440" s="309"/>
      <c r="Y440" s="310">
        <f t="shared" si="150"/>
        <v>0</v>
      </c>
      <c r="Z440" s="311"/>
      <c r="AA440" s="312"/>
      <c r="AB440" s="313">
        <f t="shared" si="151"/>
        <v>0</v>
      </c>
      <c r="AC440" s="308"/>
      <c r="AD440" s="309"/>
      <c r="AE440" s="310">
        <f t="shared" si="152"/>
        <v>0</v>
      </c>
      <c r="AF440" s="311"/>
      <c r="AG440" s="312"/>
      <c r="AH440" s="313">
        <f t="shared" si="153"/>
        <v>0</v>
      </c>
      <c r="AI440" s="308">
        <v>9</v>
      </c>
      <c r="AJ440" s="309">
        <v>47583.78</v>
      </c>
      <c r="AK440" s="310">
        <f t="shared" si="154"/>
        <v>428254.02</v>
      </c>
      <c r="AL440" s="311">
        <v>9</v>
      </c>
      <c r="AM440" s="312">
        <v>49030</v>
      </c>
      <c r="AN440" s="313">
        <f t="shared" si="155"/>
        <v>441270</v>
      </c>
      <c r="AO440" s="308"/>
      <c r="AP440" s="309"/>
      <c r="AQ440" s="310">
        <f t="shared" si="156"/>
        <v>0</v>
      </c>
      <c r="AR440" s="311"/>
      <c r="AS440" s="312"/>
      <c r="AT440" s="313">
        <f t="shared" si="157"/>
        <v>0</v>
      </c>
      <c r="AU440" s="308"/>
      <c r="AV440" s="309"/>
      <c r="AW440" s="310">
        <f t="shared" si="158"/>
        <v>0</v>
      </c>
      <c r="AX440" s="311"/>
      <c r="AY440" s="312"/>
      <c r="AZ440" s="313">
        <f t="shared" si="159"/>
        <v>0</v>
      </c>
      <c r="BA440" s="308"/>
      <c r="BB440" s="309"/>
      <c r="BC440" s="310">
        <f t="shared" si="160"/>
        <v>0</v>
      </c>
      <c r="BD440" s="311"/>
      <c r="BE440" s="312"/>
      <c r="BF440" s="313">
        <f t="shared" si="161"/>
        <v>0</v>
      </c>
      <c r="BG440" s="308"/>
      <c r="BH440" s="309"/>
      <c r="BI440" s="310">
        <f t="shared" si="162"/>
        <v>0</v>
      </c>
      <c r="BJ440" s="311"/>
      <c r="BK440" s="312"/>
      <c r="BL440" s="313">
        <f t="shared" si="163"/>
        <v>0</v>
      </c>
      <c r="BM440" s="308"/>
      <c r="BN440" s="309"/>
      <c r="BO440" s="310">
        <f t="shared" si="164"/>
        <v>0</v>
      </c>
      <c r="BP440" s="311"/>
      <c r="BQ440" s="312"/>
      <c r="BR440" s="313">
        <f t="shared" si="165"/>
        <v>0</v>
      </c>
      <c r="BS440" s="308">
        <v>5</v>
      </c>
      <c r="BT440" s="309">
        <v>45746.6</v>
      </c>
      <c r="BU440" s="310">
        <f t="shared" si="166"/>
        <v>187149.3406</v>
      </c>
      <c r="BV440" s="311">
        <v>5</v>
      </c>
      <c r="BW440" s="312">
        <v>51897</v>
      </c>
      <c r="BX440" s="313">
        <f t="shared" si="167"/>
        <v>212310.62700000001</v>
      </c>
    </row>
    <row r="441" spans="1:76">
      <c r="A441" s="314" t="s">
        <v>410</v>
      </c>
      <c r="B441" s="315" t="s">
        <v>597</v>
      </c>
      <c r="C441" s="314">
        <v>418296</v>
      </c>
      <c r="D441" s="314">
        <v>13</v>
      </c>
      <c r="E441" s="308"/>
      <c r="F441" s="309"/>
      <c r="G441" s="310">
        <f t="shared" si="144"/>
        <v>0</v>
      </c>
      <c r="H441" s="311"/>
      <c r="I441" s="312"/>
      <c r="J441" s="313">
        <f t="shared" si="145"/>
        <v>0</v>
      </c>
      <c r="K441" s="308"/>
      <c r="L441" s="309"/>
      <c r="M441" s="310">
        <f t="shared" si="146"/>
        <v>0</v>
      </c>
      <c r="N441" s="311"/>
      <c r="O441" s="312"/>
      <c r="P441" s="313">
        <f t="shared" si="147"/>
        <v>0</v>
      </c>
      <c r="Q441" s="308"/>
      <c r="R441" s="309"/>
      <c r="S441" s="310">
        <f t="shared" si="148"/>
        <v>0</v>
      </c>
      <c r="T441" s="311"/>
      <c r="U441" s="312"/>
      <c r="V441" s="313">
        <f t="shared" si="149"/>
        <v>0</v>
      </c>
      <c r="W441" s="308"/>
      <c r="X441" s="309"/>
      <c r="Y441" s="310">
        <f t="shared" si="150"/>
        <v>0</v>
      </c>
      <c r="Z441" s="311"/>
      <c r="AA441" s="312"/>
      <c r="AB441" s="313">
        <f t="shared" si="151"/>
        <v>0</v>
      </c>
      <c r="AC441" s="308"/>
      <c r="AD441" s="309"/>
      <c r="AE441" s="310">
        <f t="shared" si="152"/>
        <v>0</v>
      </c>
      <c r="AF441" s="311"/>
      <c r="AG441" s="312"/>
      <c r="AH441" s="313">
        <f t="shared" si="153"/>
        <v>0</v>
      </c>
      <c r="AI441" s="308">
        <v>24</v>
      </c>
      <c r="AJ441" s="309">
        <v>47726.38</v>
      </c>
      <c r="AK441" s="310">
        <f t="shared" si="154"/>
        <v>1145433.1199999999</v>
      </c>
      <c r="AL441" s="311">
        <v>21</v>
      </c>
      <c r="AM441" s="312">
        <v>48089</v>
      </c>
      <c r="AN441" s="313">
        <f t="shared" si="155"/>
        <v>1009869</v>
      </c>
      <c r="AO441" s="308"/>
      <c r="AP441" s="309"/>
      <c r="AQ441" s="310">
        <f t="shared" si="156"/>
        <v>0</v>
      </c>
      <c r="AR441" s="311"/>
      <c r="AS441" s="312"/>
      <c r="AT441" s="313">
        <f t="shared" si="157"/>
        <v>0</v>
      </c>
      <c r="AU441" s="308"/>
      <c r="AV441" s="309"/>
      <c r="AW441" s="310">
        <f t="shared" si="158"/>
        <v>0</v>
      </c>
      <c r="AX441" s="311"/>
      <c r="AY441" s="312"/>
      <c r="AZ441" s="313">
        <f t="shared" si="159"/>
        <v>0</v>
      </c>
      <c r="BA441" s="308"/>
      <c r="BB441" s="309"/>
      <c r="BC441" s="310">
        <f t="shared" si="160"/>
        <v>0</v>
      </c>
      <c r="BD441" s="311"/>
      <c r="BE441" s="312"/>
      <c r="BF441" s="313">
        <f t="shared" si="161"/>
        <v>0</v>
      </c>
      <c r="BG441" s="308"/>
      <c r="BH441" s="309"/>
      <c r="BI441" s="310">
        <f t="shared" si="162"/>
        <v>0</v>
      </c>
      <c r="BJ441" s="311"/>
      <c r="BK441" s="312"/>
      <c r="BL441" s="313">
        <f t="shared" si="163"/>
        <v>0</v>
      </c>
      <c r="BM441" s="308"/>
      <c r="BN441" s="309"/>
      <c r="BO441" s="310">
        <f t="shared" si="164"/>
        <v>0</v>
      </c>
      <c r="BP441" s="311"/>
      <c r="BQ441" s="312"/>
      <c r="BR441" s="313">
        <f t="shared" si="165"/>
        <v>0</v>
      </c>
      <c r="BS441" s="308">
        <v>6</v>
      </c>
      <c r="BT441" s="309">
        <v>56165.33</v>
      </c>
      <c r="BU441" s="310">
        <f t="shared" si="166"/>
        <v>275726.83803599997</v>
      </c>
      <c r="BV441" s="311">
        <v>6</v>
      </c>
      <c r="BW441" s="312">
        <v>56165</v>
      </c>
      <c r="BX441" s="313">
        <f t="shared" si="167"/>
        <v>275725.21799999999</v>
      </c>
    </row>
    <row r="442" spans="1:76">
      <c r="A442" s="314" t="s">
        <v>410</v>
      </c>
      <c r="B442" s="315" t="s">
        <v>598</v>
      </c>
      <c r="C442" s="314">
        <v>421540</v>
      </c>
      <c r="D442" s="314">
        <v>13</v>
      </c>
      <c r="E442" s="308"/>
      <c r="F442" s="309"/>
      <c r="G442" s="310">
        <f t="shared" si="144"/>
        <v>0</v>
      </c>
      <c r="H442" s="311"/>
      <c r="I442" s="312"/>
      <c r="J442" s="313">
        <f t="shared" si="145"/>
        <v>0</v>
      </c>
      <c r="K442" s="308"/>
      <c r="L442" s="309"/>
      <c r="M442" s="310">
        <f t="shared" si="146"/>
        <v>0</v>
      </c>
      <c r="N442" s="311"/>
      <c r="O442" s="312"/>
      <c r="P442" s="313">
        <f t="shared" si="147"/>
        <v>0</v>
      </c>
      <c r="Q442" s="308"/>
      <c r="R442" s="309"/>
      <c r="S442" s="310">
        <f t="shared" si="148"/>
        <v>0</v>
      </c>
      <c r="T442" s="311"/>
      <c r="U442" s="312"/>
      <c r="V442" s="313">
        <f t="shared" si="149"/>
        <v>0</v>
      </c>
      <c r="W442" s="308"/>
      <c r="X442" s="309"/>
      <c r="Y442" s="310">
        <f t="shared" si="150"/>
        <v>0</v>
      </c>
      <c r="Z442" s="311"/>
      <c r="AA442" s="312"/>
      <c r="AB442" s="313">
        <f t="shared" si="151"/>
        <v>0</v>
      </c>
      <c r="AC442" s="308"/>
      <c r="AD442" s="309"/>
      <c r="AE442" s="310">
        <f t="shared" si="152"/>
        <v>0</v>
      </c>
      <c r="AF442" s="311"/>
      <c r="AG442" s="312"/>
      <c r="AH442" s="313">
        <f t="shared" si="153"/>
        <v>0</v>
      </c>
      <c r="AI442" s="308">
        <v>9</v>
      </c>
      <c r="AJ442" s="309">
        <v>49276.89</v>
      </c>
      <c r="AK442" s="310">
        <f t="shared" si="154"/>
        <v>443492.01</v>
      </c>
      <c r="AL442" s="311">
        <v>9</v>
      </c>
      <c r="AM442" s="312">
        <v>49012</v>
      </c>
      <c r="AN442" s="313">
        <f t="shared" si="155"/>
        <v>441108</v>
      </c>
      <c r="AO442" s="308"/>
      <c r="AP442" s="309"/>
      <c r="AQ442" s="310">
        <f t="shared" si="156"/>
        <v>0</v>
      </c>
      <c r="AR442" s="311"/>
      <c r="AS442" s="312"/>
      <c r="AT442" s="313">
        <f t="shared" si="157"/>
        <v>0</v>
      </c>
      <c r="AU442" s="308"/>
      <c r="AV442" s="309"/>
      <c r="AW442" s="310">
        <f t="shared" si="158"/>
        <v>0</v>
      </c>
      <c r="AX442" s="311"/>
      <c r="AY442" s="312"/>
      <c r="AZ442" s="313">
        <f t="shared" si="159"/>
        <v>0</v>
      </c>
      <c r="BA442" s="308"/>
      <c r="BB442" s="309"/>
      <c r="BC442" s="310">
        <f t="shared" si="160"/>
        <v>0</v>
      </c>
      <c r="BD442" s="311"/>
      <c r="BE442" s="312"/>
      <c r="BF442" s="313">
        <f t="shared" si="161"/>
        <v>0</v>
      </c>
      <c r="BG442" s="308"/>
      <c r="BH442" s="309"/>
      <c r="BI442" s="310">
        <f t="shared" si="162"/>
        <v>0</v>
      </c>
      <c r="BJ442" s="311"/>
      <c r="BK442" s="312"/>
      <c r="BL442" s="313">
        <f t="shared" si="163"/>
        <v>0</v>
      </c>
      <c r="BM442" s="308"/>
      <c r="BN442" s="309"/>
      <c r="BO442" s="310">
        <f t="shared" si="164"/>
        <v>0</v>
      </c>
      <c r="BP442" s="311"/>
      <c r="BQ442" s="312"/>
      <c r="BR442" s="313">
        <f t="shared" si="165"/>
        <v>0</v>
      </c>
      <c r="BS442" s="308">
        <v>2</v>
      </c>
      <c r="BT442" s="309">
        <v>57024</v>
      </c>
      <c r="BU442" s="310">
        <f t="shared" si="166"/>
        <v>93314.073600000003</v>
      </c>
      <c r="BV442" s="311">
        <v>2</v>
      </c>
      <c r="BW442" s="312">
        <v>58251</v>
      </c>
      <c r="BX442" s="313">
        <f t="shared" si="167"/>
        <v>95321.936400000006</v>
      </c>
    </row>
    <row r="443" spans="1:76">
      <c r="A443" s="314" t="s">
        <v>410</v>
      </c>
      <c r="B443" s="315" t="s">
        <v>599</v>
      </c>
      <c r="C443" s="314">
        <v>421559</v>
      </c>
      <c r="D443" s="314">
        <v>13</v>
      </c>
      <c r="E443" s="308"/>
      <c r="F443" s="309"/>
      <c r="G443" s="310">
        <f t="shared" si="144"/>
        <v>0</v>
      </c>
      <c r="H443" s="311"/>
      <c r="I443" s="312"/>
      <c r="J443" s="313">
        <f t="shared" si="145"/>
        <v>0</v>
      </c>
      <c r="K443" s="308"/>
      <c r="L443" s="309"/>
      <c r="M443" s="310">
        <f t="shared" si="146"/>
        <v>0</v>
      </c>
      <c r="N443" s="311"/>
      <c r="O443" s="312"/>
      <c r="P443" s="313">
        <f t="shared" si="147"/>
        <v>0</v>
      </c>
      <c r="Q443" s="308"/>
      <c r="R443" s="309"/>
      <c r="S443" s="310">
        <f t="shared" si="148"/>
        <v>0</v>
      </c>
      <c r="T443" s="311"/>
      <c r="U443" s="312"/>
      <c r="V443" s="313">
        <f t="shared" si="149"/>
        <v>0</v>
      </c>
      <c r="W443" s="308"/>
      <c r="X443" s="309"/>
      <c r="Y443" s="310">
        <f t="shared" si="150"/>
        <v>0</v>
      </c>
      <c r="Z443" s="311"/>
      <c r="AA443" s="312"/>
      <c r="AB443" s="313">
        <f t="shared" si="151"/>
        <v>0</v>
      </c>
      <c r="AC443" s="308"/>
      <c r="AD443" s="309"/>
      <c r="AE443" s="310">
        <f t="shared" si="152"/>
        <v>0</v>
      </c>
      <c r="AF443" s="311"/>
      <c r="AG443" s="312"/>
      <c r="AH443" s="313">
        <f t="shared" si="153"/>
        <v>0</v>
      </c>
      <c r="AI443" s="308">
        <v>6</v>
      </c>
      <c r="AJ443" s="309">
        <v>48670.17</v>
      </c>
      <c r="AK443" s="310">
        <f t="shared" si="154"/>
        <v>292021.02</v>
      </c>
      <c r="AL443" s="311">
        <v>6</v>
      </c>
      <c r="AM443" s="312">
        <v>52811</v>
      </c>
      <c r="AN443" s="313">
        <f t="shared" si="155"/>
        <v>316866</v>
      </c>
      <c r="AO443" s="308"/>
      <c r="AP443" s="309"/>
      <c r="AQ443" s="310">
        <f t="shared" si="156"/>
        <v>0</v>
      </c>
      <c r="AR443" s="311"/>
      <c r="AS443" s="312"/>
      <c r="AT443" s="313">
        <f t="shared" si="157"/>
        <v>0</v>
      </c>
      <c r="AU443" s="308"/>
      <c r="AV443" s="309"/>
      <c r="AW443" s="310">
        <f t="shared" si="158"/>
        <v>0</v>
      </c>
      <c r="AX443" s="311"/>
      <c r="AY443" s="312"/>
      <c r="AZ443" s="313">
        <f t="shared" si="159"/>
        <v>0</v>
      </c>
      <c r="BA443" s="308"/>
      <c r="BB443" s="309"/>
      <c r="BC443" s="310">
        <f t="shared" si="160"/>
        <v>0</v>
      </c>
      <c r="BD443" s="311"/>
      <c r="BE443" s="312"/>
      <c r="BF443" s="313">
        <f t="shared" si="161"/>
        <v>0</v>
      </c>
      <c r="BG443" s="308"/>
      <c r="BH443" s="309"/>
      <c r="BI443" s="310">
        <f t="shared" si="162"/>
        <v>0</v>
      </c>
      <c r="BJ443" s="311"/>
      <c r="BK443" s="312"/>
      <c r="BL443" s="313">
        <f t="shared" si="163"/>
        <v>0</v>
      </c>
      <c r="BM443" s="308"/>
      <c r="BN443" s="309"/>
      <c r="BO443" s="310">
        <f t="shared" si="164"/>
        <v>0</v>
      </c>
      <c r="BP443" s="311"/>
      <c r="BQ443" s="312"/>
      <c r="BR443" s="313">
        <f t="shared" si="165"/>
        <v>0</v>
      </c>
      <c r="BS443" s="308">
        <v>2</v>
      </c>
      <c r="BT443" s="309">
        <v>54467</v>
      </c>
      <c r="BU443" s="310">
        <f t="shared" si="166"/>
        <v>89129.798800000004</v>
      </c>
      <c r="BV443" s="311">
        <v>2</v>
      </c>
      <c r="BW443" s="312">
        <v>54214</v>
      </c>
      <c r="BX443" s="313">
        <f t="shared" si="167"/>
        <v>88715.789600000004</v>
      </c>
    </row>
    <row r="444" spans="1:76">
      <c r="A444" s="314" t="s">
        <v>410</v>
      </c>
      <c r="B444" s="315" t="s">
        <v>600</v>
      </c>
      <c r="C444" s="314">
        <v>208026</v>
      </c>
      <c r="D444" s="314">
        <v>13</v>
      </c>
      <c r="E444" s="308"/>
      <c r="F444" s="309"/>
      <c r="G444" s="310">
        <f t="shared" si="144"/>
        <v>0</v>
      </c>
      <c r="H444" s="311"/>
      <c r="I444" s="312"/>
      <c r="J444" s="313">
        <f t="shared" si="145"/>
        <v>0</v>
      </c>
      <c r="K444" s="308"/>
      <c r="L444" s="309"/>
      <c r="M444" s="310">
        <f t="shared" si="146"/>
        <v>0</v>
      </c>
      <c r="N444" s="311"/>
      <c r="O444" s="312"/>
      <c r="P444" s="313">
        <f t="shared" si="147"/>
        <v>0</v>
      </c>
      <c r="Q444" s="308"/>
      <c r="R444" s="309"/>
      <c r="S444" s="310">
        <f t="shared" si="148"/>
        <v>0</v>
      </c>
      <c r="T444" s="311"/>
      <c r="U444" s="312"/>
      <c r="V444" s="313">
        <f t="shared" si="149"/>
        <v>0</v>
      </c>
      <c r="W444" s="308"/>
      <c r="X444" s="309"/>
      <c r="Y444" s="310">
        <f t="shared" si="150"/>
        <v>0</v>
      </c>
      <c r="Z444" s="311"/>
      <c r="AA444" s="312"/>
      <c r="AB444" s="313">
        <f t="shared" si="151"/>
        <v>0</v>
      </c>
      <c r="AC444" s="308"/>
      <c r="AD444" s="309"/>
      <c r="AE444" s="310">
        <f t="shared" si="152"/>
        <v>0</v>
      </c>
      <c r="AF444" s="311"/>
      <c r="AG444" s="312"/>
      <c r="AH444" s="313">
        <f t="shared" si="153"/>
        <v>0</v>
      </c>
      <c r="AI444" s="308">
        <v>13</v>
      </c>
      <c r="AJ444" s="309">
        <v>48564.31</v>
      </c>
      <c r="AK444" s="310">
        <f t="shared" si="154"/>
        <v>631336.03</v>
      </c>
      <c r="AL444" s="311">
        <v>13</v>
      </c>
      <c r="AM444" s="312">
        <v>48941</v>
      </c>
      <c r="AN444" s="313">
        <f t="shared" si="155"/>
        <v>636233</v>
      </c>
      <c r="AO444" s="308"/>
      <c r="AP444" s="309"/>
      <c r="AQ444" s="310">
        <f t="shared" si="156"/>
        <v>0</v>
      </c>
      <c r="AR444" s="311"/>
      <c r="AS444" s="312"/>
      <c r="AT444" s="313">
        <f t="shared" si="157"/>
        <v>0</v>
      </c>
      <c r="AU444" s="308"/>
      <c r="AV444" s="309"/>
      <c r="AW444" s="310">
        <f t="shared" si="158"/>
        <v>0</v>
      </c>
      <c r="AX444" s="311"/>
      <c r="AY444" s="312"/>
      <c r="AZ444" s="313">
        <f t="shared" si="159"/>
        <v>0</v>
      </c>
      <c r="BA444" s="308"/>
      <c r="BB444" s="309"/>
      <c r="BC444" s="310">
        <f t="shared" si="160"/>
        <v>0</v>
      </c>
      <c r="BD444" s="311"/>
      <c r="BE444" s="312"/>
      <c r="BF444" s="313">
        <f t="shared" si="161"/>
        <v>0</v>
      </c>
      <c r="BG444" s="308"/>
      <c r="BH444" s="309"/>
      <c r="BI444" s="310">
        <f t="shared" si="162"/>
        <v>0</v>
      </c>
      <c r="BJ444" s="311"/>
      <c r="BK444" s="312"/>
      <c r="BL444" s="313">
        <f t="shared" si="163"/>
        <v>0</v>
      </c>
      <c r="BM444" s="308"/>
      <c r="BN444" s="309"/>
      <c r="BO444" s="310">
        <f t="shared" si="164"/>
        <v>0</v>
      </c>
      <c r="BP444" s="311"/>
      <c r="BQ444" s="312"/>
      <c r="BR444" s="313">
        <f t="shared" si="165"/>
        <v>0</v>
      </c>
      <c r="BS444" s="308">
        <v>3</v>
      </c>
      <c r="BT444" s="309">
        <v>52860</v>
      </c>
      <c r="BU444" s="310">
        <f t="shared" si="166"/>
        <v>129750.156</v>
      </c>
      <c r="BV444" s="311">
        <v>3</v>
      </c>
      <c r="BW444" s="312">
        <v>49411</v>
      </c>
      <c r="BX444" s="313">
        <f t="shared" si="167"/>
        <v>121284.2406</v>
      </c>
    </row>
    <row r="445" spans="1:76">
      <c r="A445" s="314" t="s">
        <v>410</v>
      </c>
      <c r="B445" s="315" t="s">
        <v>601</v>
      </c>
      <c r="C445" s="314">
        <v>375692</v>
      </c>
      <c r="D445" s="314">
        <v>13</v>
      </c>
      <c r="E445" s="308"/>
      <c r="F445" s="309"/>
      <c r="G445" s="310">
        <f t="shared" si="144"/>
        <v>0</v>
      </c>
      <c r="H445" s="311"/>
      <c r="I445" s="312"/>
      <c r="J445" s="313">
        <f t="shared" si="145"/>
        <v>0</v>
      </c>
      <c r="K445" s="308"/>
      <c r="L445" s="309"/>
      <c r="M445" s="310">
        <f t="shared" si="146"/>
        <v>0</v>
      </c>
      <c r="N445" s="311"/>
      <c r="O445" s="312"/>
      <c r="P445" s="313">
        <f t="shared" si="147"/>
        <v>0</v>
      </c>
      <c r="Q445" s="308"/>
      <c r="R445" s="309"/>
      <c r="S445" s="310">
        <f t="shared" si="148"/>
        <v>0</v>
      </c>
      <c r="T445" s="311"/>
      <c r="U445" s="312"/>
      <c r="V445" s="313">
        <f t="shared" si="149"/>
        <v>0</v>
      </c>
      <c r="W445" s="308"/>
      <c r="X445" s="309"/>
      <c r="Y445" s="310">
        <f t="shared" si="150"/>
        <v>0</v>
      </c>
      <c r="Z445" s="311"/>
      <c r="AA445" s="312"/>
      <c r="AB445" s="313">
        <f t="shared" si="151"/>
        <v>0</v>
      </c>
      <c r="AC445" s="308"/>
      <c r="AD445" s="309"/>
      <c r="AE445" s="310">
        <f t="shared" si="152"/>
        <v>0</v>
      </c>
      <c r="AF445" s="311"/>
      <c r="AG445" s="312"/>
      <c r="AH445" s="313">
        <f t="shared" si="153"/>
        <v>0</v>
      </c>
      <c r="AI445" s="308">
        <v>10</v>
      </c>
      <c r="AJ445" s="309">
        <v>47602.5</v>
      </c>
      <c r="AK445" s="310">
        <f t="shared" si="154"/>
        <v>476025</v>
      </c>
      <c r="AL445" s="311">
        <v>7</v>
      </c>
      <c r="AM445" s="312">
        <v>50440</v>
      </c>
      <c r="AN445" s="313">
        <f t="shared" si="155"/>
        <v>353080</v>
      </c>
      <c r="AO445" s="308"/>
      <c r="AP445" s="309"/>
      <c r="AQ445" s="310">
        <f t="shared" si="156"/>
        <v>0</v>
      </c>
      <c r="AR445" s="311"/>
      <c r="AS445" s="312"/>
      <c r="AT445" s="313">
        <f t="shared" si="157"/>
        <v>0</v>
      </c>
      <c r="AU445" s="308"/>
      <c r="AV445" s="309"/>
      <c r="AW445" s="310">
        <f t="shared" si="158"/>
        <v>0</v>
      </c>
      <c r="AX445" s="311"/>
      <c r="AY445" s="312"/>
      <c r="AZ445" s="313">
        <f t="shared" si="159"/>
        <v>0</v>
      </c>
      <c r="BA445" s="308"/>
      <c r="BB445" s="309"/>
      <c r="BC445" s="310">
        <f t="shared" si="160"/>
        <v>0</v>
      </c>
      <c r="BD445" s="311"/>
      <c r="BE445" s="312"/>
      <c r="BF445" s="313">
        <f t="shared" si="161"/>
        <v>0</v>
      </c>
      <c r="BG445" s="308"/>
      <c r="BH445" s="309"/>
      <c r="BI445" s="310">
        <f t="shared" si="162"/>
        <v>0</v>
      </c>
      <c r="BJ445" s="311"/>
      <c r="BK445" s="312"/>
      <c r="BL445" s="313">
        <f t="shared" si="163"/>
        <v>0</v>
      </c>
      <c r="BM445" s="308"/>
      <c r="BN445" s="309"/>
      <c r="BO445" s="310">
        <f t="shared" si="164"/>
        <v>0</v>
      </c>
      <c r="BP445" s="311"/>
      <c r="BQ445" s="312"/>
      <c r="BR445" s="313">
        <f t="shared" si="165"/>
        <v>0</v>
      </c>
      <c r="BS445" s="308">
        <v>2</v>
      </c>
      <c r="BT445" s="309">
        <v>46781.5</v>
      </c>
      <c r="BU445" s="310">
        <f t="shared" si="166"/>
        <v>76553.246599999999</v>
      </c>
      <c r="BV445" s="311">
        <v>1</v>
      </c>
      <c r="BW445" s="312">
        <v>46465</v>
      </c>
      <c r="BX445" s="313">
        <f t="shared" si="167"/>
        <v>38017.663</v>
      </c>
    </row>
    <row r="446" spans="1:76">
      <c r="A446" s="314" t="s">
        <v>410</v>
      </c>
      <c r="B446" s="315" t="s">
        <v>602</v>
      </c>
      <c r="C446" s="314">
        <v>375708</v>
      </c>
      <c r="D446" s="314">
        <v>13</v>
      </c>
      <c r="E446" s="308"/>
      <c r="F446" s="309"/>
      <c r="G446" s="310">
        <f t="shared" si="144"/>
        <v>0</v>
      </c>
      <c r="H446" s="311"/>
      <c r="I446" s="312"/>
      <c r="J446" s="313">
        <f t="shared" si="145"/>
        <v>0</v>
      </c>
      <c r="K446" s="308"/>
      <c r="L446" s="309"/>
      <c r="M446" s="310">
        <f t="shared" si="146"/>
        <v>0</v>
      </c>
      <c r="N446" s="311"/>
      <c r="O446" s="312"/>
      <c r="P446" s="313">
        <f t="shared" si="147"/>
        <v>0</v>
      </c>
      <c r="Q446" s="308"/>
      <c r="R446" s="309"/>
      <c r="S446" s="310">
        <f t="shared" si="148"/>
        <v>0</v>
      </c>
      <c r="T446" s="311"/>
      <c r="U446" s="312"/>
      <c r="V446" s="313">
        <f t="shared" si="149"/>
        <v>0</v>
      </c>
      <c r="W446" s="308"/>
      <c r="X446" s="309"/>
      <c r="Y446" s="310">
        <f t="shared" si="150"/>
        <v>0</v>
      </c>
      <c r="Z446" s="311"/>
      <c r="AA446" s="312"/>
      <c r="AB446" s="313">
        <f t="shared" si="151"/>
        <v>0</v>
      </c>
      <c r="AC446" s="308"/>
      <c r="AD446" s="309"/>
      <c r="AE446" s="310">
        <f t="shared" si="152"/>
        <v>0</v>
      </c>
      <c r="AF446" s="311"/>
      <c r="AG446" s="312"/>
      <c r="AH446" s="313">
        <f t="shared" si="153"/>
        <v>0</v>
      </c>
      <c r="AI446" s="308">
        <v>9</v>
      </c>
      <c r="AJ446" s="309">
        <v>50652.89</v>
      </c>
      <c r="AK446" s="310">
        <f t="shared" si="154"/>
        <v>455876.01</v>
      </c>
      <c r="AL446" s="311">
        <v>7</v>
      </c>
      <c r="AM446" s="312">
        <v>51973</v>
      </c>
      <c r="AN446" s="313">
        <f t="shared" si="155"/>
        <v>363811</v>
      </c>
      <c r="AO446" s="308"/>
      <c r="AP446" s="309"/>
      <c r="AQ446" s="310">
        <f t="shared" si="156"/>
        <v>0</v>
      </c>
      <c r="AR446" s="311"/>
      <c r="AS446" s="312"/>
      <c r="AT446" s="313">
        <f t="shared" si="157"/>
        <v>0</v>
      </c>
      <c r="AU446" s="308"/>
      <c r="AV446" s="309"/>
      <c r="AW446" s="310">
        <f t="shared" si="158"/>
        <v>0</v>
      </c>
      <c r="AX446" s="311"/>
      <c r="AY446" s="312"/>
      <c r="AZ446" s="313">
        <f t="shared" si="159"/>
        <v>0</v>
      </c>
      <c r="BA446" s="308"/>
      <c r="BB446" s="309"/>
      <c r="BC446" s="310">
        <f t="shared" si="160"/>
        <v>0</v>
      </c>
      <c r="BD446" s="311"/>
      <c r="BE446" s="312"/>
      <c r="BF446" s="313">
        <f t="shared" si="161"/>
        <v>0</v>
      </c>
      <c r="BG446" s="308"/>
      <c r="BH446" s="309"/>
      <c r="BI446" s="310">
        <f t="shared" si="162"/>
        <v>0</v>
      </c>
      <c r="BJ446" s="311"/>
      <c r="BK446" s="312"/>
      <c r="BL446" s="313">
        <f t="shared" si="163"/>
        <v>0</v>
      </c>
      <c r="BM446" s="308"/>
      <c r="BN446" s="309"/>
      <c r="BO446" s="310">
        <f t="shared" si="164"/>
        <v>0</v>
      </c>
      <c r="BP446" s="311"/>
      <c r="BQ446" s="312"/>
      <c r="BR446" s="313">
        <f t="shared" si="165"/>
        <v>0</v>
      </c>
      <c r="BS446" s="308">
        <v>3</v>
      </c>
      <c r="BT446" s="309">
        <v>51278</v>
      </c>
      <c r="BU446" s="310">
        <f t="shared" si="166"/>
        <v>125866.97880000001</v>
      </c>
      <c r="BV446" s="311">
        <v>3</v>
      </c>
      <c r="BW446" s="312">
        <v>53738</v>
      </c>
      <c r="BX446" s="313">
        <f t="shared" si="167"/>
        <v>131905.2948</v>
      </c>
    </row>
    <row r="447" spans="1:76">
      <c r="A447" s="314" t="s">
        <v>410</v>
      </c>
      <c r="B447" s="315" t="s">
        <v>603</v>
      </c>
      <c r="C447" s="314">
        <v>375717</v>
      </c>
      <c r="D447" s="314">
        <v>13</v>
      </c>
      <c r="E447" s="308"/>
      <c r="F447" s="309"/>
      <c r="G447" s="310">
        <f t="shared" si="144"/>
        <v>0</v>
      </c>
      <c r="H447" s="311"/>
      <c r="I447" s="312"/>
      <c r="J447" s="313">
        <f t="shared" si="145"/>
        <v>0</v>
      </c>
      <c r="K447" s="308"/>
      <c r="L447" s="309"/>
      <c r="M447" s="310">
        <f t="shared" si="146"/>
        <v>0</v>
      </c>
      <c r="N447" s="311"/>
      <c r="O447" s="312"/>
      <c r="P447" s="313">
        <f t="shared" si="147"/>
        <v>0</v>
      </c>
      <c r="Q447" s="308"/>
      <c r="R447" s="309"/>
      <c r="S447" s="310">
        <f t="shared" si="148"/>
        <v>0</v>
      </c>
      <c r="T447" s="311"/>
      <c r="U447" s="312"/>
      <c r="V447" s="313">
        <f t="shared" si="149"/>
        <v>0</v>
      </c>
      <c r="W447" s="308"/>
      <c r="X447" s="309"/>
      <c r="Y447" s="310">
        <f t="shared" si="150"/>
        <v>0</v>
      </c>
      <c r="Z447" s="311"/>
      <c r="AA447" s="312"/>
      <c r="AB447" s="313">
        <f t="shared" si="151"/>
        <v>0</v>
      </c>
      <c r="AC447" s="308"/>
      <c r="AD447" s="309"/>
      <c r="AE447" s="310">
        <f t="shared" si="152"/>
        <v>0</v>
      </c>
      <c r="AF447" s="311"/>
      <c r="AG447" s="312"/>
      <c r="AH447" s="313">
        <f t="shared" si="153"/>
        <v>0</v>
      </c>
      <c r="AI447" s="308">
        <v>9</v>
      </c>
      <c r="AJ447" s="309">
        <v>53498.89</v>
      </c>
      <c r="AK447" s="310">
        <f t="shared" si="154"/>
        <v>481490.01</v>
      </c>
      <c r="AL447" s="311">
        <v>9</v>
      </c>
      <c r="AM447" s="312">
        <v>53438</v>
      </c>
      <c r="AN447" s="313">
        <f t="shared" si="155"/>
        <v>480942</v>
      </c>
      <c r="AO447" s="308"/>
      <c r="AP447" s="309"/>
      <c r="AQ447" s="310">
        <f t="shared" si="156"/>
        <v>0</v>
      </c>
      <c r="AR447" s="311"/>
      <c r="AS447" s="312"/>
      <c r="AT447" s="313">
        <f t="shared" si="157"/>
        <v>0</v>
      </c>
      <c r="AU447" s="308"/>
      <c r="AV447" s="309"/>
      <c r="AW447" s="310">
        <f t="shared" si="158"/>
        <v>0</v>
      </c>
      <c r="AX447" s="311"/>
      <c r="AY447" s="312"/>
      <c r="AZ447" s="313">
        <f t="shared" si="159"/>
        <v>0</v>
      </c>
      <c r="BA447" s="308"/>
      <c r="BB447" s="309"/>
      <c r="BC447" s="310">
        <f t="shared" si="160"/>
        <v>0</v>
      </c>
      <c r="BD447" s="311"/>
      <c r="BE447" s="312"/>
      <c r="BF447" s="313">
        <f t="shared" si="161"/>
        <v>0</v>
      </c>
      <c r="BG447" s="308"/>
      <c r="BH447" s="309"/>
      <c r="BI447" s="310">
        <f t="shared" si="162"/>
        <v>0</v>
      </c>
      <c r="BJ447" s="311"/>
      <c r="BK447" s="312"/>
      <c r="BL447" s="313">
        <f t="shared" si="163"/>
        <v>0</v>
      </c>
      <c r="BM447" s="308"/>
      <c r="BN447" s="309"/>
      <c r="BO447" s="310">
        <f t="shared" si="164"/>
        <v>0</v>
      </c>
      <c r="BP447" s="311"/>
      <c r="BQ447" s="312"/>
      <c r="BR447" s="313">
        <f t="shared" si="165"/>
        <v>0</v>
      </c>
      <c r="BS447" s="308">
        <v>2</v>
      </c>
      <c r="BT447" s="309">
        <v>54798</v>
      </c>
      <c r="BU447" s="310">
        <f t="shared" si="166"/>
        <v>89671.44720000001</v>
      </c>
      <c r="BV447" s="311">
        <v>2</v>
      </c>
      <c r="BW447" s="312">
        <v>56838</v>
      </c>
      <c r="BX447" s="313">
        <f t="shared" si="167"/>
        <v>93009.703200000004</v>
      </c>
    </row>
    <row r="448" spans="1:76">
      <c r="A448" s="314" t="s">
        <v>410</v>
      </c>
      <c r="B448" s="315" t="s">
        <v>604</v>
      </c>
      <c r="C448" s="314">
        <v>375735</v>
      </c>
      <c r="D448" s="314">
        <v>13</v>
      </c>
      <c r="E448" s="308"/>
      <c r="F448" s="309"/>
      <c r="G448" s="310">
        <f t="shared" si="144"/>
        <v>0</v>
      </c>
      <c r="H448" s="311"/>
      <c r="I448" s="312"/>
      <c r="J448" s="313">
        <f t="shared" si="145"/>
        <v>0</v>
      </c>
      <c r="K448" s="308"/>
      <c r="L448" s="309"/>
      <c r="M448" s="310">
        <f t="shared" si="146"/>
        <v>0</v>
      </c>
      <c r="N448" s="311"/>
      <c r="O448" s="312"/>
      <c r="P448" s="313">
        <f t="shared" si="147"/>
        <v>0</v>
      </c>
      <c r="Q448" s="308"/>
      <c r="R448" s="309"/>
      <c r="S448" s="310">
        <f t="shared" si="148"/>
        <v>0</v>
      </c>
      <c r="T448" s="311"/>
      <c r="U448" s="312"/>
      <c r="V448" s="313">
        <f t="shared" si="149"/>
        <v>0</v>
      </c>
      <c r="W448" s="308"/>
      <c r="X448" s="309"/>
      <c r="Y448" s="310">
        <f t="shared" si="150"/>
        <v>0</v>
      </c>
      <c r="Z448" s="311"/>
      <c r="AA448" s="312"/>
      <c r="AB448" s="313">
        <f t="shared" si="151"/>
        <v>0</v>
      </c>
      <c r="AC448" s="308"/>
      <c r="AD448" s="309"/>
      <c r="AE448" s="310">
        <f t="shared" si="152"/>
        <v>0</v>
      </c>
      <c r="AF448" s="311"/>
      <c r="AG448" s="312"/>
      <c r="AH448" s="313">
        <f t="shared" si="153"/>
        <v>0</v>
      </c>
      <c r="AI448" s="308">
        <v>11</v>
      </c>
      <c r="AJ448" s="309">
        <v>49456.18</v>
      </c>
      <c r="AK448" s="310">
        <f t="shared" si="154"/>
        <v>544017.98</v>
      </c>
      <c r="AL448" s="311">
        <v>9</v>
      </c>
      <c r="AM448" s="312">
        <v>49696</v>
      </c>
      <c r="AN448" s="313">
        <f t="shared" si="155"/>
        <v>447264</v>
      </c>
      <c r="AO448" s="308"/>
      <c r="AP448" s="309"/>
      <c r="AQ448" s="310">
        <f t="shared" si="156"/>
        <v>0</v>
      </c>
      <c r="AR448" s="311"/>
      <c r="AS448" s="312"/>
      <c r="AT448" s="313">
        <f t="shared" si="157"/>
        <v>0</v>
      </c>
      <c r="AU448" s="308"/>
      <c r="AV448" s="309"/>
      <c r="AW448" s="310">
        <f t="shared" si="158"/>
        <v>0</v>
      </c>
      <c r="AX448" s="311"/>
      <c r="AY448" s="312"/>
      <c r="AZ448" s="313">
        <f t="shared" si="159"/>
        <v>0</v>
      </c>
      <c r="BA448" s="308"/>
      <c r="BB448" s="309"/>
      <c r="BC448" s="310">
        <f t="shared" si="160"/>
        <v>0</v>
      </c>
      <c r="BD448" s="311"/>
      <c r="BE448" s="312"/>
      <c r="BF448" s="313">
        <f t="shared" si="161"/>
        <v>0</v>
      </c>
      <c r="BG448" s="308"/>
      <c r="BH448" s="309"/>
      <c r="BI448" s="310">
        <f t="shared" si="162"/>
        <v>0</v>
      </c>
      <c r="BJ448" s="311"/>
      <c r="BK448" s="312"/>
      <c r="BL448" s="313">
        <f t="shared" si="163"/>
        <v>0</v>
      </c>
      <c r="BM448" s="308"/>
      <c r="BN448" s="309"/>
      <c r="BO448" s="310">
        <f t="shared" si="164"/>
        <v>0</v>
      </c>
      <c r="BP448" s="311"/>
      <c r="BQ448" s="312"/>
      <c r="BR448" s="313">
        <f t="shared" si="165"/>
        <v>0</v>
      </c>
      <c r="BS448" s="308">
        <v>3</v>
      </c>
      <c r="BT448" s="309">
        <v>56573.33</v>
      </c>
      <c r="BU448" s="310">
        <f t="shared" si="166"/>
        <v>138864.89581799999</v>
      </c>
      <c r="BV448" s="311">
        <v>3</v>
      </c>
      <c r="BW448" s="312">
        <v>58553</v>
      </c>
      <c r="BX448" s="313">
        <f t="shared" si="167"/>
        <v>143724.19380000001</v>
      </c>
    </row>
    <row r="449" spans="1:76">
      <c r="A449" s="314" t="s">
        <v>410</v>
      </c>
      <c r="B449" s="315" t="s">
        <v>605</v>
      </c>
      <c r="C449" s="314">
        <v>375726</v>
      </c>
      <c r="D449" s="314">
        <v>13</v>
      </c>
      <c r="E449" s="308"/>
      <c r="F449" s="309"/>
      <c r="G449" s="310">
        <f t="shared" si="144"/>
        <v>0</v>
      </c>
      <c r="H449" s="311"/>
      <c r="I449" s="312"/>
      <c r="J449" s="313">
        <f t="shared" si="145"/>
        <v>0</v>
      </c>
      <c r="K449" s="308"/>
      <c r="L449" s="309"/>
      <c r="M449" s="310">
        <f t="shared" si="146"/>
        <v>0</v>
      </c>
      <c r="N449" s="311"/>
      <c r="O449" s="312"/>
      <c r="P449" s="313">
        <f t="shared" si="147"/>
        <v>0</v>
      </c>
      <c r="Q449" s="308"/>
      <c r="R449" s="309"/>
      <c r="S449" s="310">
        <f t="shared" si="148"/>
        <v>0</v>
      </c>
      <c r="T449" s="311"/>
      <c r="U449" s="312"/>
      <c r="V449" s="313">
        <f t="shared" si="149"/>
        <v>0</v>
      </c>
      <c r="W449" s="308"/>
      <c r="X449" s="309"/>
      <c r="Y449" s="310">
        <f t="shared" si="150"/>
        <v>0</v>
      </c>
      <c r="Z449" s="311"/>
      <c r="AA449" s="312"/>
      <c r="AB449" s="313">
        <f t="shared" si="151"/>
        <v>0</v>
      </c>
      <c r="AC449" s="308"/>
      <c r="AD449" s="309"/>
      <c r="AE449" s="310">
        <f t="shared" si="152"/>
        <v>0</v>
      </c>
      <c r="AF449" s="311"/>
      <c r="AG449" s="312"/>
      <c r="AH449" s="313">
        <f t="shared" si="153"/>
        <v>0</v>
      </c>
      <c r="AI449" s="308">
        <v>19</v>
      </c>
      <c r="AJ449" s="309">
        <v>48769.53</v>
      </c>
      <c r="AK449" s="310">
        <f t="shared" si="154"/>
        <v>926621.07</v>
      </c>
      <c r="AL449" s="311">
        <v>16</v>
      </c>
      <c r="AM449" s="312">
        <v>49099</v>
      </c>
      <c r="AN449" s="313">
        <f t="shared" si="155"/>
        <v>785584</v>
      </c>
      <c r="AO449" s="308"/>
      <c r="AP449" s="309"/>
      <c r="AQ449" s="310">
        <f t="shared" si="156"/>
        <v>0</v>
      </c>
      <c r="AR449" s="311"/>
      <c r="AS449" s="312"/>
      <c r="AT449" s="313">
        <f t="shared" si="157"/>
        <v>0</v>
      </c>
      <c r="AU449" s="308"/>
      <c r="AV449" s="309"/>
      <c r="AW449" s="310">
        <f t="shared" si="158"/>
        <v>0</v>
      </c>
      <c r="AX449" s="311"/>
      <c r="AY449" s="312"/>
      <c r="AZ449" s="313">
        <f t="shared" si="159"/>
        <v>0</v>
      </c>
      <c r="BA449" s="308"/>
      <c r="BB449" s="309"/>
      <c r="BC449" s="310">
        <f t="shared" si="160"/>
        <v>0</v>
      </c>
      <c r="BD449" s="311"/>
      <c r="BE449" s="312"/>
      <c r="BF449" s="313">
        <f t="shared" si="161"/>
        <v>0</v>
      </c>
      <c r="BG449" s="308"/>
      <c r="BH449" s="309"/>
      <c r="BI449" s="310">
        <f t="shared" si="162"/>
        <v>0</v>
      </c>
      <c r="BJ449" s="311"/>
      <c r="BK449" s="312"/>
      <c r="BL449" s="313">
        <f t="shared" si="163"/>
        <v>0</v>
      </c>
      <c r="BM449" s="308"/>
      <c r="BN449" s="309"/>
      <c r="BO449" s="310">
        <f t="shared" si="164"/>
        <v>0</v>
      </c>
      <c r="BP449" s="311"/>
      <c r="BQ449" s="312"/>
      <c r="BR449" s="313">
        <f t="shared" si="165"/>
        <v>0</v>
      </c>
      <c r="BS449" s="308">
        <v>4</v>
      </c>
      <c r="BT449" s="309">
        <v>58970</v>
      </c>
      <c r="BU449" s="310">
        <f t="shared" si="166"/>
        <v>192997.016</v>
      </c>
      <c r="BV449" s="311">
        <v>4</v>
      </c>
      <c r="BW449" s="312">
        <v>60710</v>
      </c>
      <c r="BX449" s="313">
        <f t="shared" si="167"/>
        <v>198691.68800000002</v>
      </c>
    </row>
    <row r="450" spans="1:76">
      <c r="A450" s="314" t="s">
        <v>410</v>
      </c>
      <c r="B450" s="315" t="s">
        <v>606</v>
      </c>
      <c r="C450" s="314">
        <v>375744</v>
      </c>
      <c r="D450" s="314">
        <v>13</v>
      </c>
      <c r="E450" s="308"/>
      <c r="F450" s="309"/>
      <c r="G450" s="310">
        <f t="shared" si="144"/>
        <v>0</v>
      </c>
      <c r="H450" s="311"/>
      <c r="I450" s="312"/>
      <c r="J450" s="313">
        <f t="shared" si="145"/>
        <v>0</v>
      </c>
      <c r="K450" s="308"/>
      <c r="L450" s="309"/>
      <c r="M450" s="310">
        <f t="shared" si="146"/>
        <v>0</v>
      </c>
      <c r="N450" s="311"/>
      <c r="O450" s="312"/>
      <c r="P450" s="313">
        <f t="shared" si="147"/>
        <v>0</v>
      </c>
      <c r="Q450" s="308"/>
      <c r="R450" s="309"/>
      <c r="S450" s="310">
        <f t="shared" si="148"/>
        <v>0</v>
      </c>
      <c r="T450" s="311"/>
      <c r="U450" s="312"/>
      <c r="V450" s="313">
        <f t="shared" si="149"/>
        <v>0</v>
      </c>
      <c r="W450" s="308"/>
      <c r="X450" s="309"/>
      <c r="Y450" s="310">
        <f t="shared" si="150"/>
        <v>0</v>
      </c>
      <c r="Z450" s="311"/>
      <c r="AA450" s="312"/>
      <c r="AB450" s="313">
        <f t="shared" si="151"/>
        <v>0</v>
      </c>
      <c r="AC450" s="308"/>
      <c r="AD450" s="309"/>
      <c r="AE450" s="310">
        <f t="shared" si="152"/>
        <v>0</v>
      </c>
      <c r="AF450" s="311"/>
      <c r="AG450" s="312"/>
      <c r="AH450" s="313">
        <f t="shared" si="153"/>
        <v>0</v>
      </c>
      <c r="AI450" s="308">
        <v>11</v>
      </c>
      <c r="AJ450" s="309">
        <v>48885.73</v>
      </c>
      <c r="AK450" s="310">
        <f t="shared" si="154"/>
        <v>537743.03</v>
      </c>
      <c r="AL450" s="311">
        <v>10</v>
      </c>
      <c r="AM450" s="312">
        <v>51225</v>
      </c>
      <c r="AN450" s="313">
        <f t="shared" si="155"/>
        <v>512250</v>
      </c>
      <c r="AO450" s="308"/>
      <c r="AP450" s="309"/>
      <c r="AQ450" s="310">
        <f t="shared" si="156"/>
        <v>0</v>
      </c>
      <c r="AR450" s="311"/>
      <c r="AS450" s="312"/>
      <c r="AT450" s="313">
        <f t="shared" si="157"/>
        <v>0</v>
      </c>
      <c r="AU450" s="308"/>
      <c r="AV450" s="309"/>
      <c r="AW450" s="310">
        <f t="shared" si="158"/>
        <v>0</v>
      </c>
      <c r="AX450" s="311"/>
      <c r="AY450" s="312"/>
      <c r="AZ450" s="313">
        <f t="shared" si="159"/>
        <v>0</v>
      </c>
      <c r="BA450" s="308"/>
      <c r="BB450" s="309"/>
      <c r="BC450" s="310">
        <f t="shared" si="160"/>
        <v>0</v>
      </c>
      <c r="BD450" s="311"/>
      <c r="BE450" s="312"/>
      <c r="BF450" s="313">
        <f t="shared" si="161"/>
        <v>0</v>
      </c>
      <c r="BG450" s="308"/>
      <c r="BH450" s="309"/>
      <c r="BI450" s="310">
        <f t="shared" si="162"/>
        <v>0</v>
      </c>
      <c r="BJ450" s="311"/>
      <c r="BK450" s="312"/>
      <c r="BL450" s="313">
        <f t="shared" si="163"/>
        <v>0</v>
      </c>
      <c r="BM450" s="308"/>
      <c r="BN450" s="309"/>
      <c r="BO450" s="310">
        <f t="shared" si="164"/>
        <v>0</v>
      </c>
      <c r="BP450" s="311"/>
      <c r="BQ450" s="312"/>
      <c r="BR450" s="313">
        <f t="shared" si="165"/>
        <v>0</v>
      </c>
      <c r="BS450" s="308">
        <v>3</v>
      </c>
      <c r="BT450" s="309">
        <v>56583.33</v>
      </c>
      <c r="BU450" s="310">
        <f t="shared" si="166"/>
        <v>138889.44181799999</v>
      </c>
      <c r="BV450" s="311">
        <v>3</v>
      </c>
      <c r="BW450" s="312">
        <v>53738</v>
      </c>
      <c r="BX450" s="313">
        <f t="shared" si="167"/>
        <v>131905.2948</v>
      </c>
    </row>
    <row r="451" spans="1:76">
      <c r="A451" s="314" t="s">
        <v>410</v>
      </c>
      <c r="B451" s="315" t="s">
        <v>607</v>
      </c>
      <c r="C451" s="314">
        <v>375753</v>
      </c>
      <c r="D451" s="314">
        <v>13</v>
      </c>
      <c r="E451" s="308"/>
      <c r="F451" s="309"/>
      <c r="G451" s="310">
        <f t="shared" si="144"/>
        <v>0</v>
      </c>
      <c r="H451" s="311"/>
      <c r="I451" s="312"/>
      <c r="J451" s="313">
        <f t="shared" si="145"/>
        <v>0</v>
      </c>
      <c r="K451" s="308"/>
      <c r="L451" s="309"/>
      <c r="M451" s="310">
        <f t="shared" si="146"/>
        <v>0</v>
      </c>
      <c r="N451" s="311"/>
      <c r="O451" s="312"/>
      <c r="P451" s="313">
        <f t="shared" si="147"/>
        <v>0</v>
      </c>
      <c r="Q451" s="308"/>
      <c r="R451" s="309"/>
      <c r="S451" s="310">
        <f t="shared" si="148"/>
        <v>0</v>
      </c>
      <c r="T451" s="311"/>
      <c r="U451" s="312"/>
      <c r="V451" s="313">
        <f t="shared" si="149"/>
        <v>0</v>
      </c>
      <c r="W451" s="308"/>
      <c r="X451" s="309"/>
      <c r="Y451" s="310">
        <f t="shared" si="150"/>
        <v>0</v>
      </c>
      <c r="Z451" s="311"/>
      <c r="AA451" s="312"/>
      <c r="AB451" s="313">
        <f t="shared" si="151"/>
        <v>0</v>
      </c>
      <c r="AC451" s="308"/>
      <c r="AD451" s="309"/>
      <c r="AE451" s="310">
        <f t="shared" si="152"/>
        <v>0</v>
      </c>
      <c r="AF451" s="311"/>
      <c r="AG451" s="312"/>
      <c r="AH451" s="313">
        <f t="shared" si="153"/>
        <v>0</v>
      </c>
      <c r="AI451" s="308">
        <v>2</v>
      </c>
      <c r="AJ451" s="309">
        <v>45750</v>
      </c>
      <c r="AK451" s="310">
        <f t="shared" si="154"/>
        <v>91500</v>
      </c>
      <c r="AL451" s="311">
        <v>2</v>
      </c>
      <c r="AM451" s="312">
        <v>46925</v>
      </c>
      <c r="AN451" s="313">
        <f t="shared" si="155"/>
        <v>93850</v>
      </c>
      <c r="AO451" s="308"/>
      <c r="AP451" s="309"/>
      <c r="AQ451" s="310">
        <f t="shared" si="156"/>
        <v>0</v>
      </c>
      <c r="AR451" s="311"/>
      <c r="AS451" s="312"/>
      <c r="AT451" s="313">
        <f t="shared" si="157"/>
        <v>0</v>
      </c>
      <c r="AU451" s="308"/>
      <c r="AV451" s="309"/>
      <c r="AW451" s="310">
        <f t="shared" si="158"/>
        <v>0</v>
      </c>
      <c r="AX451" s="311"/>
      <c r="AY451" s="312"/>
      <c r="AZ451" s="313">
        <f t="shared" si="159"/>
        <v>0</v>
      </c>
      <c r="BA451" s="308"/>
      <c r="BB451" s="309"/>
      <c r="BC451" s="310">
        <f t="shared" si="160"/>
        <v>0</v>
      </c>
      <c r="BD451" s="311"/>
      <c r="BE451" s="312"/>
      <c r="BF451" s="313">
        <f t="shared" si="161"/>
        <v>0</v>
      </c>
      <c r="BG451" s="308"/>
      <c r="BH451" s="309"/>
      <c r="BI451" s="310">
        <f t="shared" si="162"/>
        <v>0</v>
      </c>
      <c r="BJ451" s="311"/>
      <c r="BK451" s="312"/>
      <c r="BL451" s="313">
        <f t="shared" si="163"/>
        <v>0</v>
      </c>
      <c r="BM451" s="308"/>
      <c r="BN451" s="309"/>
      <c r="BO451" s="310">
        <f t="shared" si="164"/>
        <v>0</v>
      </c>
      <c r="BP451" s="311"/>
      <c r="BQ451" s="312"/>
      <c r="BR451" s="313">
        <f t="shared" si="165"/>
        <v>0</v>
      </c>
      <c r="BS451" s="308"/>
      <c r="BT451" s="309"/>
      <c r="BU451" s="310">
        <f t="shared" si="166"/>
        <v>0</v>
      </c>
      <c r="BV451" s="311"/>
      <c r="BW451" s="312"/>
      <c r="BX451" s="313">
        <f t="shared" si="167"/>
        <v>0</v>
      </c>
    </row>
    <row r="452" spans="1:76">
      <c r="A452" s="314" t="s">
        <v>410</v>
      </c>
      <c r="B452" s="315" t="s">
        <v>608</v>
      </c>
      <c r="C452" s="314">
        <v>405748</v>
      </c>
      <c r="D452" s="314">
        <v>13</v>
      </c>
      <c r="E452" s="308"/>
      <c r="F452" s="309"/>
      <c r="G452" s="310">
        <f t="shared" si="144"/>
        <v>0</v>
      </c>
      <c r="H452" s="311"/>
      <c r="I452" s="312"/>
      <c r="J452" s="313">
        <f t="shared" si="145"/>
        <v>0</v>
      </c>
      <c r="K452" s="308"/>
      <c r="L452" s="309"/>
      <c r="M452" s="310">
        <f t="shared" si="146"/>
        <v>0</v>
      </c>
      <c r="N452" s="311"/>
      <c r="O452" s="312"/>
      <c r="P452" s="313">
        <f t="shared" si="147"/>
        <v>0</v>
      </c>
      <c r="Q452" s="308"/>
      <c r="R452" s="309"/>
      <c r="S452" s="310">
        <f t="shared" si="148"/>
        <v>0</v>
      </c>
      <c r="T452" s="311"/>
      <c r="U452" s="312"/>
      <c r="V452" s="313">
        <f t="shared" si="149"/>
        <v>0</v>
      </c>
      <c r="W452" s="308"/>
      <c r="X452" s="309"/>
      <c r="Y452" s="310">
        <f t="shared" si="150"/>
        <v>0</v>
      </c>
      <c r="Z452" s="311"/>
      <c r="AA452" s="312"/>
      <c r="AB452" s="313">
        <f t="shared" si="151"/>
        <v>0</v>
      </c>
      <c r="AC452" s="308"/>
      <c r="AD452" s="309"/>
      <c r="AE452" s="310">
        <f t="shared" si="152"/>
        <v>0</v>
      </c>
      <c r="AF452" s="311"/>
      <c r="AG452" s="312"/>
      <c r="AH452" s="313">
        <f t="shared" si="153"/>
        <v>0</v>
      </c>
      <c r="AI452" s="308">
        <v>5</v>
      </c>
      <c r="AJ452" s="309">
        <v>53269.599999999999</v>
      </c>
      <c r="AK452" s="310">
        <f t="shared" si="154"/>
        <v>266348</v>
      </c>
      <c r="AL452" s="311">
        <v>5</v>
      </c>
      <c r="AM452" s="312">
        <v>54870</v>
      </c>
      <c r="AN452" s="313">
        <f t="shared" si="155"/>
        <v>274350</v>
      </c>
      <c r="AO452" s="308"/>
      <c r="AP452" s="309"/>
      <c r="AQ452" s="310">
        <f t="shared" si="156"/>
        <v>0</v>
      </c>
      <c r="AR452" s="311"/>
      <c r="AS452" s="312"/>
      <c r="AT452" s="313">
        <f t="shared" si="157"/>
        <v>0</v>
      </c>
      <c r="AU452" s="308"/>
      <c r="AV452" s="309"/>
      <c r="AW452" s="310">
        <f t="shared" si="158"/>
        <v>0</v>
      </c>
      <c r="AX452" s="311"/>
      <c r="AY452" s="312"/>
      <c r="AZ452" s="313">
        <f t="shared" si="159"/>
        <v>0</v>
      </c>
      <c r="BA452" s="308"/>
      <c r="BB452" s="309"/>
      <c r="BC452" s="310">
        <f t="shared" si="160"/>
        <v>0</v>
      </c>
      <c r="BD452" s="311"/>
      <c r="BE452" s="312"/>
      <c r="BF452" s="313">
        <f t="shared" si="161"/>
        <v>0</v>
      </c>
      <c r="BG452" s="308"/>
      <c r="BH452" s="309"/>
      <c r="BI452" s="310">
        <f t="shared" si="162"/>
        <v>0</v>
      </c>
      <c r="BJ452" s="311"/>
      <c r="BK452" s="312"/>
      <c r="BL452" s="313">
        <f t="shared" si="163"/>
        <v>0</v>
      </c>
      <c r="BM452" s="308"/>
      <c r="BN452" s="309"/>
      <c r="BO452" s="310">
        <f t="shared" si="164"/>
        <v>0</v>
      </c>
      <c r="BP452" s="311"/>
      <c r="BQ452" s="312"/>
      <c r="BR452" s="313">
        <f t="shared" si="165"/>
        <v>0</v>
      </c>
      <c r="BS452" s="308">
        <v>1</v>
      </c>
      <c r="BT452" s="309">
        <v>60618</v>
      </c>
      <c r="BU452" s="310">
        <f t="shared" si="166"/>
        <v>49597.647600000004</v>
      </c>
      <c r="BV452" s="311">
        <v>1</v>
      </c>
      <c r="BW452" s="312">
        <v>62058</v>
      </c>
      <c r="BX452" s="313">
        <f t="shared" si="167"/>
        <v>50775.855600000003</v>
      </c>
    </row>
    <row r="453" spans="1:76">
      <c r="A453" s="314" t="s">
        <v>410</v>
      </c>
      <c r="B453" s="315" t="s">
        <v>609</v>
      </c>
      <c r="C453" s="314">
        <v>375762</v>
      </c>
      <c r="D453" s="314">
        <v>13</v>
      </c>
      <c r="E453" s="308"/>
      <c r="F453" s="309"/>
      <c r="G453" s="310">
        <f t="shared" si="144"/>
        <v>0</v>
      </c>
      <c r="H453" s="311"/>
      <c r="I453" s="312"/>
      <c r="J453" s="313">
        <f t="shared" si="145"/>
        <v>0</v>
      </c>
      <c r="K453" s="308"/>
      <c r="L453" s="309"/>
      <c r="M453" s="310">
        <f t="shared" si="146"/>
        <v>0</v>
      </c>
      <c r="N453" s="311"/>
      <c r="O453" s="312"/>
      <c r="P453" s="313">
        <f t="shared" si="147"/>
        <v>0</v>
      </c>
      <c r="Q453" s="308"/>
      <c r="R453" s="309"/>
      <c r="S453" s="310">
        <f t="shared" si="148"/>
        <v>0</v>
      </c>
      <c r="T453" s="311"/>
      <c r="U453" s="312"/>
      <c r="V453" s="313">
        <f t="shared" si="149"/>
        <v>0</v>
      </c>
      <c r="W453" s="308"/>
      <c r="X453" s="309"/>
      <c r="Y453" s="310">
        <f t="shared" si="150"/>
        <v>0</v>
      </c>
      <c r="Z453" s="311"/>
      <c r="AA453" s="312"/>
      <c r="AB453" s="313">
        <f t="shared" si="151"/>
        <v>0</v>
      </c>
      <c r="AC453" s="308"/>
      <c r="AD453" s="309"/>
      <c r="AE453" s="310">
        <f t="shared" si="152"/>
        <v>0</v>
      </c>
      <c r="AF453" s="311"/>
      <c r="AG453" s="312"/>
      <c r="AH453" s="313">
        <f t="shared" si="153"/>
        <v>0</v>
      </c>
      <c r="AI453" s="308">
        <v>5</v>
      </c>
      <c r="AJ453" s="309">
        <v>48920</v>
      </c>
      <c r="AK453" s="310">
        <f t="shared" si="154"/>
        <v>244600</v>
      </c>
      <c r="AL453" s="311">
        <v>5</v>
      </c>
      <c r="AM453" s="312">
        <v>50620</v>
      </c>
      <c r="AN453" s="313">
        <f t="shared" si="155"/>
        <v>253100</v>
      </c>
      <c r="AO453" s="308"/>
      <c r="AP453" s="309"/>
      <c r="AQ453" s="310">
        <f t="shared" si="156"/>
        <v>0</v>
      </c>
      <c r="AR453" s="311"/>
      <c r="AS453" s="312"/>
      <c r="AT453" s="313">
        <f t="shared" si="157"/>
        <v>0</v>
      </c>
      <c r="AU453" s="308"/>
      <c r="AV453" s="309"/>
      <c r="AW453" s="310">
        <f t="shared" si="158"/>
        <v>0</v>
      </c>
      <c r="AX453" s="311"/>
      <c r="AY453" s="312"/>
      <c r="AZ453" s="313">
        <f t="shared" si="159"/>
        <v>0</v>
      </c>
      <c r="BA453" s="308"/>
      <c r="BB453" s="309"/>
      <c r="BC453" s="310">
        <f t="shared" si="160"/>
        <v>0</v>
      </c>
      <c r="BD453" s="311"/>
      <c r="BE453" s="312"/>
      <c r="BF453" s="313">
        <f t="shared" si="161"/>
        <v>0</v>
      </c>
      <c r="BG453" s="308"/>
      <c r="BH453" s="309"/>
      <c r="BI453" s="310">
        <f t="shared" si="162"/>
        <v>0</v>
      </c>
      <c r="BJ453" s="311"/>
      <c r="BK453" s="312"/>
      <c r="BL453" s="313">
        <f t="shared" si="163"/>
        <v>0</v>
      </c>
      <c r="BM453" s="308"/>
      <c r="BN453" s="309"/>
      <c r="BO453" s="310">
        <f t="shared" si="164"/>
        <v>0</v>
      </c>
      <c r="BP453" s="311"/>
      <c r="BQ453" s="312"/>
      <c r="BR453" s="313">
        <f t="shared" si="165"/>
        <v>0</v>
      </c>
      <c r="BS453" s="308"/>
      <c r="BT453" s="309"/>
      <c r="BU453" s="310">
        <f t="shared" si="166"/>
        <v>0</v>
      </c>
      <c r="BV453" s="311"/>
      <c r="BW453" s="312"/>
      <c r="BX453" s="313">
        <f t="shared" si="167"/>
        <v>0</v>
      </c>
    </row>
    <row r="454" spans="1:76">
      <c r="A454" s="314" t="s">
        <v>410</v>
      </c>
      <c r="B454" s="315" t="s">
        <v>610</v>
      </c>
      <c r="C454" s="314">
        <v>365480</v>
      </c>
      <c r="D454" s="314">
        <v>13</v>
      </c>
      <c r="E454" s="308"/>
      <c r="F454" s="309"/>
      <c r="G454" s="310">
        <f t="shared" si="144"/>
        <v>0</v>
      </c>
      <c r="H454" s="311"/>
      <c r="I454" s="312"/>
      <c r="J454" s="313">
        <f t="shared" si="145"/>
        <v>0</v>
      </c>
      <c r="K454" s="308"/>
      <c r="L454" s="309"/>
      <c r="M454" s="310">
        <f t="shared" si="146"/>
        <v>0</v>
      </c>
      <c r="N454" s="311"/>
      <c r="O454" s="312"/>
      <c r="P454" s="313">
        <f t="shared" si="147"/>
        <v>0</v>
      </c>
      <c r="Q454" s="308"/>
      <c r="R454" s="309"/>
      <c r="S454" s="310">
        <f t="shared" si="148"/>
        <v>0</v>
      </c>
      <c r="T454" s="311"/>
      <c r="U454" s="312"/>
      <c r="V454" s="313">
        <f t="shared" si="149"/>
        <v>0</v>
      </c>
      <c r="W454" s="308"/>
      <c r="X454" s="309"/>
      <c r="Y454" s="310">
        <f t="shared" si="150"/>
        <v>0</v>
      </c>
      <c r="Z454" s="311"/>
      <c r="AA454" s="312"/>
      <c r="AB454" s="313">
        <f t="shared" si="151"/>
        <v>0</v>
      </c>
      <c r="AC454" s="308"/>
      <c r="AD454" s="309"/>
      <c r="AE454" s="310">
        <f t="shared" si="152"/>
        <v>0</v>
      </c>
      <c r="AF454" s="311"/>
      <c r="AG454" s="312"/>
      <c r="AH454" s="313">
        <f t="shared" si="153"/>
        <v>0</v>
      </c>
      <c r="AI454" s="308">
        <v>23</v>
      </c>
      <c r="AJ454" s="309">
        <v>47828.52</v>
      </c>
      <c r="AK454" s="310">
        <f t="shared" si="154"/>
        <v>1100055.96</v>
      </c>
      <c r="AL454" s="311">
        <v>21</v>
      </c>
      <c r="AM454" s="312">
        <v>49752</v>
      </c>
      <c r="AN454" s="313">
        <f t="shared" si="155"/>
        <v>1044792</v>
      </c>
      <c r="AO454" s="308"/>
      <c r="AP454" s="309"/>
      <c r="AQ454" s="310">
        <f t="shared" si="156"/>
        <v>0</v>
      </c>
      <c r="AR454" s="311"/>
      <c r="AS454" s="312"/>
      <c r="AT454" s="313">
        <f t="shared" si="157"/>
        <v>0</v>
      </c>
      <c r="AU454" s="308"/>
      <c r="AV454" s="309"/>
      <c r="AW454" s="310">
        <f t="shared" si="158"/>
        <v>0</v>
      </c>
      <c r="AX454" s="311"/>
      <c r="AY454" s="312"/>
      <c r="AZ454" s="313">
        <f t="shared" si="159"/>
        <v>0</v>
      </c>
      <c r="BA454" s="308"/>
      <c r="BB454" s="309"/>
      <c r="BC454" s="310">
        <f t="shared" si="160"/>
        <v>0</v>
      </c>
      <c r="BD454" s="311"/>
      <c r="BE454" s="312"/>
      <c r="BF454" s="313">
        <f t="shared" si="161"/>
        <v>0</v>
      </c>
      <c r="BG454" s="308"/>
      <c r="BH454" s="309"/>
      <c r="BI454" s="310">
        <f t="shared" si="162"/>
        <v>0</v>
      </c>
      <c r="BJ454" s="311"/>
      <c r="BK454" s="312"/>
      <c r="BL454" s="313">
        <f t="shared" si="163"/>
        <v>0</v>
      </c>
      <c r="BM454" s="308"/>
      <c r="BN454" s="309"/>
      <c r="BO454" s="310">
        <f t="shared" si="164"/>
        <v>0</v>
      </c>
      <c r="BP454" s="311"/>
      <c r="BQ454" s="312"/>
      <c r="BR454" s="313">
        <f t="shared" si="165"/>
        <v>0</v>
      </c>
      <c r="BS454" s="308">
        <v>10</v>
      </c>
      <c r="BT454" s="309">
        <v>55594.8</v>
      </c>
      <c r="BU454" s="310">
        <f t="shared" si="166"/>
        <v>454876.65360000002</v>
      </c>
      <c r="BV454" s="311">
        <v>10</v>
      </c>
      <c r="BW454" s="312">
        <v>57830</v>
      </c>
      <c r="BX454" s="313">
        <f t="shared" si="167"/>
        <v>473165.06</v>
      </c>
    </row>
    <row r="455" spans="1:76">
      <c r="A455" s="314" t="s">
        <v>410</v>
      </c>
      <c r="B455" s="315" t="s">
        <v>611</v>
      </c>
      <c r="C455" s="314">
        <v>418320</v>
      </c>
      <c r="D455" s="314">
        <v>13</v>
      </c>
      <c r="E455" s="308"/>
      <c r="F455" s="309"/>
      <c r="G455" s="310">
        <f t="shared" si="144"/>
        <v>0</v>
      </c>
      <c r="H455" s="311"/>
      <c r="I455" s="312"/>
      <c r="J455" s="313">
        <f t="shared" si="145"/>
        <v>0</v>
      </c>
      <c r="K455" s="308"/>
      <c r="L455" s="309"/>
      <c r="M455" s="310">
        <f t="shared" si="146"/>
        <v>0</v>
      </c>
      <c r="N455" s="311"/>
      <c r="O455" s="312"/>
      <c r="P455" s="313">
        <f t="shared" si="147"/>
        <v>0</v>
      </c>
      <c r="Q455" s="308"/>
      <c r="R455" s="309"/>
      <c r="S455" s="310">
        <f t="shared" si="148"/>
        <v>0</v>
      </c>
      <c r="T455" s="311"/>
      <c r="U455" s="312"/>
      <c r="V455" s="313">
        <f t="shared" si="149"/>
        <v>0</v>
      </c>
      <c r="W455" s="308"/>
      <c r="X455" s="309"/>
      <c r="Y455" s="310">
        <f t="shared" si="150"/>
        <v>0</v>
      </c>
      <c r="Z455" s="311"/>
      <c r="AA455" s="312"/>
      <c r="AB455" s="313">
        <f t="shared" si="151"/>
        <v>0</v>
      </c>
      <c r="AC455" s="308"/>
      <c r="AD455" s="309"/>
      <c r="AE455" s="310">
        <f t="shared" si="152"/>
        <v>0</v>
      </c>
      <c r="AF455" s="311"/>
      <c r="AG455" s="312"/>
      <c r="AH455" s="313">
        <f t="shared" si="153"/>
        <v>0</v>
      </c>
      <c r="AI455" s="308">
        <v>24</v>
      </c>
      <c r="AJ455" s="309">
        <v>48322.080000000002</v>
      </c>
      <c r="AK455" s="310">
        <f t="shared" si="154"/>
        <v>1159729.92</v>
      </c>
      <c r="AL455" s="311">
        <v>21</v>
      </c>
      <c r="AM455" s="312">
        <v>49079</v>
      </c>
      <c r="AN455" s="313">
        <f t="shared" si="155"/>
        <v>1030659</v>
      </c>
      <c r="AO455" s="308"/>
      <c r="AP455" s="309"/>
      <c r="AQ455" s="310">
        <f t="shared" si="156"/>
        <v>0</v>
      </c>
      <c r="AR455" s="311"/>
      <c r="AS455" s="312"/>
      <c r="AT455" s="313">
        <f t="shared" si="157"/>
        <v>0</v>
      </c>
      <c r="AU455" s="308"/>
      <c r="AV455" s="309"/>
      <c r="AW455" s="310">
        <f t="shared" si="158"/>
        <v>0</v>
      </c>
      <c r="AX455" s="311"/>
      <c r="AY455" s="312"/>
      <c r="AZ455" s="313">
        <f t="shared" si="159"/>
        <v>0</v>
      </c>
      <c r="BA455" s="308"/>
      <c r="BB455" s="309"/>
      <c r="BC455" s="310">
        <f t="shared" si="160"/>
        <v>0</v>
      </c>
      <c r="BD455" s="311"/>
      <c r="BE455" s="312"/>
      <c r="BF455" s="313">
        <f t="shared" si="161"/>
        <v>0</v>
      </c>
      <c r="BG455" s="308"/>
      <c r="BH455" s="309"/>
      <c r="BI455" s="310">
        <f t="shared" si="162"/>
        <v>0</v>
      </c>
      <c r="BJ455" s="311"/>
      <c r="BK455" s="312"/>
      <c r="BL455" s="313">
        <f t="shared" si="163"/>
        <v>0</v>
      </c>
      <c r="BM455" s="308"/>
      <c r="BN455" s="309"/>
      <c r="BO455" s="310">
        <f t="shared" si="164"/>
        <v>0</v>
      </c>
      <c r="BP455" s="311"/>
      <c r="BQ455" s="312"/>
      <c r="BR455" s="313">
        <f t="shared" si="165"/>
        <v>0</v>
      </c>
      <c r="BS455" s="308">
        <v>7</v>
      </c>
      <c r="BT455" s="309">
        <v>60624.59</v>
      </c>
      <c r="BU455" s="310">
        <f t="shared" si="166"/>
        <v>347221.27676600002</v>
      </c>
      <c r="BV455" s="311">
        <v>7</v>
      </c>
      <c r="BW455" s="312">
        <v>63050</v>
      </c>
      <c r="BX455" s="313">
        <f t="shared" si="167"/>
        <v>361112.57</v>
      </c>
    </row>
    <row r="456" spans="1:76">
      <c r="A456" s="314" t="s">
        <v>410</v>
      </c>
      <c r="B456" s="315" t="s">
        <v>612</v>
      </c>
      <c r="C456" s="314">
        <v>431017</v>
      </c>
      <c r="D456" s="314">
        <v>13</v>
      </c>
      <c r="E456" s="308"/>
      <c r="F456" s="309"/>
      <c r="G456" s="310">
        <f t="shared" si="144"/>
        <v>0</v>
      </c>
      <c r="H456" s="311"/>
      <c r="I456" s="312"/>
      <c r="J456" s="313">
        <f t="shared" si="145"/>
        <v>0</v>
      </c>
      <c r="K456" s="308"/>
      <c r="L456" s="309"/>
      <c r="M456" s="310">
        <f t="shared" si="146"/>
        <v>0</v>
      </c>
      <c r="N456" s="311"/>
      <c r="O456" s="312"/>
      <c r="P456" s="313">
        <f t="shared" si="147"/>
        <v>0</v>
      </c>
      <c r="Q456" s="308"/>
      <c r="R456" s="309"/>
      <c r="S456" s="310">
        <f t="shared" si="148"/>
        <v>0</v>
      </c>
      <c r="T456" s="311"/>
      <c r="U456" s="312"/>
      <c r="V456" s="313">
        <f t="shared" si="149"/>
        <v>0</v>
      </c>
      <c r="W456" s="308"/>
      <c r="X456" s="309"/>
      <c r="Y456" s="310">
        <f t="shared" si="150"/>
        <v>0</v>
      </c>
      <c r="Z456" s="311"/>
      <c r="AA456" s="312"/>
      <c r="AB456" s="313">
        <f t="shared" si="151"/>
        <v>0</v>
      </c>
      <c r="AC456" s="308"/>
      <c r="AD456" s="309"/>
      <c r="AE456" s="310">
        <f t="shared" si="152"/>
        <v>0</v>
      </c>
      <c r="AF456" s="311"/>
      <c r="AG456" s="312"/>
      <c r="AH456" s="313">
        <f t="shared" si="153"/>
        <v>0</v>
      </c>
      <c r="AI456" s="308">
        <v>20</v>
      </c>
      <c r="AJ456" s="309">
        <v>45356.15</v>
      </c>
      <c r="AK456" s="310">
        <f t="shared" si="154"/>
        <v>907123</v>
      </c>
      <c r="AL456" s="311">
        <v>21</v>
      </c>
      <c r="AM456" s="312">
        <v>46126</v>
      </c>
      <c r="AN456" s="313">
        <f t="shared" si="155"/>
        <v>968646</v>
      </c>
      <c r="AO456" s="308"/>
      <c r="AP456" s="309"/>
      <c r="AQ456" s="310">
        <f t="shared" si="156"/>
        <v>0</v>
      </c>
      <c r="AR456" s="311"/>
      <c r="AS456" s="312"/>
      <c r="AT456" s="313">
        <f t="shared" si="157"/>
        <v>0</v>
      </c>
      <c r="AU456" s="308"/>
      <c r="AV456" s="309"/>
      <c r="AW456" s="310">
        <f t="shared" si="158"/>
        <v>0</v>
      </c>
      <c r="AX456" s="311"/>
      <c r="AY456" s="312"/>
      <c r="AZ456" s="313">
        <f t="shared" si="159"/>
        <v>0</v>
      </c>
      <c r="BA456" s="308"/>
      <c r="BB456" s="309"/>
      <c r="BC456" s="310">
        <f t="shared" si="160"/>
        <v>0</v>
      </c>
      <c r="BD456" s="311"/>
      <c r="BE456" s="312"/>
      <c r="BF456" s="313">
        <f t="shared" si="161"/>
        <v>0</v>
      </c>
      <c r="BG456" s="308"/>
      <c r="BH456" s="309"/>
      <c r="BI456" s="310">
        <f t="shared" si="162"/>
        <v>0</v>
      </c>
      <c r="BJ456" s="311"/>
      <c r="BK456" s="312"/>
      <c r="BL456" s="313">
        <f t="shared" si="163"/>
        <v>0</v>
      </c>
      <c r="BM456" s="308"/>
      <c r="BN456" s="309"/>
      <c r="BO456" s="310">
        <f t="shared" si="164"/>
        <v>0</v>
      </c>
      <c r="BP456" s="311"/>
      <c r="BQ456" s="312"/>
      <c r="BR456" s="313">
        <f t="shared" si="165"/>
        <v>0</v>
      </c>
      <c r="BS456" s="308">
        <v>6</v>
      </c>
      <c r="BT456" s="309">
        <v>48861.5</v>
      </c>
      <c r="BU456" s="310">
        <f t="shared" si="166"/>
        <v>239870.87580000001</v>
      </c>
      <c r="BV456" s="311">
        <v>6</v>
      </c>
      <c r="BW456" s="312">
        <v>54057</v>
      </c>
      <c r="BX456" s="313">
        <f t="shared" si="167"/>
        <v>265376.62440000003</v>
      </c>
    </row>
    <row r="457" spans="1:76">
      <c r="A457" s="314" t="s">
        <v>410</v>
      </c>
      <c r="B457" s="315" t="s">
        <v>613</v>
      </c>
      <c r="C457" s="314">
        <v>420459</v>
      </c>
      <c r="D457" s="314">
        <v>13</v>
      </c>
      <c r="E457" s="308"/>
      <c r="F457" s="309"/>
      <c r="G457" s="310">
        <f t="shared" si="144"/>
        <v>0</v>
      </c>
      <c r="H457" s="311"/>
      <c r="I457" s="312"/>
      <c r="J457" s="313">
        <f t="shared" si="145"/>
        <v>0</v>
      </c>
      <c r="K457" s="308"/>
      <c r="L457" s="309"/>
      <c r="M457" s="310">
        <f t="shared" si="146"/>
        <v>0</v>
      </c>
      <c r="N457" s="311"/>
      <c r="O457" s="312"/>
      <c r="P457" s="313">
        <f t="shared" si="147"/>
        <v>0</v>
      </c>
      <c r="Q457" s="308"/>
      <c r="R457" s="309"/>
      <c r="S457" s="310">
        <f t="shared" si="148"/>
        <v>0</v>
      </c>
      <c r="T457" s="311"/>
      <c r="U457" s="312"/>
      <c r="V457" s="313">
        <f t="shared" si="149"/>
        <v>0</v>
      </c>
      <c r="W457" s="308"/>
      <c r="X457" s="309"/>
      <c r="Y457" s="310">
        <f t="shared" si="150"/>
        <v>0</v>
      </c>
      <c r="Z457" s="311"/>
      <c r="AA457" s="312"/>
      <c r="AB457" s="313">
        <f t="shared" si="151"/>
        <v>0</v>
      </c>
      <c r="AC457" s="308"/>
      <c r="AD457" s="309"/>
      <c r="AE457" s="310">
        <f t="shared" si="152"/>
        <v>0</v>
      </c>
      <c r="AF457" s="311"/>
      <c r="AG457" s="312"/>
      <c r="AH457" s="313">
        <f t="shared" si="153"/>
        <v>0</v>
      </c>
      <c r="AI457" s="308">
        <v>16</v>
      </c>
      <c r="AJ457" s="309">
        <v>52970.38</v>
      </c>
      <c r="AK457" s="310">
        <f t="shared" si="154"/>
        <v>847526.08</v>
      </c>
      <c r="AL457" s="311">
        <v>16</v>
      </c>
      <c r="AM457" s="312">
        <v>52573</v>
      </c>
      <c r="AN457" s="313">
        <f t="shared" si="155"/>
        <v>841168</v>
      </c>
      <c r="AO457" s="308"/>
      <c r="AP457" s="309"/>
      <c r="AQ457" s="310">
        <f t="shared" si="156"/>
        <v>0</v>
      </c>
      <c r="AR457" s="311"/>
      <c r="AS457" s="312"/>
      <c r="AT457" s="313">
        <f t="shared" si="157"/>
        <v>0</v>
      </c>
      <c r="AU457" s="308"/>
      <c r="AV457" s="309"/>
      <c r="AW457" s="310">
        <f t="shared" si="158"/>
        <v>0</v>
      </c>
      <c r="AX457" s="311"/>
      <c r="AY457" s="312"/>
      <c r="AZ457" s="313">
        <f t="shared" si="159"/>
        <v>0</v>
      </c>
      <c r="BA457" s="308"/>
      <c r="BB457" s="309"/>
      <c r="BC457" s="310">
        <f t="shared" si="160"/>
        <v>0</v>
      </c>
      <c r="BD457" s="311"/>
      <c r="BE457" s="312"/>
      <c r="BF457" s="313">
        <f t="shared" si="161"/>
        <v>0</v>
      </c>
      <c r="BG457" s="308"/>
      <c r="BH457" s="309"/>
      <c r="BI457" s="310">
        <f t="shared" si="162"/>
        <v>0</v>
      </c>
      <c r="BJ457" s="311"/>
      <c r="BK457" s="312"/>
      <c r="BL457" s="313">
        <f t="shared" si="163"/>
        <v>0</v>
      </c>
      <c r="BM457" s="308"/>
      <c r="BN457" s="309"/>
      <c r="BO457" s="310">
        <f t="shared" si="164"/>
        <v>0</v>
      </c>
      <c r="BP457" s="311"/>
      <c r="BQ457" s="312"/>
      <c r="BR457" s="313">
        <f t="shared" si="165"/>
        <v>0</v>
      </c>
      <c r="BS457" s="308">
        <v>5</v>
      </c>
      <c r="BT457" s="309">
        <v>58291.6</v>
      </c>
      <c r="BU457" s="310">
        <f t="shared" si="166"/>
        <v>238470.9356</v>
      </c>
      <c r="BV457" s="311">
        <v>5</v>
      </c>
      <c r="BW457" s="312">
        <v>61709</v>
      </c>
      <c r="BX457" s="313">
        <f t="shared" si="167"/>
        <v>252451.519</v>
      </c>
    </row>
    <row r="458" spans="1:76">
      <c r="A458" s="314" t="s">
        <v>410</v>
      </c>
      <c r="B458" s="315" t="s">
        <v>614</v>
      </c>
      <c r="C458" s="314">
        <v>432074</v>
      </c>
      <c r="D458" s="314">
        <v>13</v>
      </c>
      <c r="E458" s="308"/>
      <c r="F458" s="309"/>
      <c r="G458" s="310">
        <f t="shared" ref="G458:G521" si="168">E458*F458</f>
        <v>0</v>
      </c>
      <c r="H458" s="311"/>
      <c r="I458" s="312"/>
      <c r="J458" s="313">
        <f t="shared" ref="J458:J521" si="169">H458*I458</f>
        <v>0</v>
      </c>
      <c r="K458" s="308"/>
      <c r="L458" s="309"/>
      <c r="M458" s="310">
        <f t="shared" ref="M458:M521" si="170">K458*L458</f>
        <v>0</v>
      </c>
      <c r="N458" s="311"/>
      <c r="O458" s="312"/>
      <c r="P458" s="313">
        <f t="shared" ref="P458:P521" si="171">N458*O458</f>
        <v>0</v>
      </c>
      <c r="Q458" s="308"/>
      <c r="R458" s="309"/>
      <c r="S458" s="310">
        <f t="shared" ref="S458:S521" si="172">Q458*R458</f>
        <v>0</v>
      </c>
      <c r="T458" s="311"/>
      <c r="U458" s="312"/>
      <c r="V458" s="313">
        <f t="shared" ref="V458:V521" si="173">T458*U458</f>
        <v>0</v>
      </c>
      <c r="W458" s="308"/>
      <c r="X458" s="309"/>
      <c r="Y458" s="310">
        <f t="shared" ref="Y458:Y521" si="174">W458*X458</f>
        <v>0</v>
      </c>
      <c r="Z458" s="311"/>
      <c r="AA458" s="312"/>
      <c r="AB458" s="313">
        <f t="shared" ref="AB458:AB521" si="175">Z458*AA458</f>
        <v>0</v>
      </c>
      <c r="AC458" s="308"/>
      <c r="AD458" s="309"/>
      <c r="AE458" s="310">
        <f t="shared" ref="AE458:AE521" si="176">AC458*AD458</f>
        <v>0</v>
      </c>
      <c r="AF458" s="311"/>
      <c r="AG458" s="312"/>
      <c r="AH458" s="313">
        <f t="shared" ref="AH458:AH521" si="177">AF458*AG458</f>
        <v>0</v>
      </c>
      <c r="AI458" s="308">
        <v>5</v>
      </c>
      <c r="AJ458" s="309">
        <v>51622.400000000001</v>
      </c>
      <c r="AK458" s="310">
        <f t="shared" ref="AK458:AK521" si="178">AI458*AJ458</f>
        <v>258112</v>
      </c>
      <c r="AL458" s="311">
        <v>5</v>
      </c>
      <c r="AM458" s="312">
        <v>52169</v>
      </c>
      <c r="AN458" s="313">
        <f t="shared" ref="AN458:AN521" si="179">AL458*AM458</f>
        <v>260845</v>
      </c>
      <c r="AO458" s="308"/>
      <c r="AP458" s="309"/>
      <c r="AQ458" s="310">
        <f t="shared" ref="AQ458:AQ521" si="180">(AO458*AP458)*0.8182</f>
        <v>0</v>
      </c>
      <c r="AR458" s="311"/>
      <c r="AS458" s="312"/>
      <c r="AT458" s="313">
        <f t="shared" ref="AT458:AT521" si="181">(AR458*AS458)*0.8182</f>
        <v>0</v>
      </c>
      <c r="AU458" s="308"/>
      <c r="AV458" s="309"/>
      <c r="AW458" s="310">
        <f t="shared" ref="AW458:AW521" si="182">(AU458*AV458)*0.8182</f>
        <v>0</v>
      </c>
      <c r="AX458" s="311"/>
      <c r="AY458" s="312"/>
      <c r="AZ458" s="313">
        <f t="shared" ref="AZ458:AZ521" si="183">(AX458*AY458)*0.8182</f>
        <v>0</v>
      </c>
      <c r="BA458" s="308"/>
      <c r="BB458" s="309"/>
      <c r="BC458" s="310">
        <f t="shared" ref="BC458:BC521" si="184">(BA458*BB458)*0.8182</f>
        <v>0</v>
      </c>
      <c r="BD458" s="311"/>
      <c r="BE458" s="312"/>
      <c r="BF458" s="313">
        <f t="shared" ref="BF458:BF521" si="185">(BD458*BE458)*0.8182</f>
        <v>0</v>
      </c>
      <c r="BG458" s="308"/>
      <c r="BH458" s="309"/>
      <c r="BI458" s="310">
        <f t="shared" ref="BI458:BI521" si="186">(BG458*BH458)*0.8182</f>
        <v>0</v>
      </c>
      <c r="BJ458" s="311"/>
      <c r="BK458" s="312"/>
      <c r="BL458" s="313">
        <f t="shared" ref="BL458:BL521" si="187">(BJ458*BK458)*0.8182</f>
        <v>0</v>
      </c>
      <c r="BM458" s="308"/>
      <c r="BN458" s="309"/>
      <c r="BO458" s="310">
        <f t="shared" ref="BO458:BO521" si="188">(BM458*BN458)*0.8182</f>
        <v>0</v>
      </c>
      <c r="BP458" s="311"/>
      <c r="BQ458" s="312"/>
      <c r="BR458" s="313">
        <f t="shared" ref="BR458:BR521" si="189">(BP458*BQ458)*0.8182</f>
        <v>0</v>
      </c>
      <c r="BS458" s="308">
        <v>3</v>
      </c>
      <c r="BT458" s="309">
        <v>62008.33</v>
      </c>
      <c r="BU458" s="310">
        <f t="shared" ref="BU458:BU521" si="190">(BS458*BT458)*0.8182</f>
        <v>152205.64681800001</v>
      </c>
      <c r="BV458" s="311">
        <v>3</v>
      </c>
      <c r="BW458" s="312">
        <v>63032</v>
      </c>
      <c r="BX458" s="313">
        <f t="shared" ref="BX458:BX521" si="191">(BV458*BW458)*0.8182</f>
        <v>154718.34720000002</v>
      </c>
    </row>
    <row r="459" spans="1:76">
      <c r="A459" s="314" t="s">
        <v>410</v>
      </c>
      <c r="B459" s="315" t="s">
        <v>615</v>
      </c>
      <c r="C459" s="314">
        <v>418339</v>
      </c>
      <c r="D459" s="314">
        <v>13</v>
      </c>
      <c r="E459" s="308"/>
      <c r="F459" s="309"/>
      <c r="G459" s="310">
        <f t="shared" si="168"/>
        <v>0</v>
      </c>
      <c r="H459" s="311"/>
      <c r="I459" s="312"/>
      <c r="J459" s="313">
        <f t="shared" si="169"/>
        <v>0</v>
      </c>
      <c r="K459" s="308"/>
      <c r="L459" s="309"/>
      <c r="M459" s="310">
        <f t="shared" si="170"/>
        <v>0</v>
      </c>
      <c r="N459" s="311"/>
      <c r="O459" s="312"/>
      <c r="P459" s="313">
        <f t="shared" si="171"/>
        <v>0</v>
      </c>
      <c r="Q459" s="308"/>
      <c r="R459" s="309"/>
      <c r="S459" s="310">
        <f t="shared" si="172"/>
        <v>0</v>
      </c>
      <c r="T459" s="311"/>
      <c r="U459" s="312"/>
      <c r="V459" s="313">
        <f t="shared" si="173"/>
        <v>0</v>
      </c>
      <c r="W459" s="308"/>
      <c r="X459" s="309"/>
      <c r="Y459" s="310">
        <f t="shared" si="174"/>
        <v>0</v>
      </c>
      <c r="Z459" s="311"/>
      <c r="AA459" s="312"/>
      <c r="AB459" s="313">
        <f t="shared" si="175"/>
        <v>0</v>
      </c>
      <c r="AC459" s="308"/>
      <c r="AD459" s="309"/>
      <c r="AE459" s="310">
        <f t="shared" si="176"/>
        <v>0</v>
      </c>
      <c r="AF459" s="311"/>
      <c r="AG459" s="312"/>
      <c r="AH459" s="313">
        <f t="shared" si="177"/>
        <v>0</v>
      </c>
      <c r="AI459" s="308">
        <v>15</v>
      </c>
      <c r="AJ459" s="309">
        <v>52224</v>
      </c>
      <c r="AK459" s="310">
        <f t="shared" si="178"/>
        <v>783360</v>
      </c>
      <c r="AL459" s="311">
        <v>15</v>
      </c>
      <c r="AM459" s="312">
        <v>53066</v>
      </c>
      <c r="AN459" s="313">
        <f t="shared" si="179"/>
        <v>795990</v>
      </c>
      <c r="AO459" s="308"/>
      <c r="AP459" s="309"/>
      <c r="AQ459" s="310">
        <f t="shared" si="180"/>
        <v>0</v>
      </c>
      <c r="AR459" s="311"/>
      <c r="AS459" s="312"/>
      <c r="AT459" s="313">
        <f t="shared" si="181"/>
        <v>0</v>
      </c>
      <c r="AU459" s="308"/>
      <c r="AV459" s="309"/>
      <c r="AW459" s="310">
        <f t="shared" si="182"/>
        <v>0</v>
      </c>
      <c r="AX459" s="311"/>
      <c r="AY459" s="312"/>
      <c r="AZ459" s="313">
        <f t="shared" si="183"/>
        <v>0</v>
      </c>
      <c r="BA459" s="308"/>
      <c r="BB459" s="309"/>
      <c r="BC459" s="310">
        <f t="shared" si="184"/>
        <v>0</v>
      </c>
      <c r="BD459" s="311"/>
      <c r="BE459" s="312"/>
      <c r="BF459" s="313">
        <f t="shared" si="185"/>
        <v>0</v>
      </c>
      <c r="BG459" s="308"/>
      <c r="BH459" s="309"/>
      <c r="BI459" s="310">
        <f t="shared" si="186"/>
        <v>0</v>
      </c>
      <c r="BJ459" s="311"/>
      <c r="BK459" s="312"/>
      <c r="BL459" s="313">
        <f t="shared" si="187"/>
        <v>0</v>
      </c>
      <c r="BM459" s="308"/>
      <c r="BN459" s="309"/>
      <c r="BO459" s="310">
        <f t="shared" si="188"/>
        <v>0</v>
      </c>
      <c r="BP459" s="311"/>
      <c r="BQ459" s="312"/>
      <c r="BR459" s="313">
        <f t="shared" si="189"/>
        <v>0</v>
      </c>
      <c r="BS459" s="308">
        <v>4</v>
      </c>
      <c r="BT459" s="309">
        <v>65319.5</v>
      </c>
      <c r="BU459" s="310">
        <f t="shared" si="190"/>
        <v>213777.65960000001</v>
      </c>
      <c r="BV459" s="311">
        <v>4</v>
      </c>
      <c r="BW459" s="312">
        <v>55372</v>
      </c>
      <c r="BX459" s="313">
        <f t="shared" si="191"/>
        <v>181221.4816</v>
      </c>
    </row>
    <row r="460" spans="1:76">
      <c r="A460" s="314" t="s">
        <v>410</v>
      </c>
      <c r="B460" s="315" t="s">
        <v>616</v>
      </c>
      <c r="C460" s="314">
        <v>366623</v>
      </c>
      <c r="D460" s="314">
        <v>13</v>
      </c>
      <c r="E460" s="308"/>
      <c r="F460" s="309"/>
      <c r="G460" s="310">
        <f t="shared" si="168"/>
        <v>0</v>
      </c>
      <c r="H460" s="311"/>
      <c r="I460" s="312"/>
      <c r="J460" s="313">
        <f t="shared" si="169"/>
        <v>0</v>
      </c>
      <c r="K460" s="308"/>
      <c r="L460" s="309"/>
      <c r="M460" s="310">
        <f t="shared" si="170"/>
        <v>0</v>
      </c>
      <c r="N460" s="311"/>
      <c r="O460" s="312"/>
      <c r="P460" s="313">
        <f t="shared" si="171"/>
        <v>0</v>
      </c>
      <c r="Q460" s="308"/>
      <c r="R460" s="309"/>
      <c r="S460" s="310">
        <f t="shared" si="172"/>
        <v>0</v>
      </c>
      <c r="T460" s="311"/>
      <c r="U460" s="312"/>
      <c r="V460" s="313">
        <f t="shared" si="173"/>
        <v>0</v>
      </c>
      <c r="W460" s="308"/>
      <c r="X460" s="309"/>
      <c r="Y460" s="310">
        <f t="shared" si="174"/>
        <v>0</v>
      </c>
      <c r="Z460" s="311"/>
      <c r="AA460" s="312"/>
      <c r="AB460" s="313">
        <f t="shared" si="175"/>
        <v>0</v>
      </c>
      <c r="AC460" s="308"/>
      <c r="AD460" s="309"/>
      <c r="AE460" s="310">
        <f t="shared" si="176"/>
        <v>0</v>
      </c>
      <c r="AF460" s="311"/>
      <c r="AG460" s="312"/>
      <c r="AH460" s="313">
        <f t="shared" si="177"/>
        <v>0</v>
      </c>
      <c r="AI460" s="308">
        <v>7</v>
      </c>
      <c r="AJ460" s="309">
        <v>48871</v>
      </c>
      <c r="AK460" s="310">
        <f t="shared" si="178"/>
        <v>342097</v>
      </c>
      <c r="AL460" s="311">
        <v>6</v>
      </c>
      <c r="AM460" s="312">
        <v>50577</v>
      </c>
      <c r="AN460" s="313">
        <f t="shared" si="179"/>
        <v>303462</v>
      </c>
      <c r="AO460" s="308"/>
      <c r="AP460" s="309"/>
      <c r="AQ460" s="310">
        <f t="shared" si="180"/>
        <v>0</v>
      </c>
      <c r="AR460" s="311"/>
      <c r="AS460" s="312"/>
      <c r="AT460" s="313">
        <f t="shared" si="181"/>
        <v>0</v>
      </c>
      <c r="AU460" s="308"/>
      <c r="AV460" s="309"/>
      <c r="AW460" s="310">
        <f t="shared" si="182"/>
        <v>0</v>
      </c>
      <c r="AX460" s="311"/>
      <c r="AY460" s="312"/>
      <c r="AZ460" s="313">
        <f t="shared" si="183"/>
        <v>0</v>
      </c>
      <c r="BA460" s="308"/>
      <c r="BB460" s="309"/>
      <c r="BC460" s="310">
        <f t="shared" si="184"/>
        <v>0</v>
      </c>
      <c r="BD460" s="311"/>
      <c r="BE460" s="312"/>
      <c r="BF460" s="313">
        <f t="shared" si="185"/>
        <v>0</v>
      </c>
      <c r="BG460" s="308"/>
      <c r="BH460" s="309"/>
      <c r="BI460" s="310">
        <f t="shared" si="186"/>
        <v>0</v>
      </c>
      <c r="BJ460" s="311"/>
      <c r="BK460" s="312"/>
      <c r="BL460" s="313">
        <f t="shared" si="187"/>
        <v>0</v>
      </c>
      <c r="BM460" s="308"/>
      <c r="BN460" s="309"/>
      <c r="BO460" s="310">
        <f t="shared" si="188"/>
        <v>0</v>
      </c>
      <c r="BP460" s="311"/>
      <c r="BQ460" s="312"/>
      <c r="BR460" s="313">
        <f t="shared" si="189"/>
        <v>0</v>
      </c>
      <c r="BS460" s="308">
        <v>1</v>
      </c>
      <c r="BT460" s="309">
        <v>58380</v>
      </c>
      <c r="BU460" s="310">
        <f t="shared" si="190"/>
        <v>47766.516000000003</v>
      </c>
      <c r="BV460" s="311">
        <v>1</v>
      </c>
      <c r="BW460" s="312">
        <v>60312</v>
      </c>
      <c r="BX460" s="313">
        <f t="shared" si="191"/>
        <v>49347.278400000003</v>
      </c>
    </row>
    <row r="461" spans="1:76">
      <c r="A461" s="314" t="s">
        <v>410</v>
      </c>
      <c r="B461" s="315" t="s">
        <v>617</v>
      </c>
      <c r="C461" s="314">
        <v>407601</v>
      </c>
      <c r="D461" s="314">
        <v>13</v>
      </c>
      <c r="E461" s="308"/>
      <c r="F461" s="309"/>
      <c r="G461" s="310">
        <f t="shared" si="168"/>
        <v>0</v>
      </c>
      <c r="H461" s="311"/>
      <c r="I461" s="312"/>
      <c r="J461" s="313">
        <f t="shared" si="169"/>
        <v>0</v>
      </c>
      <c r="K461" s="308"/>
      <c r="L461" s="309"/>
      <c r="M461" s="310">
        <f t="shared" si="170"/>
        <v>0</v>
      </c>
      <c r="N461" s="311"/>
      <c r="O461" s="312"/>
      <c r="P461" s="313">
        <f t="shared" si="171"/>
        <v>0</v>
      </c>
      <c r="Q461" s="308"/>
      <c r="R461" s="309"/>
      <c r="S461" s="310">
        <f t="shared" si="172"/>
        <v>0</v>
      </c>
      <c r="T461" s="311"/>
      <c r="U461" s="312"/>
      <c r="V461" s="313">
        <f t="shared" si="173"/>
        <v>0</v>
      </c>
      <c r="W461" s="308"/>
      <c r="X461" s="309"/>
      <c r="Y461" s="310">
        <f t="shared" si="174"/>
        <v>0</v>
      </c>
      <c r="Z461" s="311"/>
      <c r="AA461" s="312"/>
      <c r="AB461" s="313">
        <f t="shared" si="175"/>
        <v>0</v>
      </c>
      <c r="AC461" s="308"/>
      <c r="AD461" s="309"/>
      <c r="AE461" s="310">
        <f t="shared" si="176"/>
        <v>0</v>
      </c>
      <c r="AF461" s="311"/>
      <c r="AG461" s="312"/>
      <c r="AH461" s="313">
        <f t="shared" si="177"/>
        <v>0</v>
      </c>
      <c r="AI461" s="308">
        <v>6</v>
      </c>
      <c r="AJ461" s="309">
        <v>48816.67</v>
      </c>
      <c r="AK461" s="310">
        <f t="shared" si="178"/>
        <v>292900.02</v>
      </c>
      <c r="AL461" s="311">
        <v>5</v>
      </c>
      <c r="AM461" s="312">
        <v>50200</v>
      </c>
      <c r="AN461" s="313">
        <f t="shared" si="179"/>
        <v>251000</v>
      </c>
      <c r="AO461" s="308"/>
      <c r="AP461" s="309"/>
      <c r="AQ461" s="310">
        <f t="shared" si="180"/>
        <v>0</v>
      </c>
      <c r="AR461" s="311"/>
      <c r="AS461" s="312"/>
      <c r="AT461" s="313">
        <f t="shared" si="181"/>
        <v>0</v>
      </c>
      <c r="AU461" s="308"/>
      <c r="AV461" s="309"/>
      <c r="AW461" s="310">
        <f t="shared" si="182"/>
        <v>0</v>
      </c>
      <c r="AX461" s="311"/>
      <c r="AY461" s="312"/>
      <c r="AZ461" s="313">
        <f t="shared" si="183"/>
        <v>0</v>
      </c>
      <c r="BA461" s="308"/>
      <c r="BB461" s="309"/>
      <c r="BC461" s="310">
        <f t="shared" si="184"/>
        <v>0</v>
      </c>
      <c r="BD461" s="311"/>
      <c r="BE461" s="312"/>
      <c r="BF461" s="313">
        <f t="shared" si="185"/>
        <v>0</v>
      </c>
      <c r="BG461" s="308"/>
      <c r="BH461" s="309"/>
      <c r="BI461" s="310">
        <f t="shared" si="186"/>
        <v>0</v>
      </c>
      <c r="BJ461" s="311"/>
      <c r="BK461" s="312"/>
      <c r="BL461" s="313">
        <f t="shared" si="187"/>
        <v>0</v>
      </c>
      <c r="BM461" s="308"/>
      <c r="BN461" s="309"/>
      <c r="BO461" s="310">
        <f t="shared" si="188"/>
        <v>0</v>
      </c>
      <c r="BP461" s="311"/>
      <c r="BQ461" s="312"/>
      <c r="BR461" s="313">
        <f t="shared" si="189"/>
        <v>0</v>
      </c>
      <c r="BS461" s="308"/>
      <c r="BT461" s="309"/>
      <c r="BU461" s="310">
        <f t="shared" si="190"/>
        <v>0</v>
      </c>
      <c r="BV461" s="311"/>
      <c r="BW461" s="312"/>
      <c r="BX461" s="313">
        <f t="shared" si="191"/>
        <v>0</v>
      </c>
    </row>
    <row r="462" spans="1:76">
      <c r="A462" s="314" t="s">
        <v>410</v>
      </c>
      <c r="B462" s="315" t="s">
        <v>618</v>
      </c>
      <c r="C462" s="314">
        <v>364627</v>
      </c>
      <c r="D462" s="314">
        <v>13</v>
      </c>
      <c r="E462" s="308"/>
      <c r="F462" s="309"/>
      <c r="G462" s="310">
        <f t="shared" si="168"/>
        <v>0</v>
      </c>
      <c r="H462" s="311"/>
      <c r="I462" s="312"/>
      <c r="J462" s="313">
        <f t="shared" si="169"/>
        <v>0</v>
      </c>
      <c r="K462" s="308"/>
      <c r="L462" s="309"/>
      <c r="M462" s="310">
        <f t="shared" si="170"/>
        <v>0</v>
      </c>
      <c r="N462" s="311"/>
      <c r="O462" s="312"/>
      <c r="P462" s="313">
        <f t="shared" si="171"/>
        <v>0</v>
      </c>
      <c r="Q462" s="308"/>
      <c r="R462" s="309"/>
      <c r="S462" s="310">
        <f t="shared" si="172"/>
        <v>0</v>
      </c>
      <c r="T462" s="311"/>
      <c r="U462" s="312"/>
      <c r="V462" s="313">
        <f t="shared" si="173"/>
        <v>0</v>
      </c>
      <c r="W462" s="308"/>
      <c r="X462" s="309"/>
      <c r="Y462" s="310">
        <f t="shared" si="174"/>
        <v>0</v>
      </c>
      <c r="Z462" s="311"/>
      <c r="AA462" s="312"/>
      <c r="AB462" s="313">
        <f t="shared" si="175"/>
        <v>0</v>
      </c>
      <c r="AC462" s="308"/>
      <c r="AD462" s="309"/>
      <c r="AE462" s="310">
        <f t="shared" si="176"/>
        <v>0</v>
      </c>
      <c r="AF462" s="311"/>
      <c r="AG462" s="312"/>
      <c r="AH462" s="313">
        <f t="shared" si="177"/>
        <v>0</v>
      </c>
      <c r="AI462" s="308">
        <v>14</v>
      </c>
      <c r="AJ462" s="309">
        <v>46622.79</v>
      </c>
      <c r="AK462" s="310">
        <f t="shared" si="178"/>
        <v>652719.06000000006</v>
      </c>
      <c r="AL462" s="311">
        <v>16</v>
      </c>
      <c r="AM462" s="312">
        <v>50059</v>
      </c>
      <c r="AN462" s="313">
        <f t="shared" si="179"/>
        <v>800944</v>
      </c>
      <c r="AO462" s="308"/>
      <c r="AP462" s="309"/>
      <c r="AQ462" s="310">
        <f t="shared" si="180"/>
        <v>0</v>
      </c>
      <c r="AR462" s="311"/>
      <c r="AS462" s="312"/>
      <c r="AT462" s="313">
        <f t="shared" si="181"/>
        <v>0</v>
      </c>
      <c r="AU462" s="308"/>
      <c r="AV462" s="309"/>
      <c r="AW462" s="310">
        <f t="shared" si="182"/>
        <v>0</v>
      </c>
      <c r="AX462" s="311"/>
      <c r="AY462" s="312"/>
      <c r="AZ462" s="313">
        <f t="shared" si="183"/>
        <v>0</v>
      </c>
      <c r="BA462" s="308"/>
      <c r="BB462" s="309"/>
      <c r="BC462" s="310">
        <f t="shared" si="184"/>
        <v>0</v>
      </c>
      <c r="BD462" s="311"/>
      <c r="BE462" s="312"/>
      <c r="BF462" s="313">
        <f t="shared" si="185"/>
        <v>0</v>
      </c>
      <c r="BG462" s="308"/>
      <c r="BH462" s="309"/>
      <c r="BI462" s="310">
        <f t="shared" si="186"/>
        <v>0</v>
      </c>
      <c r="BJ462" s="311"/>
      <c r="BK462" s="312"/>
      <c r="BL462" s="313">
        <f t="shared" si="187"/>
        <v>0</v>
      </c>
      <c r="BM462" s="308"/>
      <c r="BN462" s="309"/>
      <c r="BO462" s="310">
        <f t="shared" si="188"/>
        <v>0</v>
      </c>
      <c r="BP462" s="311"/>
      <c r="BQ462" s="312"/>
      <c r="BR462" s="313">
        <f t="shared" si="189"/>
        <v>0</v>
      </c>
      <c r="BS462" s="308">
        <v>10</v>
      </c>
      <c r="BT462" s="309">
        <v>51702.9</v>
      </c>
      <c r="BU462" s="310">
        <f t="shared" si="190"/>
        <v>423033.12780000002</v>
      </c>
      <c r="BV462" s="311">
        <v>8</v>
      </c>
      <c r="BW462" s="312">
        <v>53519</v>
      </c>
      <c r="BX462" s="313">
        <f t="shared" si="191"/>
        <v>350313.96640000003</v>
      </c>
    </row>
    <row r="463" spans="1:76">
      <c r="A463" s="314" t="s">
        <v>410</v>
      </c>
      <c r="B463" s="315" t="s">
        <v>619</v>
      </c>
      <c r="C463" s="314">
        <v>206905</v>
      </c>
      <c r="D463" s="314">
        <v>13</v>
      </c>
      <c r="E463" s="308"/>
      <c r="F463" s="309"/>
      <c r="G463" s="310">
        <f t="shared" si="168"/>
        <v>0</v>
      </c>
      <c r="H463" s="311"/>
      <c r="I463" s="312"/>
      <c r="J463" s="313">
        <f t="shared" si="169"/>
        <v>0</v>
      </c>
      <c r="K463" s="308"/>
      <c r="L463" s="309"/>
      <c r="M463" s="310">
        <f t="shared" si="170"/>
        <v>0</v>
      </c>
      <c r="N463" s="311"/>
      <c r="O463" s="312"/>
      <c r="P463" s="313">
        <f t="shared" si="171"/>
        <v>0</v>
      </c>
      <c r="Q463" s="308"/>
      <c r="R463" s="309"/>
      <c r="S463" s="310">
        <f t="shared" si="172"/>
        <v>0</v>
      </c>
      <c r="T463" s="311"/>
      <c r="U463" s="312"/>
      <c r="V463" s="313">
        <f t="shared" si="173"/>
        <v>0</v>
      </c>
      <c r="W463" s="308"/>
      <c r="X463" s="309"/>
      <c r="Y463" s="310">
        <f t="shared" si="174"/>
        <v>0</v>
      </c>
      <c r="Z463" s="311"/>
      <c r="AA463" s="312"/>
      <c r="AB463" s="313">
        <f t="shared" si="175"/>
        <v>0</v>
      </c>
      <c r="AC463" s="308"/>
      <c r="AD463" s="309"/>
      <c r="AE463" s="310">
        <f t="shared" si="176"/>
        <v>0</v>
      </c>
      <c r="AF463" s="311"/>
      <c r="AG463" s="312"/>
      <c r="AH463" s="313">
        <f t="shared" si="177"/>
        <v>0</v>
      </c>
      <c r="AI463" s="308">
        <v>5</v>
      </c>
      <c r="AJ463" s="309">
        <v>41583.4</v>
      </c>
      <c r="AK463" s="310">
        <f t="shared" si="178"/>
        <v>207917</v>
      </c>
      <c r="AL463" s="311">
        <v>6</v>
      </c>
      <c r="AM463" s="312">
        <v>44996</v>
      </c>
      <c r="AN463" s="313">
        <f t="shared" si="179"/>
        <v>269976</v>
      </c>
      <c r="AO463" s="308"/>
      <c r="AP463" s="309"/>
      <c r="AQ463" s="310">
        <f t="shared" si="180"/>
        <v>0</v>
      </c>
      <c r="AR463" s="311"/>
      <c r="AS463" s="312"/>
      <c r="AT463" s="313">
        <f t="shared" si="181"/>
        <v>0</v>
      </c>
      <c r="AU463" s="308"/>
      <c r="AV463" s="309"/>
      <c r="AW463" s="310">
        <f t="shared" si="182"/>
        <v>0</v>
      </c>
      <c r="AX463" s="311"/>
      <c r="AY463" s="312"/>
      <c r="AZ463" s="313">
        <f t="shared" si="183"/>
        <v>0</v>
      </c>
      <c r="BA463" s="308"/>
      <c r="BB463" s="309"/>
      <c r="BC463" s="310">
        <f t="shared" si="184"/>
        <v>0</v>
      </c>
      <c r="BD463" s="311"/>
      <c r="BE463" s="312"/>
      <c r="BF463" s="313">
        <f t="shared" si="185"/>
        <v>0</v>
      </c>
      <c r="BG463" s="308"/>
      <c r="BH463" s="309"/>
      <c r="BI463" s="310">
        <f t="shared" si="186"/>
        <v>0</v>
      </c>
      <c r="BJ463" s="311"/>
      <c r="BK463" s="312"/>
      <c r="BL463" s="313">
        <f t="shared" si="187"/>
        <v>0</v>
      </c>
      <c r="BM463" s="308"/>
      <c r="BN463" s="309"/>
      <c r="BO463" s="310">
        <f t="shared" si="188"/>
        <v>0</v>
      </c>
      <c r="BP463" s="311"/>
      <c r="BQ463" s="312"/>
      <c r="BR463" s="313">
        <f t="shared" si="189"/>
        <v>0</v>
      </c>
      <c r="BS463" s="308">
        <v>8</v>
      </c>
      <c r="BT463" s="309">
        <v>44518.879999999997</v>
      </c>
      <c r="BU463" s="310">
        <f t="shared" si="190"/>
        <v>291402.78092799999</v>
      </c>
      <c r="BV463" s="311">
        <v>7</v>
      </c>
      <c r="BW463" s="312">
        <v>51530</v>
      </c>
      <c r="BX463" s="313">
        <f t="shared" si="191"/>
        <v>295132.92200000002</v>
      </c>
    </row>
    <row r="464" spans="1:76">
      <c r="A464" s="314" t="s">
        <v>410</v>
      </c>
      <c r="B464" s="315" t="s">
        <v>620</v>
      </c>
      <c r="C464" s="314">
        <v>250993</v>
      </c>
      <c r="D464" s="314">
        <v>13</v>
      </c>
      <c r="E464" s="308"/>
      <c r="F464" s="309"/>
      <c r="G464" s="310">
        <f t="shared" si="168"/>
        <v>0</v>
      </c>
      <c r="H464" s="311"/>
      <c r="I464" s="312"/>
      <c r="J464" s="313">
        <f t="shared" si="169"/>
        <v>0</v>
      </c>
      <c r="K464" s="308"/>
      <c r="L464" s="309"/>
      <c r="M464" s="310">
        <f t="shared" si="170"/>
        <v>0</v>
      </c>
      <c r="N464" s="311"/>
      <c r="O464" s="312"/>
      <c r="P464" s="313">
        <f t="shared" si="171"/>
        <v>0</v>
      </c>
      <c r="Q464" s="308"/>
      <c r="R464" s="309"/>
      <c r="S464" s="310">
        <f t="shared" si="172"/>
        <v>0</v>
      </c>
      <c r="T464" s="311"/>
      <c r="U464" s="312"/>
      <c r="V464" s="313">
        <f t="shared" si="173"/>
        <v>0</v>
      </c>
      <c r="W464" s="308"/>
      <c r="X464" s="309"/>
      <c r="Y464" s="310">
        <f t="shared" si="174"/>
        <v>0</v>
      </c>
      <c r="Z464" s="311"/>
      <c r="AA464" s="312"/>
      <c r="AB464" s="313">
        <f t="shared" si="175"/>
        <v>0</v>
      </c>
      <c r="AC464" s="308"/>
      <c r="AD464" s="309"/>
      <c r="AE464" s="310">
        <f t="shared" si="176"/>
        <v>0</v>
      </c>
      <c r="AF464" s="311"/>
      <c r="AG464" s="312"/>
      <c r="AH464" s="313">
        <f t="shared" si="177"/>
        <v>0</v>
      </c>
      <c r="AI464" s="308">
        <v>16</v>
      </c>
      <c r="AJ464" s="309">
        <v>46243</v>
      </c>
      <c r="AK464" s="310">
        <f t="shared" si="178"/>
        <v>739888</v>
      </c>
      <c r="AL464" s="311">
        <v>14</v>
      </c>
      <c r="AM464" s="312">
        <v>47595</v>
      </c>
      <c r="AN464" s="313">
        <f t="shared" si="179"/>
        <v>666330</v>
      </c>
      <c r="AO464" s="308"/>
      <c r="AP464" s="309"/>
      <c r="AQ464" s="310">
        <f t="shared" si="180"/>
        <v>0</v>
      </c>
      <c r="AR464" s="311"/>
      <c r="AS464" s="312"/>
      <c r="AT464" s="313">
        <f t="shared" si="181"/>
        <v>0</v>
      </c>
      <c r="AU464" s="308"/>
      <c r="AV464" s="309"/>
      <c r="AW464" s="310">
        <f t="shared" si="182"/>
        <v>0</v>
      </c>
      <c r="AX464" s="311"/>
      <c r="AY464" s="312"/>
      <c r="AZ464" s="313">
        <f t="shared" si="183"/>
        <v>0</v>
      </c>
      <c r="BA464" s="308"/>
      <c r="BB464" s="309"/>
      <c r="BC464" s="310">
        <f t="shared" si="184"/>
        <v>0</v>
      </c>
      <c r="BD464" s="311"/>
      <c r="BE464" s="312"/>
      <c r="BF464" s="313">
        <f t="shared" si="185"/>
        <v>0</v>
      </c>
      <c r="BG464" s="308"/>
      <c r="BH464" s="309"/>
      <c r="BI464" s="310">
        <f t="shared" si="186"/>
        <v>0</v>
      </c>
      <c r="BJ464" s="311"/>
      <c r="BK464" s="312"/>
      <c r="BL464" s="313">
        <f t="shared" si="187"/>
        <v>0</v>
      </c>
      <c r="BM464" s="308"/>
      <c r="BN464" s="309"/>
      <c r="BO464" s="310">
        <f t="shared" si="188"/>
        <v>0</v>
      </c>
      <c r="BP464" s="311"/>
      <c r="BQ464" s="312"/>
      <c r="BR464" s="313">
        <f t="shared" si="189"/>
        <v>0</v>
      </c>
      <c r="BS464" s="308">
        <v>7</v>
      </c>
      <c r="BT464" s="309">
        <v>48649.29</v>
      </c>
      <c r="BU464" s="310">
        <f t="shared" si="190"/>
        <v>278633.94354600005</v>
      </c>
      <c r="BV464" s="311">
        <v>6</v>
      </c>
      <c r="BW464" s="312">
        <v>49135</v>
      </c>
      <c r="BX464" s="313">
        <f t="shared" si="191"/>
        <v>241213.54200000002</v>
      </c>
    </row>
    <row r="465" spans="1:76">
      <c r="A465" s="314" t="s">
        <v>410</v>
      </c>
      <c r="B465" s="315" t="s">
        <v>621</v>
      </c>
      <c r="C465" s="314">
        <v>365198</v>
      </c>
      <c r="D465" s="314">
        <v>13</v>
      </c>
      <c r="E465" s="308"/>
      <c r="F465" s="309"/>
      <c r="G465" s="310">
        <f t="shared" si="168"/>
        <v>0</v>
      </c>
      <c r="H465" s="311"/>
      <c r="I465" s="312"/>
      <c r="J465" s="313">
        <f t="shared" si="169"/>
        <v>0</v>
      </c>
      <c r="K465" s="308"/>
      <c r="L465" s="309"/>
      <c r="M465" s="310">
        <f t="shared" si="170"/>
        <v>0</v>
      </c>
      <c r="N465" s="311"/>
      <c r="O465" s="312"/>
      <c r="P465" s="313">
        <f t="shared" si="171"/>
        <v>0</v>
      </c>
      <c r="Q465" s="308"/>
      <c r="R465" s="309"/>
      <c r="S465" s="310">
        <f t="shared" si="172"/>
        <v>0</v>
      </c>
      <c r="T465" s="311"/>
      <c r="U465" s="312"/>
      <c r="V465" s="313">
        <f t="shared" si="173"/>
        <v>0</v>
      </c>
      <c r="W465" s="308"/>
      <c r="X465" s="309"/>
      <c r="Y465" s="310">
        <f t="shared" si="174"/>
        <v>0</v>
      </c>
      <c r="Z465" s="311"/>
      <c r="AA465" s="312"/>
      <c r="AB465" s="313">
        <f t="shared" si="175"/>
        <v>0</v>
      </c>
      <c r="AC465" s="308"/>
      <c r="AD465" s="309"/>
      <c r="AE465" s="310">
        <f t="shared" si="176"/>
        <v>0</v>
      </c>
      <c r="AF465" s="311"/>
      <c r="AG465" s="312"/>
      <c r="AH465" s="313">
        <f t="shared" si="177"/>
        <v>0</v>
      </c>
      <c r="AI465" s="308"/>
      <c r="AJ465" s="309"/>
      <c r="AK465" s="310">
        <f t="shared" si="178"/>
        <v>0</v>
      </c>
      <c r="AL465" s="311"/>
      <c r="AM465" s="312"/>
      <c r="AN465" s="313">
        <f t="shared" si="179"/>
        <v>0</v>
      </c>
      <c r="AO465" s="308"/>
      <c r="AP465" s="309"/>
      <c r="AQ465" s="310">
        <f t="shared" si="180"/>
        <v>0</v>
      </c>
      <c r="AR465" s="311"/>
      <c r="AS465" s="312"/>
      <c r="AT465" s="313">
        <f t="shared" si="181"/>
        <v>0</v>
      </c>
      <c r="AU465" s="308"/>
      <c r="AV465" s="309"/>
      <c r="AW465" s="310">
        <f t="shared" si="182"/>
        <v>0</v>
      </c>
      <c r="AX465" s="311"/>
      <c r="AY465" s="312"/>
      <c r="AZ465" s="313">
        <f t="shared" si="183"/>
        <v>0</v>
      </c>
      <c r="BA465" s="308"/>
      <c r="BB465" s="309"/>
      <c r="BC465" s="310">
        <f t="shared" si="184"/>
        <v>0</v>
      </c>
      <c r="BD465" s="311"/>
      <c r="BE465" s="312"/>
      <c r="BF465" s="313">
        <f t="shared" si="185"/>
        <v>0</v>
      </c>
      <c r="BG465" s="308"/>
      <c r="BH465" s="309"/>
      <c r="BI465" s="310">
        <f t="shared" si="186"/>
        <v>0</v>
      </c>
      <c r="BJ465" s="311"/>
      <c r="BK465" s="312"/>
      <c r="BL465" s="313">
        <f t="shared" si="187"/>
        <v>0</v>
      </c>
      <c r="BM465" s="308"/>
      <c r="BN465" s="309"/>
      <c r="BO465" s="310">
        <f t="shared" si="188"/>
        <v>0</v>
      </c>
      <c r="BP465" s="311"/>
      <c r="BQ465" s="312"/>
      <c r="BR465" s="313">
        <f t="shared" si="189"/>
        <v>0</v>
      </c>
      <c r="BS465" s="308">
        <v>24</v>
      </c>
      <c r="BT465" s="309">
        <v>46652.25</v>
      </c>
      <c r="BU465" s="310">
        <f t="shared" si="190"/>
        <v>916100.90280000004</v>
      </c>
      <c r="BV465" s="311">
        <v>24</v>
      </c>
      <c r="BW465" s="312">
        <v>48645</v>
      </c>
      <c r="BX465" s="313">
        <f t="shared" si="191"/>
        <v>955232.13600000006</v>
      </c>
    </row>
    <row r="466" spans="1:76">
      <c r="A466" s="314" t="s">
        <v>410</v>
      </c>
      <c r="B466" s="315" t="s">
        <v>622</v>
      </c>
      <c r="C466" s="314">
        <v>368364</v>
      </c>
      <c r="D466" s="314">
        <v>13</v>
      </c>
      <c r="E466" s="308"/>
      <c r="F466" s="309"/>
      <c r="G466" s="310">
        <f t="shared" si="168"/>
        <v>0</v>
      </c>
      <c r="H466" s="311"/>
      <c r="I466" s="312"/>
      <c r="J466" s="313">
        <f t="shared" si="169"/>
        <v>0</v>
      </c>
      <c r="K466" s="308"/>
      <c r="L466" s="309"/>
      <c r="M466" s="310">
        <f t="shared" si="170"/>
        <v>0</v>
      </c>
      <c r="N466" s="311"/>
      <c r="O466" s="312"/>
      <c r="P466" s="313">
        <f t="shared" si="171"/>
        <v>0</v>
      </c>
      <c r="Q466" s="308"/>
      <c r="R466" s="309"/>
      <c r="S466" s="310">
        <f t="shared" si="172"/>
        <v>0</v>
      </c>
      <c r="T466" s="311"/>
      <c r="U466" s="312"/>
      <c r="V466" s="313">
        <f t="shared" si="173"/>
        <v>0</v>
      </c>
      <c r="W466" s="308"/>
      <c r="X466" s="309"/>
      <c r="Y466" s="310">
        <f t="shared" si="174"/>
        <v>0</v>
      </c>
      <c r="Z466" s="311"/>
      <c r="AA466" s="312"/>
      <c r="AB466" s="313">
        <f t="shared" si="175"/>
        <v>0</v>
      </c>
      <c r="AC466" s="308"/>
      <c r="AD466" s="309"/>
      <c r="AE466" s="310">
        <f t="shared" si="176"/>
        <v>0</v>
      </c>
      <c r="AF466" s="311"/>
      <c r="AG466" s="312"/>
      <c r="AH466" s="313">
        <f t="shared" si="177"/>
        <v>0</v>
      </c>
      <c r="AI466" s="308">
        <v>8</v>
      </c>
      <c r="AJ466" s="309">
        <v>38324</v>
      </c>
      <c r="AK466" s="310">
        <f t="shared" si="178"/>
        <v>306592</v>
      </c>
      <c r="AL466" s="311">
        <v>8</v>
      </c>
      <c r="AM466" s="312">
        <v>41014</v>
      </c>
      <c r="AN466" s="313">
        <f t="shared" si="179"/>
        <v>328112</v>
      </c>
      <c r="AO466" s="308"/>
      <c r="AP466" s="309"/>
      <c r="AQ466" s="310">
        <f t="shared" si="180"/>
        <v>0</v>
      </c>
      <c r="AR466" s="311"/>
      <c r="AS466" s="312"/>
      <c r="AT466" s="313">
        <f t="shared" si="181"/>
        <v>0</v>
      </c>
      <c r="AU466" s="308"/>
      <c r="AV466" s="309"/>
      <c r="AW466" s="310">
        <f t="shared" si="182"/>
        <v>0</v>
      </c>
      <c r="AX466" s="311"/>
      <c r="AY466" s="312"/>
      <c r="AZ466" s="313">
        <f t="shared" si="183"/>
        <v>0</v>
      </c>
      <c r="BA466" s="308"/>
      <c r="BB466" s="309"/>
      <c r="BC466" s="310">
        <f t="shared" si="184"/>
        <v>0</v>
      </c>
      <c r="BD466" s="311"/>
      <c r="BE466" s="312"/>
      <c r="BF466" s="313">
        <f t="shared" si="185"/>
        <v>0</v>
      </c>
      <c r="BG466" s="308"/>
      <c r="BH466" s="309"/>
      <c r="BI466" s="310">
        <f t="shared" si="186"/>
        <v>0</v>
      </c>
      <c r="BJ466" s="311"/>
      <c r="BK466" s="312"/>
      <c r="BL466" s="313">
        <f t="shared" si="187"/>
        <v>0</v>
      </c>
      <c r="BM466" s="308"/>
      <c r="BN466" s="309"/>
      <c r="BO466" s="310">
        <f t="shared" si="188"/>
        <v>0</v>
      </c>
      <c r="BP466" s="311"/>
      <c r="BQ466" s="312"/>
      <c r="BR466" s="313">
        <f t="shared" si="189"/>
        <v>0</v>
      </c>
      <c r="BS466" s="308">
        <v>7</v>
      </c>
      <c r="BT466" s="309">
        <v>46819.14</v>
      </c>
      <c r="BU466" s="310">
        <f t="shared" si="190"/>
        <v>268151.94243599998</v>
      </c>
      <c r="BV466" s="311">
        <v>7</v>
      </c>
      <c r="BW466" s="312">
        <v>48841</v>
      </c>
      <c r="BX466" s="313">
        <f t="shared" si="191"/>
        <v>279731.94339999999</v>
      </c>
    </row>
    <row r="467" spans="1:76">
      <c r="A467" s="314" t="s">
        <v>410</v>
      </c>
      <c r="B467" s="315" t="s">
        <v>623</v>
      </c>
      <c r="C467" s="314">
        <v>418287</v>
      </c>
      <c r="D467" s="314">
        <v>13</v>
      </c>
      <c r="E467" s="308"/>
      <c r="F467" s="309"/>
      <c r="G467" s="310">
        <f t="shared" si="168"/>
        <v>0</v>
      </c>
      <c r="H467" s="311"/>
      <c r="I467" s="312"/>
      <c r="J467" s="313">
        <f t="shared" si="169"/>
        <v>0</v>
      </c>
      <c r="K467" s="308"/>
      <c r="L467" s="309"/>
      <c r="M467" s="310">
        <f t="shared" si="170"/>
        <v>0</v>
      </c>
      <c r="N467" s="311"/>
      <c r="O467" s="312"/>
      <c r="P467" s="313">
        <f t="shared" si="171"/>
        <v>0</v>
      </c>
      <c r="Q467" s="308"/>
      <c r="R467" s="309"/>
      <c r="S467" s="310">
        <f t="shared" si="172"/>
        <v>0</v>
      </c>
      <c r="T467" s="311"/>
      <c r="U467" s="312"/>
      <c r="V467" s="313">
        <f t="shared" si="173"/>
        <v>0</v>
      </c>
      <c r="W467" s="308"/>
      <c r="X467" s="309"/>
      <c r="Y467" s="310">
        <f t="shared" si="174"/>
        <v>0</v>
      </c>
      <c r="Z467" s="311"/>
      <c r="AA467" s="312"/>
      <c r="AB467" s="313">
        <f t="shared" si="175"/>
        <v>0</v>
      </c>
      <c r="AC467" s="308"/>
      <c r="AD467" s="309"/>
      <c r="AE467" s="310">
        <f t="shared" si="176"/>
        <v>0</v>
      </c>
      <c r="AF467" s="311"/>
      <c r="AG467" s="312"/>
      <c r="AH467" s="313">
        <f t="shared" si="177"/>
        <v>0</v>
      </c>
      <c r="AI467" s="308">
        <v>13</v>
      </c>
      <c r="AJ467" s="309">
        <v>46412.33</v>
      </c>
      <c r="AK467" s="310">
        <f t="shared" si="178"/>
        <v>603360.29</v>
      </c>
      <c r="AL467" s="311">
        <v>13</v>
      </c>
      <c r="AM467" s="312">
        <v>47075</v>
      </c>
      <c r="AN467" s="313">
        <f t="shared" si="179"/>
        <v>611975</v>
      </c>
      <c r="AO467" s="308"/>
      <c r="AP467" s="309"/>
      <c r="AQ467" s="310">
        <f t="shared" si="180"/>
        <v>0</v>
      </c>
      <c r="AR467" s="311"/>
      <c r="AS467" s="312"/>
      <c r="AT467" s="313">
        <f t="shared" si="181"/>
        <v>0</v>
      </c>
      <c r="AU467" s="308"/>
      <c r="AV467" s="309"/>
      <c r="AW467" s="310">
        <f t="shared" si="182"/>
        <v>0</v>
      </c>
      <c r="AX467" s="311"/>
      <c r="AY467" s="312"/>
      <c r="AZ467" s="313">
        <f t="shared" si="183"/>
        <v>0</v>
      </c>
      <c r="BA467" s="308"/>
      <c r="BB467" s="309"/>
      <c r="BC467" s="310">
        <f t="shared" si="184"/>
        <v>0</v>
      </c>
      <c r="BD467" s="311"/>
      <c r="BE467" s="312"/>
      <c r="BF467" s="313">
        <f t="shared" si="185"/>
        <v>0</v>
      </c>
      <c r="BG467" s="308"/>
      <c r="BH467" s="309"/>
      <c r="BI467" s="310">
        <f t="shared" si="186"/>
        <v>0</v>
      </c>
      <c r="BJ467" s="311"/>
      <c r="BK467" s="312"/>
      <c r="BL467" s="313">
        <f t="shared" si="187"/>
        <v>0</v>
      </c>
      <c r="BM467" s="308"/>
      <c r="BN467" s="309"/>
      <c r="BO467" s="310">
        <f t="shared" si="188"/>
        <v>0</v>
      </c>
      <c r="BP467" s="311"/>
      <c r="BQ467" s="312"/>
      <c r="BR467" s="313">
        <f t="shared" si="189"/>
        <v>0</v>
      </c>
      <c r="BS467" s="308">
        <v>16</v>
      </c>
      <c r="BT467" s="309">
        <v>52451.42</v>
      </c>
      <c r="BU467" s="310">
        <f t="shared" si="190"/>
        <v>686652.02950399998</v>
      </c>
      <c r="BV467" s="311">
        <v>16</v>
      </c>
      <c r="BW467" s="312">
        <v>54098</v>
      </c>
      <c r="BX467" s="313">
        <f t="shared" si="191"/>
        <v>708207.73759999999</v>
      </c>
    </row>
    <row r="468" spans="1:76">
      <c r="A468" s="314" t="s">
        <v>410</v>
      </c>
      <c r="B468" s="315" t="s">
        <v>624</v>
      </c>
      <c r="C468" s="314">
        <v>207607</v>
      </c>
      <c r="D468" s="314">
        <v>13</v>
      </c>
      <c r="E468" s="308"/>
      <c r="F468" s="309"/>
      <c r="G468" s="310">
        <f t="shared" si="168"/>
        <v>0</v>
      </c>
      <c r="H468" s="311"/>
      <c r="I468" s="312"/>
      <c r="J468" s="313">
        <f t="shared" si="169"/>
        <v>0</v>
      </c>
      <c r="K468" s="308"/>
      <c r="L468" s="309"/>
      <c r="M468" s="310">
        <f t="shared" si="170"/>
        <v>0</v>
      </c>
      <c r="N468" s="311"/>
      <c r="O468" s="312"/>
      <c r="P468" s="313">
        <f t="shared" si="171"/>
        <v>0</v>
      </c>
      <c r="Q468" s="308"/>
      <c r="R468" s="309"/>
      <c r="S468" s="310">
        <f t="shared" si="172"/>
        <v>0</v>
      </c>
      <c r="T468" s="311"/>
      <c r="U468" s="312"/>
      <c r="V468" s="313">
        <f t="shared" si="173"/>
        <v>0</v>
      </c>
      <c r="W468" s="308"/>
      <c r="X468" s="309"/>
      <c r="Y468" s="310">
        <f t="shared" si="174"/>
        <v>0</v>
      </c>
      <c r="Z468" s="311"/>
      <c r="AA468" s="312"/>
      <c r="AB468" s="313">
        <f t="shared" si="175"/>
        <v>0</v>
      </c>
      <c r="AC468" s="308"/>
      <c r="AD468" s="309"/>
      <c r="AE468" s="310">
        <f t="shared" si="176"/>
        <v>0</v>
      </c>
      <c r="AF468" s="311"/>
      <c r="AG468" s="312"/>
      <c r="AH468" s="313">
        <f t="shared" si="177"/>
        <v>0</v>
      </c>
      <c r="AI468" s="308"/>
      <c r="AJ468" s="309"/>
      <c r="AK468" s="310">
        <f t="shared" si="178"/>
        <v>0</v>
      </c>
      <c r="AL468" s="311"/>
      <c r="AM468" s="312"/>
      <c r="AN468" s="313">
        <f t="shared" si="179"/>
        <v>0</v>
      </c>
      <c r="AO468" s="308"/>
      <c r="AP468" s="309"/>
      <c r="AQ468" s="310">
        <f t="shared" si="180"/>
        <v>0</v>
      </c>
      <c r="AR468" s="311"/>
      <c r="AS468" s="312"/>
      <c r="AT468" s="313">
        <f t="shared" si="181"/>
        <v>0</v>
      </c>
      <c r="AU468" s="308"/>
      <c r="AV468" s="309"/>
      <c r="AW468" s="310">
        <f t="shared" si="182"/>
        <v>0</v>
      </c>
      <c r="AX468" s="311"/>
      <c r="AY468" s="312"/>
      <c r="AZ468" s="313">
        <f t="shared" si="183"/>
        <v>0</v>
      </c>
      <c r="BA468" s="308"/>
      <c r="BB468" s="309"/>
      <c r="BC468" s="310">
        <f t="shared" si="184"/>
        <v>0</v>
      </c>
      <c r="BD468" s="311"/>
      <c r="BE468" s="312"/>
      <c r="BF468" s="313">
        <f t="shared" si="185"/>
        <v>0</v>
      </c>
      <c r="BG468" s="308"/>
      <c r="BH468" s="309"/>
      <c r="BI468" s="310">
        <f t="shared" si="186"/>
        <v>0</v>
      </c>
      <c r="BJ468" s="311"/>
      <c r="BK468" s="312"/>
      <c r="BL468" s="313">
        <f t="shared" si="187"/>
        <v>0</v>
      </c>
      <c r="BM468" s="308"/>
      <c r="BN468" s="309"/>
      <c r="BO468" s="310">
        <f t="shared" si="188"/>
        <v>0</v>
      </c>
      <c r="BP468" s="311"/>
      <c r="BQ468" s="312"/>
      <c r="BR468" s="313">
        <f t="shared" si="189"/>
        <v>0</v>
      </c>
      <c r="BS468" s="308">
        <v>28</v>
      </c>
      <c r="BT468" s="309">
        <v>55790.54</v>
      </c>
      <c r="BU468" s="310">
        <f t="shared" si="190"/>
        <v>1278138.9551840001</v>
      </c>
      <c r="BV468" s="311">
        <v>24</v>
      </c>
      <c r="BW468" s="312">
        <v>55383</v>
      </c>
      <c r="BX468" s="313">
        <f t="shared" si="191"/>
        <v>1087544.8944000001</v>
      </c>
    </row>
    <row r="469" spans="1:76">
      <c r="A469" s="314" t="s">
        <v>410</v>
      </c>
      <c r="B469" s="315" t="s">
        <v>625</v>
      </c>
      <c r="C469" s="314">
        <v>261393</v>
      </c>
      <c r="D469" s="314">
        <v>13</v>
      </c>
      <c r="E469" s="308"/>
      <c r="F469" s="309"/>
      <c r="G469" s="310">
        <f t="shared" si="168"/>
        <v>0</v>
      </c>
      <c r="H469" s="311"/>
      <c r="I469" s="312"/>
      <c r="J469" s="313">
        <f t="shared" si="169"/>
        <v>0</v>
      </c>
      <c r="K469" s="308"/>
      <c r="L469" s="309"/>
      <c r="M469" s="310">
        <f t="shared" si="170"/>
        <v>0</v>
      </c>
      <c r="N469" s="311"/>
      <c r="O469" s="312"/>
      <c r="P469" s="313">
        <f t="shared" si="171"/>
        <v>0</v>
      </c>
      <c r="Q469" s="308"/>
      <c r="R469" s="309"/>
      <c r="S469" s="310">
        <f t="shared" si="172"/>
        <v>0</v>
      </c>
      <c r="T469" s="311"/>
      <c r="U469" s="312"/>
      <c r="V469" s="313">
        <f t="shared" si="173"/>
        <v>0</v>
      </c>
      <c r="W469" s="308"/>
      <c r="X469" s="309"/>
      <c r="Y469" s="310">
        <f t="shared" si="174"/>
        <v>0</v>
      </c>
      <c r="Z469" s="311"/>
      <c r="AA469" s="312"/>
      <c r="AB469" s="313">
        <f t="shared" si="175"/>
        <v>0</v>
      </c>
      <c r="AC469" s="308"/>
      <c r="AD469" s="309"/>
      <c r="AE469" s="310">
        <f t="shared" si="176"/>
        <v>0</v>
      </c>
      <c r="AF469" s="311"/>
      <c r="AG469" s="312"/>
      <c r="AH469" s="313">
        <f t="shared" si="177"/>
        <v>0</v>
      </c>
      <c r="AI469" s="308"/>
      <c r="AJ469" s="309"/>
      <c r="AK469" s="310">
        <f t="shared" si="178"/>
        <v>0</v>
      </c>
      <c r="AL469" s="311"/>
      <c r="AM469" s="312"/>
      <c r="AN469" s="313">
        <f t="shared" si="179"/>
        <v>0</v>
      </c>
      <c r="AO469" s="308"/>
      <c r="AP469" s="309"/>
      <c r="AQ469" s="310">
        <f t="shared" si="180"/>
        <v>0</v>
      </c>
      <c r="AR469" s="311"/>
      <c r="AS469" s="312"/>
      <c r="AT469" s="313">
        <f t="shared" si="181"/>
        <v>0</v>
      </c>
      <c r="AU469" s="308"/>
      <c r="AV469" s="309"/>
      <c r="AW469" s="310">
        <f t="shared" si="182"/>
        <v>0</v>
      </c>
      <c r="AX469" s="311"/>
      <c r="AY469" s="312"/>
      <c r="AZ469" s="313">
        <f t="shared" si="183"/>
        <v>0</v>
      </c>
      <c r="BA469" s="308"/>
      <c r="BB469" s="309"/>
      <c r="BC469" s="310">
        <f t="shared" si="184"/>
        <v>0</v>
      </c>
      <c r="BD469" s="311"/>
      <c r="BE469" s="312"/>
      <c r="BF469" s="313">
        <f t="shared" si="185"/>
        <v>0</v>
      </c>
      <c r="BG469" s="308"/>
      <c r="BH469" s="309"/>
      <c r="BI469" s="310">
        <f t="shared" si="186"/>
        <v>0</v>
      </c>
      <c r="BJ469" s="311"/>
      <c r="BK469" s="312"/>
      <c r="BL469" s="313">
        <f t="shared" si="187"/>
        <v>0</v>
      </c>
      <c r="BM469" s="308"/>
      <c r="BN469" s="309"/>
      <c r="BO469" s="310">
        <f t="shared" si="188"/>
        <v>0</v>
      </c>
      <c r="BP469" s="311"/>
      <c r="BQ469" s="312"/>
      <c r="BR469" s="313">
        <f t="shared" si="189"/>
        <v>0</v>
      </c>
      <c r="BS469" s="308">
        <v>36</v>
      </c>
      <c r="BT469" s="309">
        <v>54530.94</v>
      </c>
      <c r="BU469" s="310">
        <f t="shared" si="190"/>
        <v>1606219.7438880003</v>
      </c>
      <c r="BV469" s="311">
        <v>36</v>
      </c>
      <c r="BW469" s="312">
        <v>54709</v>
      </c>
      <c r="BX469" s="313">
        <f t="shared" si="191"/>
        <v>1611464.5368000001</v>
      </c>
    </row>
    <row r="470" spans="1:76">
      <c r="A470" s="314" t="s">
        <v>410</v>
      </c>
      <c r="B470" s="315" t="s">
        <v>626</v>
      </c>
      <c r="C470" s="314">
        <v>261375</v>
      </c>
      <c r="D470" s="314">
        <v>13</v>
      </c>
      <c r="E470" s="308"/>
      <c r="F470" s="309"/>
      <c r="G470" s="310">
        <f t="shared" si="168"/>
        <v>0</v>
      </c>
      <c r="H470" s="311"/>
      <c r="I470" s="312"/>
      <c r="J470" s="313">
        <f t="shared" si="169"/>
        <v>0</v>
      </c>
      <c r="K470" s="308"/>
      <c r="L470" s="309"/>
      <c r="M470" s="310">
        <f t="shared" si="170"/>
        <v>0</v>
      </c>
      <c r="N470" s="311"/>
      <c r="O470" s="312"/>
      <c r="P470" s="313">
        <f t="shared" si="171"/>
        <v>0</v>
      </c>
      <c r="Q470" s="308"/>
      <c r="R470" s="309"/>
      <c r="S470" s="310">
        <f t="shared" si="172"/>
        <v>0</v>
      </c>
      <c r="T470" s="311"/>
      <c r="U470" s="312"/>
      <c r="V470" s="313">
        <f t="shared" si="173"/>
        <v>0</v>
      </c>
      <c r="W470" s="308"/>
      <c r="X470" s="309"/>
      <c r="Y470" s="310">
        <f t="shared" si="174"/>
        <v>0</v>
      </c>
      <c r="Z470" s="311"/>
      <c r="AA470" s="312"/>
      <c r="AB470" s="313">
        <f t="shared" si="175"/>
        <v>0</v>
      </c>
      <c r="AC470" s="308"/>
      <c r="AD470" s="309"/>
      <c r="AE470" s="310">
        <f t="shared" si="176"/>
        <v>0</v>
      </c>
      <c r="AF470" s="311"/>
      <c r="AG470" s="312"/>
      <c r="AH470" s="313">
        <f t="shared" si="177"/>
        <v>0</v>
      </c>
      <c r="AI470" s="308"/>
      <c r="AJ470" s="309"/>
      <c r="AK470" s="310">
        <f t="shared" si="178"/>
        <v>0</v>
      </c>
      <c r="AL470" s="311">
        <v>1</v>
      </c>
      <c r="AM470" s="312">
        <v>52235</v>
      </c>
      <c r="AN470" s="313">
        <f t="shared" si="179"/>
        <v>52235</v>
      </c>
      <c r="AO470" s="308"/>
      <c r="AP470" s="309"/>
      <c r="AQ470" s="310">
        <f t="shared" si="180"/>
        <v>0</v>
      </c>
      <c r="AR470" s="311"/>
      <c r="AS470" s="312"/>
      <c r="AT470" s="313">
        <f t="shared" si="181"/>
        <v>0</v>
      </c>
      <c r="AU470" s="308"/>
      <c r="AV470" s="309"/>
      <c r="AW470" s="310">
        <f t="shared" si="182"/>
        <v>0</v>
      </c>
      <c r="AX470" s="311"/>
      <c r="AY470" s="312"/>
      <c r="AZ470" s="313">
        <f t="shared" si="183"/>
        <v>0</v>
      </c>
      <c r="BA470" s="308"/>
      <c r="BB470" s="309"/>
      <c r="BC470" s="310">
        <f t="shared" si="184"/>
        <v>0</v>
      </c>
      <c r="BD470" s="311"/>
      <c r="BE470" s="312"/>
      <c r="BF470" s="313">
        <f t="shared" si="185"/>
        <v>0</v>
      </c>
      <c r="BG470" s="308"/>
      <c r="BH470" s="309"/>
      <c r="BI470" s="310">
        <f t="shared" si="186"/>
        <v>0</v>
      </c>
      <c r="BJ470" s="311"/>
      <c r="BK470" s="312"/>
      <c r="BL470" s="313">
        <f t="shared" si="187"/>
        <v>0</v>
      </c>
      <c r="BM470" s="308"/>
      <c r="BN470" s="309"/>
      <c r="BO470" s="310">
        <f t="shared" si="188"/>
        <v>0</v>
      </c>
      <c r="BP470" s="311"/>
      <c r="BQ470" s="312"/>
      <c r="BR470" s="313">
        <f t="shared" si="189"/>
        <v>0</v>
      </c>
      <c r="BS470" s="308">
        <v>47</v>
      </c>
      <c r="BT470" s="309">
        <v>54233.4</v>
      </c>
      <c r="BU470" s="310">
        <f t="shared" si="190"/>
        <v>2085567.0903600003</v>
      </c>
      <c r="BV470" s="311">
        <v>47</v>
      </c>
      <c r="BW470" s="312">
        <v>54559</v>
      </c>
      <c r="BX470" s="313">
        <f t="shared" si="191"/>
        <v>2098088.1686</v>
      </c>
    </row>
    <row r="471" spans="1:76">
      <c r="A471" s="314" t="s">
        <v>410</v>
      </c>
      <c r="B471" s="315" t="s">
        <v>627</v>
      </c>
      <c r="C471" s="314">
        <v>261384</v>
      </c>
      <c r="D471" s="314">
        <v>13</v>
      </c>
      <c r="E471" s="308"/>
      <c r="F471" s="309"/>
      <c r="G471" s="310">
        <f t="shared" si="168"/>
        <v>0</v>
      </c>
      <c r="H471" s="311"/>
      <c r="I471" s="312"/>
      <c r="J471" s="313">
        <f t="shared" si="169"/>
        <v>0</v>
      </c>
      <c r="K471" s="308"/>
      <c r="L471" s="309"/>
      <c r="M471" s="310">
        <f t="shared" si="170"/>
        <v>0</v>
      </c>
      <c r="N471" s="311"/>
      <c r="O471" s="312"/>
      <c r="P471" s="313">
        <f t="shared" si="171"/>
        <v>0</v>
      </c>
      <c r="Q471" s="308"/>
      <c r="R471" s="309"/>
      <c r="S471" s="310">
        <f t="shared" si="172"/>
        <v>0</v>
      </c>
      <c r="T471" s="311"/>
      <c r="U471" s="312"/>
      <c r="V471" s="313">
        <f t="shared" si="173"/>
        <v>0</v>
      </c>
      <c r="W471" s="308"/>
      <c r="X471" s="309"/>
      <c r="Y471" s="310">
        <f t="shared" si="174"/>
        <v>0</v>
      </c>
      <c r="Z471" s="311"/>
      <c r="AA471" s="312"/>
      <c r="AB471" s="313">
        <f t="shared" si="175"/>
        <v>0</v>
      </c>
      <c r="AC471" s="308"/>
      <c r="AD471" s="309"/>
      <c r="AE471" s="310">
        <f t="shared" si="176"/>
        <v>0</v>
      </c>
      <c r="AF471" s="311"/>
      <c r="AG471" s="312"/>
      <c r="AH471" s="313">
        <f t="shared" si="177"/>
        <v>0</v>
      </c>
      <c r="AI471" s="308"/>
      <c r="AJ471" s="309"/>
      <c r="AK471" s="310">
        <f t="shared" si="178"/>
        <v>0</v>
      </c>
      <c r="AL471" s="311"/>
      <c r="AM471" s="312"/>
      <c r="AN471" s="313">
        <f t="shared" si="179"/>
        <v>0</v>
      </c>
      <c r="AO471" s="308"/>
      <c r="AP471" s="309"/>
      <c r="AQ471" s="310">
        <f t="shared" si="180"/>
        <v>0</v>
      </c>
      <c r="AR471" s="311"/>
      <c r="AS471" s="312"/>
      <c r="AT471" s="313">
        <f t="shared" si="181"/>
        <v>0</v>
      </c>
      <c r="AU471" s="308"/>
      <c r="AV471" s="309"/>
      <c r="AW471" s="310">
        <f t="shared" si="182"/>
        <v>0</v>
      </c>
      <c r="AX471" s="311"/>
      <c r="AY471" s="312"/>
      <c r="AZ471" s="313">
        <f t="shared" si="183"/>
        <v>0</v>
      </c>
      <c r="BA471" s="308"/>
      <c r="BB471" s="309"/>
      <c r="BC471" s="310">
        <f t="shared" si="184"/>
        <v>0</v>
      </c>
      <c r="BD471" s="311"/>
      <c r="BE471" s="312"/>
      <c r="BF471" s="313">
        <f t="shared" si="185"/>
        <v>0</v>
      </c>
      <c r="BG471" s="308"/>
      <c r="BH471" s="309"/>
      <c r="BI471" s="310">
        <f t="shared" si="186"/>
        <v>0</v>
      </c>
      <c r="BJ471" s="311"/>
      <c r="BK471" s="312"/>
      <c r="BL471" s="313">
        <f t="shared" si="187"/>
        <v>0</v>
      </c>
      <c r="BM471" s="308"/>
      <c r="BN471" s="309"/>
      <c r="BO471" s="310">
        <f t="shared" si="188"/>
        <v>0</v>
      </c>
      <c r="BP471" s="311"/>
      <c r="BQ471" s="312"/>
      <c r="BR471" s="313">
        <f t="shared" si="189"/>
        <v>0</v>
      </c>
      <c r="BS471" s="308">
        <v>27</v>
      </c>
      <c r="BT471" s="309">
        <v>56179.89</v>
      </c>
      <c r="BU471" s="310">
        <f t="shared" si="190"/>
        <v>1241092.4219460001</v>
      </c>
      <c r="BV471" s="311">
        <v>27</v>
      </c>
      <c r="BW471" s="312">
        <v>56330</v>
      </c>
      <c r="BX471" s="313">
        <f t="shared" si="191"/>
        <v>1244408.5620000002</v>
      </c>
    </row>
    <row r="472" spans="1:76">
      <c r="A472" s="314" t="s">
        <v>410</v>
      </c>
      <c r="B472" s="315" t="s">
        <v>628</v>
      </c>
      <c r="C472" s="314">
        <v>418357</v>
      </c>
      <c r="D472" s="314">
        <v>13</v>
      </c>
      <c r="E472" s="308"/>
      <c r="F472" s="309"/>
      <c r="G472" s="310">
        <f t="shared" si="168"/>
        <v>0</v>
      </c>
      <c r="H472" s="311"/>
      <c r="I472" s="312"/>
      <c r="J472" s="313">
        <f t="shared" si="169"/>
        <v>0</v>
      </c>
      <c r="K472" s="308"/>
      <c r="L472" s="309"/>
      <c r="M472" s="310">
        <f t="shared" si="170"/>
        <v>0</v>
      </c>
      <c r="N472" s="311"/>
      <c r="O472" s="312"/>
      <c r="P472" s="313">
        <f t="shared" si="171"/>
        <v>0</v>
      </c>
      <c r="Q472" s="308"/>
      <c r="R472" s="309"/>
      <c r="S472" s="310">
        <f t="shared" si="172"/>
        <v>0</v>
      </c>
      <c r="T472" s="311"/>
      <c r="U472" s="312"/>
      <c r="V472" s="313">
        <f t="shared" si="173"/>
        <v>0</v>
      </c>
      <c r="W472" s="308"/>
      <c r="X472" s="309"/>
      <c r="Y472" s="310">
        <f t="shared" si="174"/>
        <v>0</v>
      </c>
      <c r="Z472" s="311"/>
      <c r="AA472" s="312"/>
      <c r="AB472" s="313">
        <f t="shared" si="175"/>
        <v>0</v>
      </c>
      <c r="AC472" s="308"/>
      <c r="AD472" s="309"/>
      <c r="AE472" s="310">
        <f t="shared" si="176"/>
        <v>0</v>
      </c>
      <c r="AF472" s="311"/>
      <c r="AG472" s="312"/>
      <c r="AH472" s="313">
        <f t="shared" si="177"/>
        <v>0</v>
      </c>
      <c r="AI472" s="308">
        <v>7</v>
      </c>
      <c r="AJ472" s="309">
        <v>39840</v>
      </c>
      <c r="AK472" s="310">
        <f t="shared" si="178"/>
        <v>278880</v>
      </c>
      <c r="AL472" s="311">
        <v>8</v>
      </c>
      <c r="AM472" s="312">
        <v>41315</v>
      </c>
      <c r="AN472" s="313">
        <f t="shared" si="179"/>
        <v>330520</v>
      </c>
      <c r="AO472" s="308"/>
      <c r="AP472" s="309"/>
      <c r="AQ472" s="310">
        <f t="shared" si="180"/>
        <v>0</v>
      </c>
      <c r="AR472" s="311"/>
      <c r="AS472" s="312"/>
      <c r="AT472" s="313">
        <f t="shared" si="181"/>
        <v>0</v>
      </c>
      <c r="AU472" s="308"/>
      <c r="AV472" s="309"/>
      <c r="AW472" s="310">
        <f t="shared" si="182"/>
        <v>0</v>
      </c>
      <c r="AX472" s="311"/>
      <c r="AY472" s="312"/>
      <c r="AZ472" s="313">
        <f t="shared" si="183"/>
        <v>0</v>
      </c>
      <c r="BA472" s="308"/>
      <c r="BB472" s="309"/>
      <c r="BC472" s="310">
        <f t="shared" si="184"/>
        <v>0</v>
      </c>
      <c r="BD472" s="311"/>
      <c r="BE472" s="312"/>
      <c r="BF472" s="313">
        <f t="shared" si="185"/>
        <v>0</v>
      </c>
      <c r="BG472" s="308"/>
      <c r="BH472" s="309"/>
      <c r="BI472" s="310">
        <f t="shared" si="186"/>
        <v>0</v>
      </c>
      <c r="BJ472" s="311"/>
      <c r="BK472" s="312"/>
      <c r="BL472" s="313">
        <f t="shared" si="187"/>
        <v>0</v>
      </c>
      <c r="BM472" s="308"/>
      <c r="BN472" s="309"/>
      <c r="BO472" s="310">
        <f t="shared" si="188"/>
        <v>0</v>
      </c>
      <c r="BP472" s="311"/>
      <c r="BQ472" s="312"/>
      <c r="BR472" s="313">
        <f t="shared" si="189"/>
        <v>0</v>
      </c>
      <c r="BS472" s="308">
        <v>1</v>
      </c>
      <c r="BT472" s="309">
        <v>45677</v>
      </c>
      <c r="BU472" s="310">
        <f t="shared" si="190"/>
        <v>37372.921399999999</v>
      </c>
      <c r="BV472" s="311">
        <v>5</v>
      </c>
      <c r="BW472" s="312">
        <v>50762</v>
      </c>
      <c r="BX472" s="313">
        <f t="shared" si="191"/>
        <v>207667.342</v>
      </c>
    </row>
    <row r="473" spans="1:76">
      <c r="A473" s="314" t="s">
        <v>410</v>
      </c>
      <c r="B473" s="315" t="s">
        <v>629</v>
      </c>
      <c r="C473" s="314">
        <v>418302</v>
      </c>
      <c r="D473" s="314">
        <v>13</v>
      </c>
      <c r="E473" s="308"/>
      <c r="F473" s="309"/>
      <c r="G473" s="310">
        <f t="shared" si="168"/>
        <v>0</v>
      </c>
      <c r="H473" s="311"/>
      <c r="I473" s="312"/>
      <c r="J473" s="313">
        <f t="shared" si="169"/>
        <v>0</v>
      </c>
      <c r="K473" s="308"/>
      <c r="L473" s="309"/>
      <c r="M473" s="310">
        <f t="shared" si="170"/>
        <v>0</v>
      </c>
      <c r="N473" s="311"/>
      <c r="O473" s="312"/>
      <c r="P473" s="313">
        <f t="shared" si="171"/>
        <v>0</v>
      </c>
      <c r="Q473" s="308"/>
      <c r="R473" s="309"/>
      <c r="S473" s="310">
        <f t="shared" si="172"/>
        <v>0</v>
      </c>
      <c r="T473" s="311"/>
      <c r="U473" s="312"/>
      <c r="V473" s="313">
        <f t="shared" si="173"/>
        <v>0</v>
      </c>
      <c r="W473" s="308"/>
      <c r="X473" s="309"/>
      <c r="Y473" s="310">
        <f t="shared" si="174"/>
        <v>0</v>
      </c>
      <c r="Z473" s="311"/>
      <c r="AA473" s="312"/>
      <c r="AB473" s="313">
        <f t="shared" si="175"/>
        <v>0</v>
      </c>
      <c r="AC473" s="308"/>
      <c r="AD473" s="309"/>
      <c r="AE473" s="310">
        <f t="shared" si="176"/>
        <v>0</v>
      </c>
      <c r="AF473" s="311"/>
      <c r="AG473" s="312"/>
      <c r="AH473" s="313">
        <f t="shared" si="177"/>
        <v>0</v>
      </c>
      <c r="AI473" s="308">
        <v>24</v>
      </c>
      <c r="AJ473" s="309">
        <v>42812.67</v>
      </c>
      <c r="AK473" s="310">
        <f t="shared" si="178"/>
        <v>1027504.08</v>
      </c>
      <c r="AL473" s="311">
        <v>21</v>
      </c>
      <c r="AM473" s="312">
        <v>44990</v>
      </c>
      <c r="AN473" s="313">
        <f t="shared" si="179"/>
        <v>944790</v>
      </c>
      <c r="AO473" s="308"/>
      <c r="AP473" s="309"/>
      <c r="AQ473" s="310">
        <f t="shared" si="180"/>
        <v>0</v>
      </c>
      <c r="AR473" s="311"/>
      <c r="AS473" s="312"/>
      <c r="AT473" s="313">
        <f t="shared" si="181"/>
        <v>0</v>
      </c>
      <c r="AU473" s="308"/>
      <c r="AV473" s="309"/>
      <c r="AW473" s="310">
        <f t="shared" si="182"/>
        <v>0</v>
      </c>
      <c r="AX473" s="311"/>
      <c r="AY473" s="312"/>
      <c r="AZ473" s="313">
        <f t="shared" si="183"/>
        <v>0</v>
      </c>
      <c r="BA473" s="308"/>
      <c r="BB473" s="309"/>
      <c r="BC473" s="310">
        <f t="shared" si="184"/>
        <v>0</v>
      </c>
      <c r="BD473" s="311"/>
      <c r="BE473" s="312"/>
      <c r="BF473" s="313">
        <f t="shared" si="185"/>
        <v>0</v>
      </c>
      <c r="BG473" s="308"/>
      <c r="BH473" s="309"/>
      <c r="BI473" s="310">
        <f t="shared" si="186"/>
        <v>0</v>
      </c>
      <c r="BJ473" s="311"/>
      <c r="BK473" s="312"/>
      <c r="BL473" s="313">
        <f t="shared" si="187"/>
        <v>0</v>
      </c>
      <c r="BM473" s="308"/>
      <c r="BN473" s="309"/>
      <c r="BO473" s="310">
        <f t="shared" si="188"/>
        <v>0</v>
      </c>
      <c r="BP473" s="311"/>
      <c r="BQ473" s="312"/>
      <c r="BR473" s="313">
        <f t="shared" si="189"/>
        <v>0</v>
      </c>
      <c r="BS473" s="308">
        <v>5</v>
      </c>
      <c r="BT473" s="309">
        <v>47978.6</v>
      </c>
      <c r="BU473" s="310">
        <f t="shared" si="190"/>
        <v>196280.45260000002</v>
      </c>
      <c r="BV473" s="311">
        <v>5</v>
      </c>
      <c r="BW473" s="312">
        <v>50979</v>
      </c>
      <c r="BX473" s="313">
        <f t="shared" si="191"/>
        <v>208555.08900000001</v>
      </c>
    </row>
    <row r="474" spans="1:76">
      <c r="A474" s="337" t="s">
        <v>449</v>
      </c>
      <c r="B474" s="338" t="s">
        <v>758</v>
      </c>
      <c r="C474" s="337">
        <v>217882</v>
      </c>
      <c r="D474" s="339">
        <v>1</v>
      </c>
      <c r="E474" s="308">
        <v>310</v>
      </c>
      <c r="F474" s="309">
        <v>106858</v>
      </c>
      <c r="G474" s="310">
        <f t="shared" si="168"/>
        <v>33125980</v>
      </c>
      <c r="H474" s="311">
        <v>301</v>
      </c>
      <c r="I474" s="312">
        <v>108787</v>
      </c>
      <c r="J474" s="313">
        <f t="shared" si="169"/>
        <v>32744887</v>
      </c>
      <c r="K474" s="308">
        <v>224</v>
      </c>
      <c r="L474" s="309">
        <v>75778</v>
      </c>
      <c r="M474" s="310">
        <f t="shared" si="170"/>
        <v>16974272</v>
      </c>
      <c r="N474" s="311">
        <v>227</v>
      </c>
      <c r="O474" s="312">
        <v>76039</v>
      </c>
      <c r="P474" s="313">
        <f t="shared" si="171"/>
        <v>17260853</v>
      </c>
      <c r="Q474" s="308">
        <v>279</v>
      </c>
      <c r="R474" s="309">
        <v>67767</v>
      </c>
      <c r="S474" s="310">
        <f t="shared" si="172"/>
        <v>18906993</v>
      </c>
      <c r="T474" s="311">
        <v>285</v>
      </c>
      <c r="U474" s="312">
        <v>68091</v>
      </c>
      <c r="V474" s="313">
        <f t="shared" si="173"/>
        <v>19405935</v>
      </c>
      <c r="W474" s="308">
        <v>3</v>
      </c>
      <c r="X474" s="309">
        <v>49209</v>
      </c>
      <c r="Y474" s="310">
        <f t="shared" si="174"/>
        <v>147627</v>
      </c>
      <c r="Z474" s="311">
        <v>3</v>
      </c>
      <c r="AA474" s="312">
        <v>52632</v>
      </c>
      <c r="AB474" s="313">
        <f t="shared" si="175"/>
        <v>157896</v>
      </c>
      <c r="AC474" s="308">
        <v>177</v>
      </c>
      <c r="AD474" s="309">
        <v>42517</v>
      </c>
      <c r="AE474" s="310">
        <f t="shared" si="176"/>
        <v>7525509</v>
      </c>
      <c r="AF474" s="311">
        <v>181</v>
      </c>
      <c r="AG474" s="312">
        <v>43496</v>
      </c>
      <c r="AH474" s="313">
        <f t="shared" si="177"/>
        <v>7872776</v>
      </c>
      <c r="AI474" s="308"/>
      <c r="AJ474" s="309"/>
      <c r="AK474" s="310">
        <f t="shared" si="178"/>
        <v>0</v>
      </c>
      <c r="AL474" s="311"/>
      <c r="AM474" s="312"/>
      <c r="AN474" s="313">
        <f t="shared" si="179"/>
        <v>0</v>
      </c>
      <c r="AO474" s="308">
        <v>47</v>
      </c>
      <c r="AP474" s="309">
        <v>102963</v>
      </c>
      <c r="AQ474" s="310">
        <f t="shared" si="180"/>
        <v>3959483.3502000002</v>
      </c>
      <c r="AR474" s="311">
        <v>48</v>
      </c>
      <c r="AS474" s="312">
        <v>107778</v>
      </c>
      <c r="AT474" s="313">
        <f t="shared" si="181"/>
        <v>4232830.0608000001</v>
      </c>
      <c r="AU474" s="308">
        <v>18</v>
      </c>
      <c r="AV474" s="309">
        <v>83993</v>
      </c>
      <c r="AW474" s="310">
        <f t="shared" si="182"/>
        <v>1237015.3068000001</v>
      </c>
      <c r="AX474" s="311">
        <v>22</v>
      </c>
      <c r="AY474" s="312">
        <v>87046</v>
      </c>
      <c r="AZ474" s="313">
        <f t="shared" si="183"/>
        <v>1566862.8184</v>
      </c>
      <c r="BA474" s="308">
        <v>11</v>
      </c>
      <c r="BB474" s="309">
        <v>70395</v>
      </c>
      <c r="BC474" s="310">
        <f t="shared" si="184"/>
        <v>633569.07900000003</v>
      </c>
      <c r="BD474" s="311">
        <v>12</v>
      </c>
      <c r="BE474" s="312">
        <v>71898</v>
      </c>
      <c r="BF474" s="313">
        <f t="shared" si="185"/>
        <v>705923.32319999998</v>
      </c>
      <c r="BG474" s="308">
        <v>0</v>
      </c>
      <c r="BH474" s="309"/>
      <c r="BI474" s="310">
        <f t="shared" si="186"/>
        <v>0</v>
      </c>
      <c r="BJ474" s="311"/>
      <c r="BK474" s="312"/>
      <c r="BL474" s="313">
        <f t="shared" si="187"/>
        <v>0</v>
      </c>
      <c r="BM474" s="308">
        <v>17</v>
      </c>
      <c r="BN474" s="309">
        <v>51728</v>
      </c>
      <c r="BO474" s="310">
        <f t="shared" si="188"/>
        <v>719505.44319999998</v>
      </c>
      <c r="BP474" s="311">
        <v>15</v>
      </c>
      <c r="BQ474" s="312">
        <v>53028</v>
      </c>
      <c r="BR474" s="313">
        <f t="shared" si="189"/>
        <v>650812.64400000009</v>
      </c>
      <c r="BS474" s="308"/>
      <c r="BT474" s="309"/>
      <c r="BU474" s="310">
        <f t="shared" si="190"/>
        <v>0</v>
      </c>
      <c r="BV474" s="311"/>
      <c r="BW474" s="312"/>
      <c r="BX474" s="313">
        <f t="shared" si="191"/>
        <v>0</v>
      </c>
    </row>
    <row r="475" spans="1:76">
      <c r="A475" s="337" t="s">
        <v>449</v>
      </c>
      <c r="B475" s="338" t="s">
        <v>759</v>
      </c>
      <c r="C475" s="337">
        <v>218663</v>
      </c>
      <c r="D475" s="339">
        <v>1</v>
      </c>
      <c r="E475" s="308">
        <v>286</v>
      </c>
      <c r="F475" s="309">
        <v>106235</v>
      </c>
      <c r="G475" s="310">
        <f t="shared" si="168"/>
        <v>30383210</v>
      </c>
      <c r="H475" s="311">
        <v>254</v>
      </c>
      <c r="I475" s="312">
        <v>109548</v>
      </c>
      <c r="J475" s="313">
        <f t="shared" si="169"/>
        <v>27825192</v>
      </c>
      <c r="K475" s="308">
        <v>289</v>
      </c>
      <c r="L475" s="309">
        <v>75255</v>
      </c>
      <c r="M475" s="310">
        <f t="shared" si="170"/>
        <v>21748695</v>
      </c>
      <c r="N475" s="311">
        <v>297</v>
      </c>
      <c r="O475" s="312">
        <v>77711</v>
      </c>
      <c r="P475" s="313">
        <f t="shared" si="171"/>
        <v>23080167</v>
      </c>
      <c r="Q475" s="308">
        <v>358</v>
      </c>
      <c r="R475" s="309">
        <v>67643</v>
      </c>
      <c r="S475" s="310">
        <f t="shared" si="172"/>
        <v>24216194</v>
      </c>
      <c r="T475" s="311">
        <v>363</v>
      </c>
      <c r="U475" s="312">
        <v>68955</v>
      </c>
      <c r="V475" s="313">
        <f t="shared" si="173"/>
        <v>25030665</v>
      </c>
      <c r="W475" s="308">
        <v>116</v>
      </c>
      <c r="X475" s="309">
        <v>42336</v>
      </c>
      <c r="Y475" s="310">
        <f t="shared" si="174"/>
        <v>4910976</v>
      </c>
      <c r="Z475" s="311">
        <v>124</v>
      </c>
      <c r="AA475" s="312">
        <v>42444</v>
      </c>
      <c r="AB475" s="313">
        <f t="shared" si="175"/>
        <v>5263056</v>
      </c>
      <c r="AC475" s="308">
        <v>20</v>
      </c>
      <c r="AD475" s="309">
        <v>57282</v>
      </c>
      <c r="AE475" s="310">
        <f t="shared" si="176"/>
        <v>1145640</v>
      </c>
      <c r="AF475" s="311">
        <v>20</v>
      </c>
      <c r="AG475" s="312">
        <v>57201</v>
      </c>
      <c r="AH475" s="313">
        <f t="shared" si="177"/>
        <v>1144020</v>
      </c>
      <c r="AI475" s="308"/>
      <c r="AJ475" s="309"/>
      <c r="AK475" s="310">
        <f t="shared" si="178"/>
        <v>0</v>
      </c>
      <c r="AL475" s="311"/>
      <c r="AM475" s="312"/>
      <c r="AN475" s="313">
        <f t="shared" si="179"/>
        <v>0</v>
      </c>
      <c r="AO475" s="308">
        <v>54</v>
      </c>
      <c r="AP475" s="309">
        <v>137396</v>
      </c>
      <c r="AQ475" s="310">
        <f t="shared" si="180"/>
        <v>6070539.9888000004</v>
      </c>
      <c r="AR475" s="311">
        <v>60</v>
      </c>
      <c r="AS475" s="312">
        <v>137173</v>
      </c>
      <c r="AT475" s="313">
        <f t="shared" si="181"/>
        <v>6734096.9160000002</v>
      </c>
      <c r="AU475" s="308">
        <v>19</v>
      </c>
      <c r="AV475" s="309">
        <v>97679</v>
      </c>
      <c r="AW475" s="310">
        <f t="shared" si="182"/>
        <v>1518498.1982</v>
      </c>
      <c r="AX475" s="311">
        <v>15</v>
      </c>
      <c r="AY475" s="312">
        <v>100554</v>
      </c>
      <c r="AZ475" s="313">
        <f t="shared" si="183"/>
        <v>1234099.2420000001</v>
      </c>
      <c r="BA475" s="308">
        <v>29</v>
      </c>
      <c r="BB475" s="309">
        <v>75146</v>
      </c>
      <c r="BC475" s="310">
        <f t="shared" si="184"/>
        <v>1783049.2588000002</v>
      </c>
      <c r="BD475" s="311">
        <v>26</v>
      </c>
      <c r="BE475" s="312">
        <v>81750</v>
      </c>
      <c r="BF475" s="313">
        <f t="shared" si="185"/>
        <v>1739084.1</v>
      </c>
      <c r="BG475" s="308">
        <v>26</v>
      </c>
      <c r="BH475" s="309">
        <v>60467</v>
      </c>
      <c r="BI475" s="310">
        <f t="shared" si="186"/>
        <v>1286326.5844000001</v>
      </c>
      <c r="BJ475" s="311">
        <v>29</v>
      </c>
      <c r="BK475" s="312">
        <v>57783</v>
      </c>
      <c r="BL475" s="313">
        <f t="shared" si="187"/>
        <v>1371063.4674</v>
      </c>
      <c r="BM475" s="308">
        <v>20</v>
      </c>
      <c r="BN475" s="309">
        <v>74480</v>
      </c>
      <c r="BO475" s="310">
        <f t="shared" si="188"/>
        <v>1218790.72</v>
      </c>
      <c r="BP475" s="311">
        <v>13</v>
      </c>
      <c r="BQ475" s="312">
        <v>77631</v>
      </c>
      <c r="BR475" s="313">
        <f t="shared" si="189"/>
        <v>825729.8946</v>
      </c>
      <c r="BS475" s="308"/>
      <c r="BT475" s="309"/>
      <c r="BU475" s="310">
        <f t="shared" si="190"/>
        <v>0</v>
      </c>
      <c r="BV475" s="311"/>
      <c r="BW475" s="312"/>
      <c r="BX475" s="313">
        <f t="shared" si="191"/>
        <v>0</v>
      </c>
    </row>
    <row r="476" spans="1:76">
      <c r="A476" s="337" t="s">
        <v>449</v>
      </c>
      <c r="B476" s="338" t="s">
        <v>760</v>
      </c>
      <c r="C476" s="337">
        <v>217819</v>
      </c>
      <c r="D476" s="339">
        <v>3</v>
      </c>
      <c r="E476" s="308">
        <v>121</v>
      </c>
      <c r="F476" s="309">
        <v>77112</v>
      </c>
      <c r="G476" s="310">
        <f t="shared" si="168"/>
        <v>9330552</v>
      </c>
      <c r="H476" s="311">
        <v>124</v>
      </c>
      <c r="I476" s="312">
        <v>80548</v>
      </c>
      <c r="J476" s="313">
        <f t="shared" si="169"/>
        <v>9987952</v>
      </c>
      <c r="K476" s="308">
        <v>153</v>
      </c>
      <c r="L476" s="309">
        <v>63358</v>
      </c>
      <c r="M476" s="310">
        <f t="shared" si="170"/>
        <v>9693774</v>
      </c>
      <c r="N476" s="311">
        <v>150</v>
      </c>
      <c r="O476" s="312">
        <v>65407</v>
      </c>
      <c r="P476" s="313">
        <f t="shared" si="171"/>
        <v>9811050</v>
      </c>
      <c r="Q476" s="308">
        <v>167</v>
      </c>
      <c r="R476" s="309">
        <v>55527</v>
      </c>
      <c r="S476" s="310">
        <f t="shared" si="172"/>
        <v>9273009</v>
      </c>
      <c r="T476" s="311">
        <v>164</v>
      </c>
      <c r="U476" s="312">
        <v>59008</v>
      </c>
      <c r="V476" s="313">
        <f t="shared" si="173"/>
        <v>9677312</v>
      </c>
      <c r="W476" s="308">
        <v>53</v>
      </c>
      <c r="X476" s="309">
        <v>47263</v>
      </c>
      <c r="Y476" s="310">
        <f t="shared" si="174"/>
        <v>2504939</v>
      </c>
      <c r="Z476" s="311">
        <v>62</v>
      </c>
      <c r="AA476" s="312">
        <v>47966</v>
      </c>
      <c r="AB476" s="313">
        <f t="shared" si="175"/>
        <v>2973892</v>
      </c>
      <c r="AC476" s="308">
        <v>1</v>
      </c>
      <c r="AD476" s="309">
        <v>40295</v>
      </c>
      <c r="AE476" s="310">
        <f t="shared" si="176"/>
        <v>40295</v>
      </c>
      <c r="AF476" s="311">
        <v>1</v>
      </c>
      <c r="AG476" s="312">
        <v>41302</v>
      </c>
      <c r="AH476" s="313">
        <f t="shared" si="177"/>
        <v>41302</v>
      </c>
      <c r="AI476" s="308"/>
      <c r="AJ476" s="309"/>
      <c r="AK476" s="310">
        <f t="shared" si="178"/>
        <v>0</v>
      </c>
      <c r="AL476" s="311"/>
      <c r="AM476" s="312"/>
      <c r="AN476" s="313">
        <f t="shared" si="179"/>
        <v>0</v>
      </c>
      <c r="AO476" s="308">
        <v>1</v>
      </c>
      <c r="AP476" s="309">
        <v>116326</v>
      </c>
      <c r="AQ476" s="310">
        <f t="shared" si="180"/>
        <v>95177.933199999999</v>
      </c>
      <c r="AR476" s="311">
        <v>0</v>
      </c>
      <c r="AS476" s="312"/>
      <c r="AT476" s="313">
        <f t="shared" si="181"/>
        <v>0</v>
      </c>
      <c r="AU476" s="308">
        <v>1</v>
      </c>
      <c r="AV476" s="309">
        <v>84568</v>
      </c>
      <c r="AW476" s="310">
        <f t="shared" si="182"/>
        <v>69193.537599999996</v>
      </c>
      <c r="AX476" s="311">
        <v>0</v>
      </c>
      <c r="AY476" s="312"/>
      <c r="AZ476" s="313">
        <f t="shared" si="183"/>
        <v>0</v>
      </c>
      <c r="BA476" s="308">
        <v>0</v>
      </c>
      <c r="BB476" s="309"/>
      <c r="BC476" s="310">
        <f t="shared" si="184"/>
        <v>0</v>
      </c>
      <c r="BD476" s="311"/>
      <c r="BE476" s="312"/>
      <c r="BF476" s="313">
        <f t="shared" si="185"/>
        <v>0</v>
      </c>
      <c r="BG476" s="308">
        <v>1</v>
      </c>
      <c r="BH476" s="309">
        <v>43921</v>
      </c>
      <c r="BI476" s="310">
        <f t="shared" si="186"/>
        <v>35936.162199999999</v>
      </c>
      <c r="BJ476" s="311">
        <v>1</v>
      </c>
      <c r="BK476" s="312">
        <v>45204</v>
      </c>
      <c r="BL476" s="313">
        <f t="shared" si="187"/>
        <v>36985.912799999998</v>
      </c>
      <c r="BM476" s="308">
        <v>1</v>
      </c>
      <c r="BN476" s="309">
        <v>39724</v>
      </c>
      <c r="BO476" s="310">
        <f t="shared" si="188"/>
        <v>32502.176800000001</v>
      </c>
      <c r="BP476" s="311">
        <v>1</v>
      </c>
      <c r="BQ476" s="312">
        <v>40518</v>
      </c>
      <c r="BR476" s="313">
        <f t="shared" si="189"/>
        <v>33151.827600000004</v>
      </c>
      <c r="BS476" s="308"/>
      <c r="BT476" s="309"/>
      <c r="BU476" s="310">
        <f t="shared" si="190"/>
        <v>0</v>
      </c>
      <c r="BV476" s="311"/>
      <c r="BW476" s="312"/>
      <c r="BX476" s="313">
        <f t="shared" si="191"/>
        <v>0</v>
      </c>
    </row>
    <row r="477" spans="1:76">
      <c r="A477" s="337" t="s">
        <v>449</v>
      </c>
      <c r="B477" s="338" t="s">
        <v>761</v>
      </c>
      <c r="C477" s="337">
        <v>218964</v>
      </c>
      <c r="D477" s="339">
        <v>3</v>
      </c>
      <c r="E477" s="308">
        <v>62</v>
      </c>
      <c r="F477" s="309">
        <v>75296</v>
      </c>
      <c r="G477" s="310">
        <f t="shared" si="168"/>
        <v>4668352</v>
      </c>
      <c r="H477" s="311">
        <v>62</v>
      </c>
      <c r="I477" s="312">
        <v>76033</v>
      </c>
      <c r="J477" s="313">
        <f t="shared" si="169"/>
        <v>4714046</v>
      </c>
      <c r="K477" s="308">
        <v>93</v>
      </c>
      <c r="L477" s="309">
        <v>65349</v>
      </c>
      <c r="M477" s="310">
        <f t="shared" si="170"/>
        <v>6077457</v>
      </c>
      <c r="N477" s="311">
        <v>98</v>
      </c>
      <c r="O477" s="312">
        <v>65489</v>
      </c>
      <c r="P477" s="313">
        <f t="shared" si="171"/>
        <v>6417922</v>
      </c>
      <c r="Q477" s="308">
        <v>89</v>
      </c>
      <c r="R477" s="309">
        <v>53117</v>
      </c>
      <c r="S477" s="310">
        <f t="shared" si="172"/>
        <v>4727413</v>
      </c>
      <c r="T477" s="311">
        <v>82</v>
      </c>
      <c r="U477" s="312">
        <v>54022</v>
      </c>
      <c r="V477" s="313">
        <f t="shared" si="173"/>
        <v>4429804</v>
      </c>
      <c r="W477" s="308">
        <v>33</v>
      </c>
      <c r="X477" s="309">
        <v>43595</v>
      </c>
      <c r="Y477" s="310">
        <f t="shared" si="174"/>
        <v>1438635</v>
      </c>
      <c r="Z477" s="311">
        <v>32</v>
      </c>
      <c r="AA477" s="312">
        <v>42382</v>
      </c>
      <c r="AB477" s="313">
        <f t="shared" si="175"/>
        <v>1356224</v>
      </c>
      <c r="AC477" s="308">
        <v>0</v>
      </c>
      <c r="AD477" s="309"/>
      <c r="AE477" s="310">
        <f t="shared" si="176"/>
        <v>0</v>
      </c>
      <c r="AF477" s="311">
        <v>2</v>
      </c>
      <c r="AG477" s="312">
        <v>40607</v>
      </c>
      <c r="AH477" s="313">
        <f t="shared" si="177"/>
        <v>81214</v>
      </c>
      <c r="AI477" s="308"/>
      <c r="AJ477" s="309"/>
      <c r="AK477" s="310">
        <f t="shared" si="178"/>
        <v>0</v>
      </c>
      <c r="AL477" s="311"/>
      <c r="AM477" s="312"/>
      <c r="AN477" s="313">
        <f t="shared" si="179"/>
        <v>0</v>
      </c>
      <c r="AO477" s="308">
        <v>1</v>
      </c>
      <c r="AP477" s="309">
        <v>86992</v>
      </c>
      <c r="AQ477" s="310">
        <f t="shared" si="180"/>
        <v>71176.854399999997</v>
      </c>
      <c r="AR477" s="311">
        <v>1</v>
      </c>
      <c r="AS477" s="312">
        <v>87861</v>
      </c>
      <c r="AT477" s="313">
        <f t="shared" si="181"/>
        <v>71887.870200000005</v>
      </c>
      <c r="AU477" s="308">
        <v>1</v>
      </c>
      <c r="AV477" s="309">
        <v>88897</v>
      </c>
      <c r="AW477" s="310">
        <f t="shared" si="182"/>
        <v>72735.525399999999</v>
      </c>
      <c r="AX477" s="311">
        <v>2</v>
      </c>
      <c r="AY477" s="312">
        <v>97850</v>
      </c>
      <c r="AZ477" s="313">
        <f t="shared" si="183"/>
        <v>160121.74000000002</v>
      </c>
      <c r="BA477" s="308">
        <v>1</v>
      </c>
      <c r="BB477" s="309">
        <v>52600</v>
      </c>
      <c r="BC477" s="310">
        <f t="shared" si="184"/>
        <v>43037.32</v>
      </c>
      <c r="BD477" s="311">
        <v>1</v>
      </c>
      <c r="BE477" s="312">
        <v>53126</v>
      </c>
      <c r="BF477" s="313">
        <f t="shared" si="185"/>
        <v>43467.693200000002</v>
      </c>
      <c r="BG477" s="308">
        <v>2</v>
      </c>
      <c r="BH477" s="309">
        <v>60900</v>
      </c>
      <c r="BI477" s="310">
        <f t="shared" si="186"/>
        <v>99656.760000000009</v>
      </c>
      <c r="BJ477" s="311">
        <v>14</v>
      </c>
      <c r="BK477" s="312">
        <v>55741</v>
      </c>
      <c r="BL477" s="313">
        <f t="shared" si="187"/>
        <v>638502.00679999997</v>
      </c>
      <c r="BM477" s="308">
        <v>0</v>
      </c>
      <c r="BN477" s="309"/>
      <c r="BO477" s="310">
        <f t="shared" si="188"/>
        <v>0</v>
      </c>
      <c r="BP477" s="311">
        <v>2</v>
      </c>
      <c r="BQ477" s="312">
        <v>66505</v>
      </c>
      <c r="BR477" s="313">
        <f t="shared" si="189"/>
        <v>108828.78200000001</v>
      </c>
      <c r="BS477" s="308"/>
      <c r="BT477" s="309"/>
      <c r="BU477" s="310">
        <f t="shared" si="190"/>
        <v>0</v>
      </c>
      <c r="BV477" s="311"/>
      <c r="BW477" s="312"/>
      <c r="BX477" s="313">
        <f t="shared" si="191"/>
        <v>0</v>
      </c>
    </row>
    <row r="478" spans="1:76">
      <c r="A478" s="337" t="s">
        <v>449</v>
      </c>
      <c r="B478" s="338" t="s">
        <v>762</v>
      </c>
      <c r="C478" s="337">
        <v>217864</v>
      </c>
      <c r="D478" s="339">
        <v>4</v>
      </c>
      <c r="E478" s="308">
        <v>60</v>
      </c>
      <c r="F478" s="309">
        <v>77293</v>
      </c>
      <c r="G478" s="310">
        <f t="shared" si="168"/>
        <v>4637580</v>
      </c>
      <c r="H478" s="311">
        <v>58</v>
      </c>
      <c r="I478" s="312">
        <v>79765</v>
      </c>
      <c r="J478" s="313">
        <f t="shared" si="169"/>
        <v>4626370</v>
      </c>
      <c r="K478" s="308">
        <v>45</v>
      </c>
      <c r="L478" s="309">
        <v>68527</v>
      </c>
      <c r="M478" s="310">
        <f t="shared" si="170"/>
        <v>3083715</v>
      </c>
      <c r="N478" s="311">
        <v>50</v>
      </c>
      <c r="O478" s="312">
        <v>67506</v>
      </c>
      <c r="P478" s="313">
        <f t="shared" si="171"/>
        <v>3375300</v>
      </c>
      <c r="Q478" s="308">
        <v>59</v>
      </c>
      <c r="R478" s="309">
        <v>55655</v>
      </c>
      <c r="S478" s="310">
        <f t="shared" si="172"/>
        <v>3283645</v>
      </c>
      <c r="T478" s="311">
        <v>62</v>
      </c>
      <c r="U478" s="312">
        <v>54036</v>
      </c>
      <c r="V478" s="313">
        <f t="shared" si="173"/>
        <v>3350232</v>
      </c>
      <c r="W478" s="308">
        <v>0</v>
      </c>
      <c r="X478" s="309"/>
      <c r="Y478" s="310">
        <f t="shared" si="174"/>
        <v>0</v>
      </c>
      <c r="Z478" s="311">
        <v>0</v>
      </c>
      <c r="AA478" s="312"/>
      <c r="AB478" s="313">
        <f t="shared" si="175"/>
        <v>0</v>
      </c>
      <c r="AC478" s="308">
        <v>0</v>
      </c>
      <c r="AD478" s="309"/>
      <c r="AE478" s="310">
        <f t="shared" si="176"/>
        <v>0</v>
      </c>
      <c r="AF478" s="311"/>
      <c r="AG478" s="312"/>
      <c r="AH478" s="313">
        <f t="shared" si="177"/>
        <v>0</v>
      </c>
      <c r="AI478" s="308"/>
      <c r="AJ478" s="309"/>
      <c r="AK478" s="310">
        <f t="shared" si="178"/>
        <v>0</v>
      </c>
      <c r="AL478" s="311"/>
      <c r="AM478" s="312"/>
      <c r="AN478" s="313">
        <f t="shared" si="179"/>
        <v>0</v>
      </c>
      <c r="AO478" s="308">
        <v>1</v>
      </c>
      <c r="AP478" s="309">
        <v>106660</v>
      </c>
      <c r="AQ478" s="310">
        <f t="shared" si="180"/>
        <v>87269.212</v>
      </c>
      <c r="AR478" s="311">
        <v>1</v>
      </c>
      <c r="AS478" s="312">
        <v>107726</v>
      </c>
      <c r="AT478" s="313">
        <f t="shared" si="181"/>
        <v>88141.41320000001</v>
      </c>
      <c r="AU478" s="308">
        <v>2</v>
      </c>
      <c r="AV478" s="309">
        <v>93045</v>
      </c>
      <c r="AW478" s="310">
        <f t="shared" si="182"/>
        <v>152258.83800000002</v>
      </c>
      <c r="AX478" s="311">
        <v>2</v>
      </c>
      <c r="AY478" s="312">
        <v>88464</v>
      </c>
      <c r="AZ478" s="313">
        <f t="shared" si="183"/>
        <v>144762.4896</v>
      </c>
      <c r="BA478" s="308">
        <v>0</v>
      </c>
      <c r="BB478" s="309"/>
      <c r="BC478" s="310">
        <f t="shared" si="184"/>
        <v>0</v>
      </c>
      <c r="BD478" s="311"/>
      <c r="BE478" s="312"/>
      <c r="BF478" s="313">
        <f t="shared" si="185"/>
        <v>0</v>
      </c>
      <c r="BG478" s="308">
        <v>0</v>
      </c>
      <c r="BH478" s="309"/>
      <c r="BI478" s="310">
        <f t="shared" si="186"/>
        <v>0</v>
      </c>
      <c r="BJ478" s="311"/>
      <c r="BK478" s="312"/>
      <c r="BL478" s="313">
        <f t="shared" si="187"/>
        <v>0</v>
      </c>
      <c r="BM478" s="308">
        <v>0</v>
      </c>
      <c r="BN478" s="309"/>
      <c r="BO478" s="310">
        <f t="shared" si="188"/>
        <v>0</v>
      </c>
      <c r="BP478" s="311"/>
      <c r="BQ478" s="312"/>
      <c r="BR478" s="313">
        <f t="shared" si="189"/>
        <v>0</v>
      </c>
      <c r="BS478" s="308"/>
      <c r="BT478" s="309"/>
      <c r="BU478" s="310">
        <f t="shared" si="190"/>
        <v>0</v>
      </c>
      <c r="BV478" s="311"/>
      <c r="BW478" s="312"/>
      <c r="BX478" s="313">
        <f t="shared" si="191"/>
        <v>0</v>
      </c>
    </row>
    <row r="479" spans="1:76">
      <c r="A479" s="337" t="s">
        <v>449</v>
      </c>
      <c r="B479" s="338" t="s">
        <v>763</v>
      </c>
      <c r="C479" s="337">
        <v>218724</v>
      </c>
      <c r="D479" s="337">
        <v>5</v>
      </c>
      <c r="E479" s="308">
        <v>32</v>
      </c>
      <c r="F479" s="309">
        <v>77915</v>
      </c>
      <c r="G479" s="310">
        <f t="shared" si="168"/>
        <v>2493280</v>
      </c>
      <c r="H479" s="311">
        <v>29</v>
      </c>
      <c r="I479" s="312">
        <v>79656</v>
      </c>
      <c r="J479" s="313">
        <f t="shared" si="169"/>
        <v>2310024</v>
      </c>
      <c r="K479" s="308">
        <v>52</v>
      </c>
      <c r="L479" s="309">
        <v>63520</v>
      </c>
      <c r="M479" s="310">
        <f t="shared" si="170"/>
        <v>3303040</v>
      </c>
      <c r="N479" s="311">
        <v>54</v>
      </c>
      <c r="O479" s="312">
        <v>68806</v>
      </c>
      <c r="P479" s="313">
        <f t="shared" si="171"/>
        <v>3715524</v>
      </c>
      <c r="Q479" s="308">
        <v>111</v>
      </c>
      <c r="R479" s="309">
        <v>57882</v>
      </c>
      <c r="S479" s="310">
        <f t="shared" si="172"/>
        <v>6424902</v>
      </c>
      <c r="T479" s="311">
        <v>114</v>
      </c>
      <c r="U479" s="312">
        <v>58265</v>
      </c>
      <c r="V479" s="313">
        <f t="shared" si="173"/>
        <v>6642210</v>
      </c>
      <c r="W479" s="308">
        <v>19</v>
      </c>
      <c r="X479" s="309">
        <v>39212</v>
      </c>
      <c r="Y479" s="310">
        <f t="shared" si="174"/>
        <v>745028</v>
      </c>
      <c r="Z479" s="311">
        <v>18</v>
      </c>
      <c r="AA479" s="312">
        <v>43182</v>
      </c>
      <c r="AB479" s="313">
        <f t="shared" si="175"/>
        <v>777276</v>
      </c>
      <c r="AC479" s="308">
        <v>15</v>
      </c>
      <c r="AD479" s="309">
        <v>37397</v>
      </c>
      <c r="AE479" s="310">
        <f t="shared" si="176"/>
        <v>560955</v>
      </c>
      <c r="AF479" s="311">
        <v>41</v>
      </c>
      <c r="AG479" s="312">
        <v>37370</v>
      </c>
      <c r="AH479" s="313">
        <f t="shared" si="177"/>
        <v>1532170</v>
      </c>
      <c r="AI479" s="308"/>
      <c r="AJ479" s="309"/>
      <c r="AK479" s="310">
        <f t="shared" si="178"/>
        <v>0</v>
      </c>
      <c r="AL479" s="311"/>
      <c r="AM479" s="312"/>
      <c r="AN479" s="313">
        <f t="shared" si="179"/>
        <v>0</v>
      </c>
      <c r="AO479" s="308">
        <v>15</v>
      </c>
      <c r="AP479" s="309">
        <v>98107</v>
      </c>
      <c r="AQ479" s="310">
        <f t="shared" si="180"/>
        <v>1204067.2110000001</v>
      </c>
      <c r="AR479" s="311">
        <v>19</v>
      </c>
      <c r="AS479" s="312">
        <v>105085</v>
      </c>
      <c r="AT479" s="313">
        <f t="shared" si="181"/>
        <v>1633630.3930000002</v>
      </c>
      <c r="AU479" s="308">
        <v>12</v>
      </c>
      <c r="AV479" s="309">
        <v>80030</v>
      </c>
      <c r="AW479" s="310">
        <f t="shared" si="182"/>
        <v>785766.55200000003</v>
      </c>
      <c r="AX479" s="311">
        <v>11</v>
      </c>
      <c r="AY479" s="312">
        <v>77978</v>
      </c>
      <c r="AZ479" s="313">
        <f t="shared" si="183"/>
        <v>701817.5956</v>
      </c>
      <c r="BA479" s="308">
        <v>1</v>
      </c>
      <c r="BB479" s="309">
        <v>57567</v>
      </c>
      <c r="BC479" s="310">
        <f t="shared" si="184"/>
        <v>47101.3194</v>
      </c>
      <c r="BD479" s="311">
        <v>3</v>
      </c>
      <c r="BE479" s="312">
        <v>58849</v>
      </c>
      <c r="BF479" s="313">
        <f t="shared" si="185"/>
        <v>144450.75539999999</v>
      </c>
      <c r="BG479" s="308">
        <v>3</v>
      </c>
      <c r="BH479" s="309">
        <v>66643</v>
      </c>
      <c r="BI479" s="310">
        <f t="shared" si="186"/>
        <v>163581.90780000002</v>
      </c>
      <c r="BJ479" s="311">
        <v>3</v>
      </c>
      <c r="BK479" s="312">
        <v>67559</v>
      </c>
      <c r="BL479" s="313">
        <f t="shared" si="187"/>
        <v>165830.32140000002</v>
      </c>
      <c r="BM479" s="308">
        <v>4</v>
      </c>
      <c r="BN479" s="309">
        <v>70858</v>
      </c>
      <c r="BO479" s="310">
        <f t="shared" si="188"/>
        <v>231904.06240000002</v>
      </c>
      <c r="BP479" s="311">
        <v>7</v>
      </c>
      <c r="BQ479" s="312">
        <v>58533</v>
      </c>
      <c r="BR479" s="313">
        <f t="shared" si="189"/>
        <v>335241.90419999999</v>
      </c>
      <c r="BS479" s="308"/>
      <c r="BT479" s="309"/>
      <c r="BU479" s="310">
        <f t="shared" si="190"/>
        <v>0</v>
      </c>
      <c r="BV479" s="311"/>
      <c r="BW479" s="312"/>
      <c r="BX479" s="313">
        <f t="shared" si="191"/>
        <v>0</v>
      </c>
    </row>
    <row r="480" spans="1:76">
      <c r="A480" s="337" t="s">
        <v>449</v>
      </c>
      <c r="B480" s="338" t="s">
        <v>764</v>
      </c>
      <c r="C480" s="337">
        <v>218061</v>
      </c>
      <c r="D480" s="339">
        <v>5</v>
      </c>
      <c r="E480" s="308">
        <v>57</v>
      </c>
      <c r="F480" s="309">
        <v>74345</v>
      </c>
      <c r="G480" s="310">
        <f t="shared" si="168"/>
        <v>4237665</v>
      </c>
      <c r="H480" s="311">
        <v>55</v>
      </c>
      <c r="I480" s="312">
        <v>75969</v>
      </c>
      <c r="J480" s="313">
        <f t="shared" si="169"/>
        <v>4178295</v>
      </c>
      <c r="K480" s="308">
        <v>35</v>
      </c>
      <c r="L480" s="309">
        <v>59168</v>
      </c>
      <c r="M480" s="310">
        <f t="shared" si="170"/>
        <v>2070880</v>
      </c>
      <c r="N480" s="311">
        <v>36</v>
      </c>
      <c r="O480" s="312">
        <v>60413</v>
      </c>
      <c r="P480" s="313">
        <f t="shared" si="171"/>
        <v>2174868</v>
      </c>
      <c r="Q480" s="308">
        <v>83</v>
      </c>
      <c r="R480" s="309">
        <v>50811</v>
      </c>
      <c r="S480" s="310">
        <f t="shared" si="172"/>
        <v>4217313</v>
      </c>
      <c r="T480" s="311">
        <v>86</v>
      </c>
      <c r="U480" s="312">
        <v>51834</v>
      </c>
      <c r="V480" s="313">
        <f t="shared" si="173"/>
        <v>4457724</v>
      </c>
      <c r="W480" s="308">
        <v>17</v>
      </c>
      <c r="X480" s="309">
        <v>44506</v>
      </c>
      <c r="Y480" s="310">
        <f t="shared" si="174"/>
        <v>756602</v>
      </c>
      <c r="Z480" s="311">
        <v>15</v>
      </c>
      <c r="AA480" s="312">
        <v>46744</v>
      </c>
      <c r="AB480" s="313">
        <f t="shared" si="175"/>
        <v>701160</v>
      </c>
      <c r="AC480" s="308">
        <v>0</v>
      </c>
      <c r="AD480" s="309"/>
      <c r="AE480" s="310">
        <f t="shared" si="176"/>
        <v>0</v>
      </c>
      <c r="AF480" s="311"/>
      <c r="AG480" s="312"/>
      <c r="AH480" s="313">
        <f t="shared" si="177"/>
        <v>0</v>
      </c>
      <c r="AI480" s="308"/>
      <c r="AJ480" s="309"/>
      <c r="AK480" s="310">
        <f t="shared" si="178"/>
        <v>0</v>
      </c>
      <c r="AL480" s="311"/>
      <c r="AM480" s="312"/>
      <c r="AN480" s="313">
        <f t="shared" si="179"/>
        <v>0</v>
      </c>
      <c r="AO480" s="308">
        <v>7</v>
      </c>
      <c r="AP480" s="309">
        <v>91121</v>
      </c>
      <c r="AQ480" s="310">
        <f t="shared" si="180"/>
        <v>521886.4154</v>
      </c>
      <c r="AR480" s="311">
        <v>6</v>
      </c>
      <c r="AS480" s="312">
        <v>96986</v>
      </c>
      <c r="AT480" s="313">
        <f t="shared" si="181"/>
        <v>476123.67120000004</v>
      </c>
      <c r="AU480" s="308">
        <v>1</v>
      </c>
      <c r="AV480" s="309">
        <v>74200</v>
      </c>
      <c r="AW480" s="310">
        <f t="shared" si="182"/>
        <v>60710.44</v>
      </c>
      <c r="AX480" s="311">
        <v>1</v>
      </c>
      <c r="AY480" s="312">
        <v>76426</v>
      </c>
      <c r="AZ480" s="313">
        <f t="shared" si="183"/>
        <v>62531.753200000006</v>
      </c>
      <c r="BA480" s="308">
        <v>0</v>
      </c>
      <c r="BB480" s="309"/>
      <c r="BC480" s="310">
        <f t="shared" si="184"/>
        <v>0</v>
      </c>
      <c r="BD480" s="311"/>
      <c r="BE480" s="312"/>
      <c r="BF480" s="313">
        <f t="shared" si="185"/>
        <v>0</v>
      </c>
      <c r="BG480" s="308">
        <v>0</v>
      </c>
      <c r="BH480" s="309"/>
      <c r="BI480" s="310">
        <f t="shared" si="186"/>
        <v>0</v>
      </c>
      <c r="BJ480" s="311"/>
      <c r="BK480" s="312"/>
      <c r="BL480" s="313">
        <f t="shared" si="187"/>
        <v>0</v>
      </c>
      <c r="BM480" s="308">
        <v>0</v>
      </c>
      <c r="BN480" s="309"/>
      <c r="BO480" s="310">
        <f t="shared" si="188"/>
        <v>0</v>
      </c>
      <c r="BP480" s="311"/>
      <c r="BQ480" s="312"/>
      <c r="BR480" s="313">
        <f t="shared" si="189"/>
        <v>0</v>
      </c>
      <c r="BS480" s="308"/>
      <c r="BT480" s="309"/>
      <c r="BU480" s="310">
        <f t="shared" si="190"/>
        <v>0</v>
      </c>
      <c r="BV480" s="311"/>
      <c r="BW480" s="312"/>
      <c r="BX480" s="313">
        <f t="shared" si="191"/>
        <v>0</v>
      </c>
    </row>
    <row r="481" spans="1:76">
      <c r="A481" s="337" t="s">
        <v>449</v>
      </c>
      <c r="B481" s="340" t="s">
        <v>765</v>
      </c>
      <c r="C481" s="337">
        <v>218229</v>
      </c>
      <c r="D481" s="339">
        <v>5</v>
      </c>
      <c r="E481" s="308">
        <v>24</v>
      </c>
      <c r="F481" s="309">
        <v>61766</v>
      </c>
      <c r="G481" s="310">
        <f t="shared" si="168"/>
        <v>1482384</v>
      </c>
      <c r="H481" s="311">
        <v>22</v>
      </c>
      <c r="I481" s="312">
        <v>53777</v>
      </c>
      <c r="J481" s="313">
        <f t="shared" si="169"/>
        <v>1183094</v>
      </c>
      <c r="K481" s="308">
        <v>22</v>
      </c>
      <c r="L481" s="309">
        <v>54874</v>
      </c>
      <c r="M481" s="310">
        <f t="shared" si="170"/>
        <v>1207228</v>
      </c>
      <c r="N481" s="311">
        <v>25</v>
      </c>
      <c r="O481" s="312">
        <v>54330</v>
      </c>
      <c r="P481" s="313">
        <f t="shared" si="171"/>
        <v>1358250</v>
      </c>
      <c r="Q481" s="308">
        <v>45</v>
      </c>
      <c r="R481" s="309">
        <v>47907</v>
      </c>
      <c r="S481" s="310">
        <f t="shared" si="172"/>
        <v>2155815</v>
      </c>
      <c r="T481" s="311">
        <v>35</v>
      </c>
      <c r="U481" s="312">
        <v>50605</v>
      </c>
      <c r="V481" s="313">
        <f t="shared" si="173"/>
        <v>1771175</v>
      </c>
      <c r="W481" s="308">
        <v>27</v>
      </c>
      <c r="X481" s="309">
        <v>41022</v>
      </c>
      <c r="Y481" s="310">
        <f t="shared" si="174"/>
        <v>1107594</v>
      </c>
      <c r="Z481" s="311">
        <v>18</v>
      </c>
      <c r="AA481" s="312">
        <v>37296</v>
      </c>
      <c r="AB481" s="313">
        <f t="shared" si="175"/>
        <v>671328</v>
      </c>
      <c r="AC481" s="308">
        <v>5</v>
      </c>
      <c r="AD481" s="309">
        <v>32591</v>
      </c>
      <c r="AE481" s="310">
        <f t="shared" si="176"/>
        <v>162955</v>
      </c>
      <c r="AF481" s="311">
        <v>4</v>
      </c>
      <c r="AG481" s="312">
        <v>33138</v>
      </c>
      <c r="AH481" s="313">
        <f t="shared" si="177"/>
        <v>132552</v>
      </c>
      <c r="AI481" s="308"/>
      <c r="AJ481" s="309"/>
      <c r="AK481" s="310">
        <f t="shared" si="178"/>
        <v>0</v>
      </c>
      <c r="AL481" s="311"/>
      <c r="AM481" s="312"/>
      <c r="AN481" s="313">
        <f t="shared" si="179"/>
        <v>0</v>
      </c>
      <c r="AO481" s="308">
        <v>3</v>
      </c>
      <c r="AP481" s="309">
        <v>100847</v>
      </c>
      <c r="AQ481" s="310">
        <f t="shared" si="180"/>
        <v>247539.04620000001</v>
      </c>
      <c r="AR481" s="311">
        <v>3</v>
      </c>
      <c r="AS481" s="312">
        <v>103177</v>
      </c>
      <c r="AT481" s="313">
        <f t="shared" si="181"/>
        <v>253258.26420000001</v>
      </c>
      <c r="AU481" s="308">
        <v>2</v>
      </c>
      <c r="AV481" s="309">
        <v>59691</v>
      </c>
      <c r="AW481" s="310">
        <f t="shared" si="182"/>
        <v>97678.352400000003</v>
      </c>
      <c r="AX481" s="311">
        <v>3</v>
      </c>
      <c r="AY481" s="312">
        <v>48455</v>
      </c>
      <c r="AZ481" s="313">
        <f t="shared" si="183"/>
        <v>118937.64300000001</v>
      </c>
      <c r="BA481" s="308">
        <v>0</v>
      </c>
      <c r="BB481" s="309"/>
      <c r="BC481" s="310">
        <f t="shared" si="184"/>
        <v>0</v>
      </c>
      <c r="BD481" s="311">
        <v>14</v>
      </c>
      <c r="BE481" s="312">
        <v>37786</v>
      </c>
      <c r="BF481" s="313">
        <f t="shared" si="185"/>
        <v>432831.07280000002</v>
      </c>
      <c r="BG481" s="308">
        <v>0</v>
      </c>
      <c r="BH481" s="309"/>
      <c r="BI481" s="310">
        <f t="shared" si="186"/>
        <v>0</v>
      </c>
      <c r="BJ481" s="311">
        <v>4</v>
      </c>
      <c r="BK481" s="312">
        <v>44145</v>
      </c>
      <c r="BL481" s="313">
        <f t="shared" si="187"/>
        <v>144477.75599999999</v>
      </c>
      <c r="BM481" s="308">
        <v>0</v>
      </c>
      <c r="BN481" s="309"/>
      <c r="BO481" s="310">
        <f t="shared" si="188"/>
        <v>0</v>
      </c>
      <c r="BP481" s="311">
        <v>2</v>
      </c>
      <c r="BQ481" s="312">
        <v>38787</v>
      </c>
      <c r="BR481" s="313">
        <f t="shared" si="189"/>
        <v>63471.046800000004</v>
      </c>
      <c r="BS481" s="308"/>
      <c r="BT481" s="309"/>
      <c r="BU481" s="310">
        <f t="shared" si="190"/>
        <v>0</v>
      </c>
      <c r="BV481" s="311"/>
      <c r="BW481" s="312"/>
      <c r="BX481" s="313">
        <f t="shared" si="191"/>
        <v>0</v>
      </c>
    </row>
    <row r="482" spans="1:76">
      <c r="A482" s="337" t="s">
        <v>449</v>
      </c>
      <c r="B482" s="338" t="s">
        <v>766</v>
      </c>
      <c r="C482" s="337">
        <v>218733</v>
      </c>
      <c r="D482" s="337">
        <v>5</v>
      </c>
      <c r="E482" s="308">
        <v>34</v>
      </c>
      <c r="F482" s="309">
        <v>72542</v>
      </c>
      <c r="G482" s="310">
        <f t="shared" si="168"/>
        <v>2466428</v>
      </c>
      <c r="H482" s="311">
        <v>35</v>
      </c>
      <c r="I482" s="312">
        <v>72843</v>
      </c>
      <c r="J482" s="313">
        <f t="shared" si="169"/>
        <v>2549505</v>
      </c>
      <c r="K482" s="308">
        <v>48</v>
      </c>
      <c r="L482" s="309">
        <v>63444</v>
      </c>
      <c r="M482" s="310">
        <f t="shared" si="170"/>
        <v>3045312</v>
      </c>
      <c r="N482" s="311">
        <v>50</v>
      </c>
      <c r="O482" s="312">
        <v>64044</v>
      </c>
      <c r="P482" s="313">
        <f t="shared" si="171"/>
        <v>3202200</v>
      </c>
      <c r="Q482" s="308">
        <v>74</v>
      </c>
      <c r="R482" s="309">
        <v>55870</v>
      </c>
      <c r="S482" s="310">
        <f t="shared" si="172"/>
        <v>4134380</v>
      </c>
      <c r="T482" s="311">
        <v>81</v>
      </c>
      <c r="U482" s="312">
        <v>57472</v>
      </c>
      <c r="V482" s="313">
        <f t="shared" si="173"/>
        <v>4655232</v>
      </c>
      <c r="W482" s="308">
        <v>22</v>
      </c>
      <c r="X482" s="309">
        <v>41936</v>
      </c>
      <c r="Y482" s="310">
        <f t="shared" si="174"/>
        <v>922592</v>
      </c>
      <c r="Z482" s="311">
        <v>27</v>
      </c>
      <c r="AA482" s="312">
        <v>42615</v>
      </c>
      <c r="AB482" s="313">
        <f t="shared" si="175"/>
        <v>1150605</v>
      </c>
      <c r="AC482" s="308">
        <v>9</v>
      </c>
      <c r="AD482" s="309">
        <v>48342</v>
      </c>
      <c r="AE482" s="310">
        <f t="shared" si="176"/>
        <v>435078</v>
      </c>
      <c r="AF482" s="311">
        <v>4</v>
      </c>
      <c r="AG482" s="312">
        <v>45401</v>
      </c>
      <c r="AH482" s="313">
        <f t="shared" si="177"/>
        <v>181604</v>
      </c>
      <c r="AI482" s="308"/>
      <c r="AJ482" s="309"/>
      <c r="AK482" s="310">
        <f t="shared" si="178"/>
        <v>0</v>
      </c>
      <c r="AL482" s="311"/>
      <c r="AM482" s="312"/>
      <c r="AN482" s="313">
        <f t="shared" si="179"/>
        <v>0</v>
      </c>
      <c r="AO482" s="308">
        <v>5</v>
      </c>
      <c r="AP482" s="309">
        <v>89672</v>
      </c>
      <c r="AQ482" s="310">
        <f t="shared" si="180"/>
        <v>366848.152</v>
      </c>
      <c r="AR482" s="311">
        <v>4</v>
      </c>
      <c r="AS482" s="312">
        <v>103328</v>
      </c>
      <c r="AT482" s="313">
        <f t="shared" si="181"/>
        <v>338171.87839999999</v>
      </c>
      <c r="AU482" s="308">
        <v>16</v>
      </c>
      <c r="AV482" s="309">
        <v>81335</v>
      </c>
      <c r="AW482" s="310">
        <f t="shared" si="182"/>
        <v>1064772.7520000001</v>
      </c>
      <c r="AX482" s="311">
        <v>12</v>
      </c>
      <c r="AY482" s="312">
        <v>82507</v>
      </c>
      <c r="AZ482" s="313">
        <f t="shared" si="183"/>
        <v>810086.72880000004</v>
      </c>
      <c r="BA482" s="308">
        <v>12</v>
      </c>
      <c r="BB482" s="309">
        <v>60341</v>
      </c>
      <c r="BC482" s="310">
        <f t="shared" si="184"/>
        <v>592452.07440000004</v>
      </c>
      <c r="BD482" s="311">
        <v>10</v>
      </c>
      <c r="BE482" s="312">
        <v>73417</v>
      </c>
      <c r="BF482" s="313">
        <f t="shared" si="185"/>
        <v>600697.89399999997</v>
      </c>
      <c r="BG482" s="308">
        <v>5</v>
      </c>
      <c r="BH482" s="309">
        <v>53645</v>
      </c>
      <c r="BI482" s="310">
        <f t="shared" si="186"/>
        <v>219461.69500000001</v>
      </c>
      <c r="BJ482" s="311">
        <v>5</v>
      </c>
      <c r="BK482" s="312">
        <v>60686</v>
      </c>
      <c r="BL482" s="313">
        <f t="shared" si="187"/>
        <v>248266.42600000001</v>
      </c>
      <c r="BM482" s="308">
        <v>0</v>
      </c>
      <c r="BN482" s="309"/>
      <c r="BO482" s="310">
        <f t="shared" si="188"/>
        <v>0</v>
      </c>
      <c r="BP482" s="311"/>
      <c r="BQ482" s="312"/>
      <c r="BR482" s="313">
        <f t="shared" si="189"/>
        <v>0</v>
      </c>
      <c r="BS482" s="308"/>
      <c r="BT482" s="309"/>
      <c r="BU482" s="310">
        <f t="shared" si="190"/>
        <v>0</v>
      </c>
      <c r="BV482" s="311"/>
      <c r="BW482" s="312"/>
      <c r="BX482" s="313">
        <f t="shared" si="191"/>
        <v>0</v>
      </c>
    </row>
    <row r="483" spans="1:76">
      <c r="A483" s="337" t="s">
        <v>449</v>
      </c>
      <c r="B483" s="338" t="s">
        <v>767</v>
      </c>
      <c r="C483" s="337">
        <v>218645</v>
      </c>
      <c r="D483" s="337">
        <v>6</v>
      </c>
      <c r="E483" s="308">
        <v>24</v>
      </c>
      <c r="F483" s="309">
        <v>75176</v>
      </c>
      <c r="G483" s="310">
        <f t="shared" si="168"/>
        <v>1804224</v>
      </c>
      <c r="H483" s="311">
        <v>24</v>
      </c>
      <c r="I483" s="312">
        <v>75234</v>
      </c>
      <c r="J483" s="313">
        <f t="shared" si="169"/>
        <v>1805616</v>
      </c>
      <c r="K483" s="308">
        <v>31</v>
      </c>
      <c r="L483" s="309">
        <v>60303</v>
      </c>
      <c r="M483" s="310">
        <f t="shared" si="170"/>
        <v>1869393</v>
      </c>
      <c r="N483" s="311">
        <v>31</v>
      </c>
      <c r="O483" s="312">
        <v>59559</v>
      </c>
      <c r="P483" s="313">
        <f t="shared" si="171"/>
        <v>1846329</v>
      </c>
      <c r="Q483" s="308">
        <v>43</v>
      </c>
      <c r="R483" s="309">
        <v>49836</v>
      </c>
      <c r="S483" s="310">
        <f t="shared" si="172"/>
        <v>2142948</v>
      </c>
      <c r="T483" s="311">
        <v>41</v>
      </c>
      <c r="U483" s="312">
        <v>49135</v>
      </c>
      <c r="V483" s="313">
        <f t="shared" si="173"/>
        <v>2014535</v>
      </c>
      <c r="W483" s="308">
        <v>34</v>
      </c>
      <c r="X483" s="309">
        <v>43695</v>
      </c>
      <c r="Y483" s="310">
        <f t="shared" si="174"/>
        <v>1485630</v>
      </c>
      <c r="Z483" s="311">
        <v>39</v>
      </c>
      <c r="AA483" s="312">
        <v>42619</v>
      </c>
      <c r="AB483" s="313">
        <f t="shared" si="175"/>
        <v>1662141</v>
      </c>
      <c r="AC483" s="308">
        <v>0</v>
      </c>
      <c r="AD483" s="309"/>
      <c r="AE483" s="310">
        <f t="shared" si="176"/>
        <v>0</v>
      </c>
      <c r="AF483" s="311"/>
      <c r="AG483" s="312"/>
      <c r="AH483" s="313">
        <f t="shared" si="177"/>
        <v>0</v>
      </c>
      <c r="AI483" s="308"/>
      <c r="AJ483" s="309"/>
      <c r="AK483" s="310">
        <f t="shared" si="178"/>
        <v>0</v>
      </c>
      <c r="AL483" s="311"/>
      <c r="AM483" s="312"/>
      <c r="AN483" s="313">
        <f t="shared" si="179"/>
        <v>0</v>
      </c>
      <c r="AO483" s="308">
        <v>6</v>
      </c>
      <c r="AP483" s="309">
        <v>85443</v>
      </c>
      <c r="AQ483" s="310">
        <f t="shared" si="180"/>
        <v>419456.77559999999</v>
      </c>
      <c r="AR483" s="311">
        <v>6</v>
      </c>
      <c r="AS483" s="312">
        <v>87063</v>
      </c>
      <c r="AT483" s="313">
        <f t="shared" si="181"/>
        <v>427409.67960000003</v>
      </c>
      <c r="AU483" s="308">
        <v>5</v>
      </c>
      <c r="AV483" s="309">
        <v>72110</v>
      </c>
      <c r="AW483" s="310">
        <f t="shared" si="182"/>
        <v>295002.01</v>
      </c>
      <c r="AX483" s="311">
        <v>6</v>
      </c>
      <c r="AY483" s="312">
        <v>75334</v>
      </c>
      <c r="AZ483" s="313">
        <f t="shared" si="183"/>
        <v>369829.6728</v>
      </c>
      <c r="BA483" s="308">
        <v>3</v>
      </c>
      <c r="BB483" s="309">
        <v>59950</v>
      </c>
      <c r="BC483" s="310">
        <f t="shared" si="184"/>
        <v>147153.27000000002</v>
      </c>
      <c r="BD483" s="311">
        <v>1</v>
      </c>
      <c r="BE483" s="312">
        <v>65947</v>
      </c>
      <c r="BF483" s="313">
        <f t="shared" si="185"/>
        <v>53957.835400000004</v>
      </c>
      <c r="BG483" s="308">
        <v>4</v>
      </c>
      <c r="BH483" s="309">
        <v>55019</v>
      </c>
      <c r="BI483" s="310">
        <f t="shared" si="186"/>
        <v>180066.1832</v>
      </c>
      <c r="BJ483" s="311">
        <v>3</v>
      </c>
      <c r="BK483" s="312">
        <v>49031</v>
      </c>
      <c r="BL483" s="313">
        <f t="shared" si="187"/>
        <v>120351.49260000001</v>
      </c>
      <c r="BM483" s="308">
        <v>0</v>
      </c>
      <c r="BN483" s="309"/>
      <c r="BO483" s="310">
        <f t="shared" si="188"/>
        <v>0</v>
      </c>
      <c r="BP483" s="311"/>
      <c r="BQ483" s="312"/>
      <c r="BR483" s="313">
        <f t="shared" si="189"/>
        <v>0</v>
      </c>
      <c r="BS483" s="308"/>
      <c r="BT483" s="309"/>
      <c r="BU483" s="310">
        <f t="shared" si="190"/>
        <v>0</v>
      </c>
      <c r="BV483" s="311"/>
      <c r="BW483" s="312"/>
      <c r="BX483" s="313">
        <f t="shared" si="191"/>
        <v>0</v>
      </c>
    </row>
    <row r="484" spans="1:76">
      <c r="A484" s="337" t="s">
        <v>449</v>
      </c>
      <c r="B484" s="338" t="s">
        <v>768</v>
      </c>
      <c r="C484" s="337">
        <v>218742</v>
      </c>
      <c r="D484" s="339">
        <v>6</v>
      </c>
      <c r="E484" s="308">
        <v>31</v>
      </c>
      <c r="F484" s="309">
        <v>69768</v>
      </c>
      <c r="G484" s="310">
        <f t="shared" si="168"/>
        <v>2162808</v>
      </c>
      <c r="H484" s="311">
        <v>30</v>
      </c>
      <c r="I484" s="312">
        <v>73585</v>
      </c>
      <c r="J484" s="313">
        <f t="shared" si="169"/>
        <v>2207550</v>
      </c>
      <c r="K484" s="308">
        <v>29</v>
      </c>
      <c r="L484" s="309">
        <v>58781</v>
      </c>
      <c r="M484" s="310">
        <f t="shared" si="170"/>
        <v>1704649</v>
      </c>
      <c r="N484" s="311">
        <v>33</v>
      </c>
      <c r="O484" s="312">
        <v>59059</v>
      </c>
      <c r="P484" s="313">
        <f t="shared" si="171"/>
        <v>1948947</v>
      </c>
      <c r="Q484" s="308">
        <v>63</v>
      </c>
      <c r="R484" s="309">
        <v>51535</v>
      </c>
      <c r="S484" s="310">
        <f t="shared" si="172"/>
        <v>3246705</v>
      </c>
      <c r="T484" s="311">
        <v>63</v>
      </c>
      <c r="U484" s="312">
        <v>51739</v>
      </c>
      <c r="V484" s="313">
        <f t="shared" si="173"/>
        <v>3259557</v>
      </c>
      <c r="W484" s="308">
        <v>64</v>
      </c>
      <c r="X484" s="309">
        <v>45128</v>
      </c>
      <c r="Y484" s="310">
        <f t="shared" si="174"/>
        <v>2888192</v>
      </c>
      <c r="Z484" s="311">
        <v>68</v>
      </c>
      <c r="AA484" s="312">
        <v>45904</v>
      </c>
      <c r="AB484" s="313">
        <f t="shared" si="175"/>
        <v>3121472</v>
      </c>
      <c r="AC484" s="308">
        <v>0</v>
      </c>
      <c r="AD484" s="309"/>
      <c r="AE484" s="310">
        <f t="shared" si="176"/>
        <v>0</v>
      </c>
      <c r="AF484" s="311"/>
      <c r="AG484" s="312"/>
      <c r="AH484" s="313">
        <f t="shared" si="177"/>
        <v>0</v>
      </c>
      <c r="AI484" s="308"/>
      <c r="AJ484" s="309"/>
      <c r="AK484" s="310">
        <f t="shared" si="178"/>
        <v>0</v>
      </c>
      <c r="AL484" s="311"/>
      <c r="AM484" s="312"/>
      <c r="AN484" s="313">
        <f t="shared" si="179"/>
        <v>0</v>
      </c>
      <c r="AO484" s="308">
        <v>7</v>
      </c>
      <c r="AP484" s="309">
        <v>95552</v>
      </c>
      <c r="AQ484" s="310">
        <f t="shared" si="180"/>
        <v>547264.52480000001</v>
      </c>
      <c r="AR484" s="311">
        <v>8</v>
      </c>
      <c r="AS484" s="312">
        <v>92568</v>
      </c>
      <c r="AT484" s="313">
        <f t="shared" si="181"/>
        <v>605913.10080000001</v>
      </c>
      <c r="AU484" s="308">
        <v>6</v>
      </c>
      <c r="AV484" s="309">
        <v>71529</v>
      </c>
      <c r="AW484" s="310">
        <f t="shared" si="182"/>
        <v>351150.16680000001</v>
      </c>
      <c r="AX484" s="311">
        <v>5</v>
      </c>
      <c r="AY484" s="312">
        <v>84026</v>
      </c>
      <c r="AZ484" s="313">
        <f t="shared" si="183"/>
        <v>343750.36600000004</v>
      </c>
      <c r="BA484" s="308">
        <v>3</v>
      </c>
      <c r="BB484" s="309">
        <v>73104</v>
      </c>
      <c r="BC484" s="310">
        <f t="shared" si="184"/>
        <v>179441.0784</v>
      </c>
      <c r="BD484" s="311">
        <v>3</v>
      </c>
      <c r="BE484" s="312">
        <v>75121</v>
      </c>
      <c r="BF484" s="313">
        <f t="shared" si="185"/>
        <v>184392.00660000002</v>
      </c>
      <c r="BG484" s="308">
        <v>3</v>
      </c>
      <c r="BH484" s="309">
        <v>52689</v>
      </c>
      <c r="BI484" s="310">
        <f t="shared" si="186"/>
        <v>129330.4194</v>
      </c>
      <c r="BJ484" s="311">
        <v>4</v>
      </c>
      <c r="BK484" s="312">
        <v>55646</v>
      </c>
      <c r="BL484" s="313">
        <f t="shared" si="187"/>
        <v>182118.22880000001</v>
      </c>
      <c r="BM484" s="308">
        <v>0</v>
      </c>
      <c r="BN484" s="309"/>
      <c r="BO484" s="310">
        <f t="shared" si="188"/>
        <v>0</v>
      </c>
      <c r="BP484" s="311"/>
      <c r="BQ484" s="312"/>
      <c r="BR484" s="313">
        <f t="shared" si="189"/>
        <v>0</v>
      </c>
      <c r="BS484" s="308"/>
      <c r="BT484" s="309"/>
      <c r="BU484" s="310">
        <f t="shared" si="190"/>
        <v>0</v>
      </c>
      <c r="BV484" s="311"/>
      <c r="BW484" s="312"/>
      <c r="BX484" s="313">
        <f t="shared" si="191"/>
        <v>0</v>
      </c>
    </row>
    <row r="485" spans="1:76">
      <c r="A485" s="337" t="s">
        <v>449</v>
      </c>
      <c r="B485" s="418" t="s">
        <v>769</v>
      </c>
      <c r="C485" s="337">
        <v>218654</v>
      </c>
      <c r="D485" s="339">
        <v>7</v>
      </c>
      <c r="E485" s="308">
        <v>6</v>
      </c>
      <c r="F485" s="309">
        <v>68666</v>
      </c>
      <c r="G485" s="310">
        <f t="shared" si="168"/>
        <v>411996</v>
      </c>
      <c r="H485" s="311">
        <v>4</v>
      </c>
      <c r="I485" s="312">
        <v>72462</v>
      </c>
      <c r="J485" s="313">
        <f t="shared" si="169"/>
        <v>289848</v>
      </c>
      <c r="K485" s="308">
        <v>11</v>
      </c>
      <c r="L485" s="309">
        <v>55716</v>
      </c>
      <c r="M485" s="310">
        <f t="shared" si="170"/>
        <v>612876</v>
      </c>
      <c r="N485" s="311">
        <v>11</v>
      </c>
      <c r="O485" s="312">
        <v>59246</v>
      </c>
      <c r="P485" s="313">
        <f t="shared" si="171"/>
        <v>651706</v>
      </c>
      <c r="Q485" s="308">
        <v>10</v>
      </c>
      <c r="R485" s="309">
        <v>49159</v>
      </c>
      <c r="S485" s="310">
        <f t="shared" si="172"/>
        <v>491590</v>
      </c>
      <c r="T485" s="311">
        <v>14</v>
      </c>
      <c r="U485" s="312">
        <v>51807</v>
      </c>
      <c r="V485" s="313">
        <f t="shared" si="173"/>
        <v>725298</v>
      </c>
      <c r="W485" s="308">
        <v>13</v>
      </c>
      <c r="X485" s="309">
        <v>42536</v>
      </c>
      <c r="Y485" s="310">
        <f t="shared" si="174"/>
        <v>552968</v>
      </c>
      <c r="Z485" s="311">
        <v>13</v>
      </c>
      <c r="AA485" s="312">
        <v>44201</v>
      </c>
      <c r="AB485" s="313">
        <f t="shared" si="175"/>
        <v>574613</v>
      </c>
      <c r="AC485" s="308">
        <v>0</v>
      </c>
      <c r="AD485" s="309"/>
      <c r="AE485" s="310">
        <f t="shared" si="176"/>
        <v>0</v>
      </c>
      <c r="AF485" s="311"/>
      <c r="AG485" s="312"/>
      <c r="AH485" s="313">
        <f t="shared" si="177"/>
        <v>0</v>
      </c>
      <c r="AI485" s="308"/>
      <c r="AJ485" s="309"/>
      <c r="AK485" s="310">
        <f t="shared" si="178"/>
        <v>0</v>
      </c>
      <c r="AL485" s="311"/>
      <c r="AM485" s="312"/>
      <c r="AN485" s="313">
        <f t="shared" si="179"/>
        <v>0</v>
      </c>
      <c r="AO485" s="308">
        <v>3</v>
      </c>
      <c r="AP485" s="309">
        <v>87658</v>
      </c>
      <c r="AQ485" s="310">
        <f t="shared" si="180"/>
        <v>215165.32680000001</v>
      </c>
      <c r="AR485" s="311">
        <v>5</v>
      </c>
      <c r="AS485" s="312">
        <v>82203</v>
      </c>
      <c r="AT485" s="313">
        <f t="shared" si="181"/>
        <v>336292.473</v>
      </c>
      <c r="AU485" s="308">
        <v>4</v>
      </c>
      <c r="AV485" s="309">
        <v>86923</v>
      </c>
      <c r="AW485" s="310">
        <f t="shared" si="182"/>
        <v>284481.5944</v>
      </c>
      <c r="AX485" s="311">
        <v>4</v>
      </c>
      <c r="AY485" s="312">
        <v>84650</v>
      </c>
      <c r="AZ485" s="313">
        <f t="shared" si="183"/>
        <v>277042.52</v>
      </c>
      <c r="BA485" s="308">
        <v>0</v>
      </c>
      <c r="BB485" s="309"/>
      <c r="BC485" s="310">
        <f t="shared" si="184"/>
        <v>0</v>
      </c>
      <c r="BD485" s="311"/>
      <c r="BE485" s="312"/>
      <c r="BF485" s="313">
        <f t="shared" si="185"/>
        <v>0</v>
      </c>
      <c r="BG485" s="308">
        <v>1</v>
      </c>
      <c r="BH485" s="309">
        <v>65000</v>
      </c>
      <c r="BI485" s="310">
        <f t="shared" si="186"/>
        <v>53183</v>
      </c>
      <c r="BJ485" s="311">
        <v>2</v>
      </c>
      <c r="BK485" s="312">
        <v>66772</v>
      </c>
      <c r="BL485" s="313">
        <f t="shared" si="187"/>
        <v>109265.70080000001</v>
      </c>
      <c r="BM485" s="308">
        <v>0</v>
      </c>
      <c r="BN485" s="309"/>
      <c r="BO485" s="310">
        <f t="shared" si="188"/>
        <v>0</v>
      </c>
      <c r="BP485" s="311"/>
      <c r="BQ485" s="312"/>
      <c r="BR485" s="313">
        <f t="shared" si="189"/>
        <v>0</v>
      </c>
      <c r="BS485" s="308"/>
      <c r="BT485" s="309"/>
      <c r="BU485" s="310">
        <f t="shared" si="190"/>
        <v>0</v>
      </c>
      <c r="BV485" s="311"/>
      <c r="BW485" s="312"/>
      <c r="BX485" s="313">
        <f t="shared" si="191"/>
        <v>0</v>
      </c>
    </row>
    <row r="486" spans="1:76">
      <c r="A486" s="337" t="s">
        <v>449</v>
      </c>
      <c r="B486" s="338" t="s">
        <v>770</v>
      </c>
      <c r="C486" s="337">
        <v>218113</v>
      </c>
      <c r="D486" s="339">
        <v>8</v>
      </c>
      <c r="E486" s="308"/>
      <c r="F486" s="309"/>
      <c r="G486" s="310">
        <f t="shared" si="168"/>
        <v>0</v>
      </c>
      <c r="H486" s="311"/>
      <c r="I486" s="312"/>
      <c r="J486" s="313">
        <f t="shared" si="169"/>
        <v>0</v>
      </c>
      <c r="K486" s="308"/>
      <c r="L486" s="309"/>
      <c r="M486" s="310">
        <f t="shared" si="170"/>
        <v>0</v>
      </c>
      <c r="N486" s="311"/>
      <c r="O486" s="312"/>
      <c r="P486" s="313">
        <f t="shared" si="171"/>
        <v>0</v>
      </c>
      <c r="Q486" s="308"/>
      <c r="R486" s="309"/>
      <c r="S486" s="310">
        <f t="shared" si="172"/>
        <v>0</v>
      </c>
      <c r="T486" s="311"/>
      <c r="U486" s="312"/>
      <c r="V486" s="313">
        <f t="shared" si="173"/>
        <v>0</v>
      </c>
      <c r="W486" s="308"/>
      <c r="X486" s="309"/>
      <c r="Y486" s="310">
        <f t="shared" si="174"/>
        <v>0</v>
      </c>
      <c r="Z486" s="311"/>
      <c r="AA486" s="312"/>
      <c r="AB486" s="313">
        <f t="shared" si="175"/>
        <v>0</v>
      </c>
      <c r="AC486" s="308">
        <v>331</v>
      </c>
      <c r="AD486" s="309">
        <v>44935</v>
      </c>
      <c r="AE486" s="310">
        <f t="shared" si="176"/>
        <v>14873485</v>
      </c>
      <c r="AF486" s="311">
        <v>335</v>
      </c>
      <c r="AG486" s="312">
        <v>45493</v>
      </c>
      <c r="AH486" s="313">
        <f t="shared" si="177"/>
        <v>15240155</v>
      </c>
      <c r="AI486" s="308"/>
      <c r="AJ486" s="309"/>
      <c r="AK486" s="310">
        <f t="shared" si="178"/>
        <v>0</v>
      </c>
      <c r="AL486" s="311"/>
      <c r="AM486" s="312"/>
      <c r="AN486" s="313">
        <f t="shared" si="179"/>
        <v>0</v>
      </c>
      <c r="AO486" s="308"/>
      <c r="AP486" s="309"/>
      <c r="AQ486" s="310">
        <f t="shared" si="180"/>
        <v>0</v>
      </c>
      <c r="AR486" s="311"/>
      <c r="AS486" s="312"/>
      <c r="AT486" s="313">
        <f t="shared" si="181"/>
        <v>0</v>
      </c>
      <c r="AU486" s="308"/>
      <c r="AV486" s="309"/>
      <c r="AW486" s="310">
        <f t="shared" si="182"/>
        <v>0</v>
      </c>
      <c r="AX486" s="311"/>
      <c r="AY486" s="312"/>
      <c r="AZ486" s="313">
        <f t="shared" si="183"/>
        <v>0</v>
      </c>
      <c r="BA486" s="308"/>
      <c r="BB486" s="309"/>
      <c r="BC486" s="310">
        <f t="shared" si="184"/>
        <v>0</v>
      </c>
      <c r="BD486" s="311"/>
      <c r="BE486" s="312"/>
      <c r="BF486" s="313">
        <f t="shared" si="185"/>
        <v>0</v>
      </c>
      <c r="BG486" s="308"/>
      <c r="BH486" s="309"/>
      <c r="BI486" s="310">
        <f t="shared" si="186"/>
        <v>0</v>
      </c>
      <c r="BJ486" s="311"/>
      <c r="BK486" s="312"/>
      <c r="BL486" s="313">
        <f t="shared" si="187"/>
        <v>0</v>
      </c>
      <c r="BM486" s="308"/>
      <c r="BN486" s="309"/>
      <c r="BO486" s="310">
        <f t="shared" si="188"/>
        <v>0</v>
      </c>
      <c r="BP486" s="311"/>
      <c r="BQ486" s="312"/>
      <c r="BR486" s="313">
        <f t="shared" si="189"/>
        <v>0</v>
      </c>
      <c r="BS486" s="308"/>
      <c r="BT486" s="309"/>
      <c r="BU486" s="310">
        <f t="shared" si="190"/>
        <v>0</v>
      </c>
      <c r="BV486" s="311"/>
      <c r="BW486" s="312"/>
      <c r="BX486" s="313">
        <f t="shared" si="191"/>
        <v>0</v>
      </c>
    </row>
    <row r="487" spans="1:76">
      <c r="A487" s="337" t="s">
        <v>449</v>
      </c>
      <c r="B487" s="338" t="s">
        <v>771</v>
      </c>
      <c r="C487" s="337">
        <v>218353</v>
      </c>
      <c r="D487" s="339">
        <v>8</v>
      </c>
      <c r="E487" s="308"/>
      <c r="F487" s="309"/>
      <c r="G487" s="310">
        <f t="shared" si="168"/>
        <v>0</v>
      </c>
      <c r="H487" s="311"/>
      <c r="I487" s="312"/>
      <c r="J487" s="313">
        <f t="shared" si="169"/>
        <v>0</v>
      </c>
      <c r="K487" s="308"/>
      <c r="L487" s="309"/>
      <c r="M487" s="310">
        <f t="shared" si="170"/>
        <v>0</v>
      </c>
      <c r="N487" s="311"/>
      <c r="O487" s="312"/>
      <c r="P487" s="313">
        <f t="shared" si="171"/>
        <v>0</v>
      </c>
      <c r="Q487" s="308"/>
      <c r="R487" s="309"/>
      <c r="S487" s="310">
        <f t="shared" si="172"/>
        <v>0</v>
      </c>
      <c r="T487" s="311"/>
      <c r="U487" s="312"/>
      <c r="V487" s="313">
        <f t="shared" si="173"/>
        <v>0</v>
      </c>
      <c r="W487" s="308"/>
      <c r="X487" s="309"/>
      <c r="Y487" s="310">
        <f t="shared" si="174"/>
        <v>0</v>
      </c>
      <c r="Z487" s="311"/>
      <c r="AA487" s="312"/>
      <c r="AB487" s="313">
        <f t="shared" si="175"/>
        <v>0</v>
      </c>
      <c r="AC487" s="308">
        <v>225</v>
      </c>
      <c r="AD487" s="309">
        <v>48816</v>
      </c>
      <c r="AE487" s="310">
        <f t="shared" si="176"/>
        <v>10983600</v>
      </c>
      <c r="AF487" s="311">
        <v>220</v>
      </c>
      <c r="AG487" s="312">
        <v>49362</v>
      </c>
      <c r="AH487" s="313">
        <f t="shared" si="177"/>
        <v>10859640</v>
      </c>
      <c r="AI487" s="308"/>
      <c r="AJ487" s="309"/>
      <c r="AK487" s="310">
        <f t="shared" si="178"/>
        <v>0</v>
      </c>
      <c r="AL487" s="311"/>
      <c r="AM487" s="312"/>
      <c r="AN487" s="313">
        <f t="shared" si="179"/>
        <v>0</v>
      </c>
      <c r="AO487" s="308"/>
      <c r="AP487" s="309"/>
      <c r="AQ487" s="310">
        <f t="shared" si="180"/>
        <v>0</v>
      </c>
      <c r="AR487" s="311"/>
      <c r="AS487" s="312"/>
      <c r="AT487" s="313">
        <f t="shared" si="181"/>
        <v>0</v>
      </c>
      <c r="AU487" s="308"/>
      <c r="AV487" s="309"/>
      <c r="AW487" s="310">
        <f t="shared" si="182"/>
        <v>0</v>
      </c>
      <c r="AX487" s="311"/>
      <c r="AY487" s="312"/>
      <c r="AZ487" s="313">
        <f t="shared" si="183"/>
        <v>0</v>
      </c>
      <c r="BA487" s="308"/>
      <c r="BB487" s="309"/>
      <c r="BC487" s="310">
        <f t="shared" si="184"/>
        <v>0</v>
      </c>
      <c r="BD487" s="311"/>
      <c r="BE487" s="312"/>
      <c r="BF487" s="313">
        <f t="shared" si="185"/>
        <v>0</v>
      </c>
      <c r="BG487" s="308"/>
      <c r="BH487" s="309"/>
      <c r="BI487" s="310">
        <f t="shared" si="186"/>
        <v>0</v>
      </c>
      <c r="BJ487" s="311"/>
      <c r="BK487" s="312"/>
      <c r="BL487" s="313">
        <f t="shared" si="187"/>
        <v>0</v>
      </c>
      <c r="BM487" s="308"/>
      <c r="BN487" s="309"/>
      <c r="BO487" s="310">
        <f t="shared" si="188"/>
        <v>0</v>
      </c>
      <c r="BP487" s="311"/>
      <c r="BQ487" s="312"/>
      <c r="BR487" s="313">
        <f t="shared" si="189"/>
        <v>0</v>
      </c>
      <c r="BS487" s="308"/>
      <c r="BT487" s="309"/>
      <c r="BU487" s="310">
        <f t="shared" si="190"/>
        <v>0</v>
      </c>
      <c r="BV487" s="311"/>
      <c r="BW487" s="312"/>
      <c r="BX487" s="313">
        <f t="shared" si="191"/>
        <v>0</v>
      </c>
    </row>
    <row r="488" spans="1:76">
      <c r="A488" s="337" t="s">
        <v>449</v>
      </c>
      <c r="B488" s="338" t="s">
        <v>772</v>
      </c>
      <c r="C488" s="337">
        <v>218894</v>
      </c>
      <c r="D488" s="339">
        <v>8</v>
      </c>
      <c r="E488" s="308"/>
      <c r="F488" s="309"/>
      <c r="G488" s="310">
        <f t="shared" si="168"/>
        <v>0</v>
      </c>
      <c r="H488" s="311"/>
      <c r="I488" s="312"/>
      <c r="J488" s="313">
        <f t="shared" si="169"/>
        <v>0</v>
      </c>
      <c r="K488" s="308"/>
      <c r="L488" s="309"/>
      <c r="M488" s="310">
        <f t="shared" si="170"/>
        <v>0</v>
      </c>
      <c r="N488" s="311"/>
      <c r="O488" s="312"/>
      <c r="P488" s="313">
        <f t="shared" si="171"/>
        <v>0</v>
      </c>
      <c r="Q488" s="308"/>
      <c r="R488" s="309"/>
      <c r="S488" s="310">
        <f t="shared" si="172"/>
        <v>0</v>
      </c>
      <c r="T488" s="311"/>
      <c r="U488" s="312"/>
      <c r="V488" s="313">
        <f t="shared" si="173"/>
        <v>0</v>
      </c>
      <c r="W488" s="308"/>
      <c r="X488" s="309"/>
      <c r="Y488" s="310">
        <f t="shared" si="174"/>
        <v>0</v>
      </c>
      <c r="Z488" s="311"/>
      <c r="AA488" s="312"/>
      <c r="AB488" s="313">
        <f t="shared" si="175"/>
        <v>0</v>
      </c>
      <c r="AC488" s="308">
        <v>288</v>
      </c>
      <c r="AD488" s="309">
        <v>47018</v>
      </c>
      <c r="AE488" s="310">
        <f t="shared" si="176"/>
        <v>13541184</v>
      </c>
      <c r="AF488" s="311">
        <v>296</v>
      </c>
      <c r="AG488" s="312">
        <v>47413</v>
      </c>
      <c r="AH488" s="313">
        <f t="shared" si="177"/>
        <v>14034248</v>
      </c>
      <c r="AI488" s="308"/>
      <c r="AJ488" s="309"/>
      <c r="AK488" s="310">
        <f t="shared" si="178"/>
        <v>0</v>
      </c>
      <c r="AL488" s="311"/>
      <c r="AM488" s="312"/>
      <c r="AN488" s="313">
        <f t="shared" si="179"/>
        <v>0</v>
      </c>
      <c r="AO488" s="308"/>
      <c r="AP488" s="309"/>
      <c r="AQ488" s="310">
        <f t="shared" si="180"/>
        <v>0</v>
      </c>
      <c r="AR488" s="311"/>
      <c r="AS488" s="312"/>
      <c r="AT488" s="313">
        <f t="shared" si="181"/>
        <v>0</v>
      </c>
      <c r="AU488" s="308"/>
      <c r="AV488" s="309"/>
      <c r="AW488" s="310">
        <f t="shared" si="182"/>
        <v>0</v>
      </c>
      <c r="AX488" s="311"/>
      <c r="AY488" s="312"/>
      <c r="AZ488" s="313">
        <f t="shared" si="183"/>
        <v>0</v>
      </c>
      <c r="BA488" s="308"/>
      <c r="BB488" s="309"/>
      <c r="BC488" s="310">
        <f t="shared" si="184"/>
        <v>0</v>
      </c>
      <c r="BD488" s="311"/>
      <c r="BE488" s="312"/>
      <c r="BF488" s="313">
        <f t="shared" si="185"/>
        <v>0</v>
      </c>
      <c r="BG488" s="308"/>
      <c r="BH488" s="309"/>
      <c r="BI488" s="310">
        <f t="shared" si="186"/>
        <v>0</v>
      </c>
      <c r="BJ488" s="311"/>
      <c r="BK488" s="312"/>
      <c r="BL488" s="313">
        <f t="shared" si="187"/>
        <v>0</v>
      </c>
      <c r="BM488" s="308"/>
      <c r="BN488" s="309"/>
      <c r="BO488" s="310">
        <f t="shared" si="188"/>
        <v>0</v>
      </c>
      <c r="BP488" s="311"/>
      <c r="BQ488" s="312"/>
      <c r="BR488" s="313">
        <f t="shared" si="189"/>
        <v>0</v>
      </c>
      <c r="BS488" s="308"/>
      <c r="BT488" s="309"/>
      <c r="BU488" s="310">
        <f t="shared" si="190"/>
        <v>0</v>
      </c>
      <c r="BV488" s="311"/>
      <c r="BW488" s="312"/>
      <c r="BX488" s="313">
        <f t="shared" si="191"/>
        <v>0</v>
      </c>
    </row>
    <row r="489" spans="1:76">
      <c r="A489" s="337" t="s">
        <v>449</v>
      </c>
      <c r="B489" s="338" t="s">
        <v>773</v>
      </c>
      <c r="C489" s="337">
        <v>217615</v>
      </c>
      <c r="D489" s="339">
        <v>9</v>
      </c>
      <c r="E489" s="308"/>
      <c r="F489" s="309"/>
      <c r="G489" s="310">
        <f t="shared" si="168"/>
        <v>0</v>
      </c>
      <c r="H489" s="311"/>
      <c r="I489" s="312"/>
      <c r="J489" s="313">
        <f t="shared" si="169"/>
        <v>0</v>
      </c>
      <c r="K489" s="308"/>
      <c r="L489" s="309"/>
      <c r="M489" s="310">
        <f t="shared" si="170"/>
        <v>0</v>
      </c>
      <c r="N489" s="311"/>
      <c r="O489" s="312"/>
      <c r="P489" s="313">
        <f t="shared" si="171"/>
        <v>0</v>
      </c>
      <c r="Q489" s="308"/>
      <c r="R489" s="309"/>
      <c r="S489" s="310">
        <f t="shared" si="172"/>
        <v>0</v>
      </c>
      <c r="T489" s="311"/>
      <c r="U489" s="312"/>
      <c r="V489" s="313">
        <f t="shared" si="173"/>
        <v>0</v>
      </c>
      <c r="W489" s="308"/>
      <c r="X489" s="309"/>
      <c r="Y489" s="310">
        <f t="shared" si="174"/>
        <v>0</v>
      </c>
      <c r="Z489" s="311"/>
      <c r="AA489" s="312"/>
      <c r="AB489" s="313">
        <f t="shared" si="175"/>
        <v>0</v>
      </c>
      <c r="AC489" s="308">
        <v>57</v>
      </c>
      <c r="AD489" s="309">
        <v>47885</v>
      </c>
      <c r="AE489" s="310">
        <f t="shared" si="176"/>
        <v>2729445</v>
      </c>
      <c r="AF489" s="311">
        <v>61</v>
      </c>
      <c r="AG489" s="312">
        <v>48905</v>
      </c>
      <c r="AH489" s="313">
        <f t="shared" si="177"/>
        <v>2983205</v>
      </c>
      <c r="AI489" s="308"/>
      <c r="AJ489" s="309"/>
      <c r="AK489" s="310">
        <f t="shared" si="178"/>
        <v>0</v>
      </c>
      <c r="AL489" s="311"/>
      <c r="AM489" s="312"/>
      <c r="AN489" s="313">
        <f t="shared" si="179"/>
        <v>0</v>
      </c>
      <c r="AO489" s="308"/>
      <c r="AP489" s="309"/>
      <c r="AQ489" s="310">
        <f t="shared" si="180"/>
        <v>0</v>
      </c>
      <c r="AR489" s="311"/>
      <c r="AS489" s="312"/>
      <c r="AT489" s="313">
        <f t="shared" si="181"/>
        <v>0</v>
      </c>
      <c r="AU489" s="308"/>
      <c r="AV489" s="309"/>
      <c r="AW489" s="310">
        <f t="shared" si="182"/>
        <v>0</v>
      </c>
      <c r="AX489" s="311"/>
      <c r="AY489" s="312"/>
      <c r="AZ489" s="313">
        <f t="shared" si="183"/>
        <v>0</v>
      </c>
      <c r="BA489" s="308"/>
      <c r="BB489" s="309"/>
      <c r="BC489" s="310">
        <f t="shared" si="184"/>
        <v>0</v>
      </c>
      <c r="BD489" s="311"/>
      <c r="BE489" s="312"/>
      <c r="BF489" s="313">
        <f t="shared" si="185"/>
        <v>0</v>
      </c>
      <c r="BG489" s="308"/>
      <c r="BH489" s="309"/>
      <c r="BI489" s="310">
        <f t="shared" si="186"/>
        <v>0</v>
      </c>
      <c r="BJ489" s="311"/>
      <c r="BK489" s="312"/>
      <c r="BL489" s="313">
        <f t="shared" si="187"/>
        <v>0</v>
      </c>
      <c r="BM489" s="308"/>
      <c r="BN489" s="309"/>
      <c r="BO489" s="310">
        <f t="shared" si="188"/>
        <v>0</v>
      </c>
      <c r="BP489" s="311"/>
      <c r="BQ489" s="312"/>
      <c r="BR489" s="313">
        <f t="shared" si="189"/>
        <v>0</v>
      </c>
      <c r="BS489" s="308"/>
      <c r="BT489" s="309"/>
      <c r="BU489" s="310">
        <f t="shared" si="190"/>
        <v>0</v>
      </c>
      <c r="BV489" s="311"/>
      <c r="BW489" s="312"/>
      <c r="BX489" s="313">
        <f t="shared" si="191"/>
        <v>0</v>
      </c>
    </row>
    <row r="490" spans="1:76">
      <c r="A490" s="337" t="s">
        <v>449</v>
      </c>
      <c r="B490" s="338" t="s">
        <v>774</v>
      </c>
      <c r="C490" s="337">
        <v>218858</v>
      </c>
      <c r="D490" s="339">
        <v>9</v>
      </c>
      <c r="E490" s="308"/>
      <c r="F490" s="309"/>
      <c r="G490" s="310">
        <f t="shared" si="168"/>
        <v>0</v>
      </c>
      <c r="H490" s="311"/>
      <c r="I490" s="312"/>
      <c r="J490" s="313">
        <f t="shared" si="169"/>
        <v>0</v>
      </c>
      <c r="K490" s="308"/>
      <c r="L490" s="309"/>
      <c r="M490" s="310">
        <f t="shared" si="170"/>
        <v>0</v>
      </c>
      <c r="N490" s="311"/>
      <c r="O490" s="312"/>
      <c r="P490" s="313">
        <f t="shared" si="171"/>
        <v>0</v>
      </c>
      <c r="Q490" s="308"/>
      <c r="R490" s="309"/>
      <c r="S490" s="310">
        <f t="shared" si="172"/>
        <v>0</v>
      </c>
      <c r="T490" s="311"/>
      <c r="U490" s="312"/>
      <c r="V490" s="313">
        <f t="shared" si="173"/>
        <v>0</v>
      </c>
      <c r="W490" s="308"/>
      <c r="X490" s="309"/>
      <c r="Y490" s="310">
        <f t="shared" si="174"/>
        <v>0</v>
      </c>
      <c r="Z490" s="311"/>
      <c r="AA490" s="312"/>
      <c r="AB490" s="313">
        <f t="shared" si="175"/>
        <v>0</v>
      </c>
      <c r="AC490" s="308">
        <v>81</v>
      </c>
      <c r="AD490" s="309">
        <v>43837</v>
      </c>
      <c r="AE490" s="310">
        <f t="shared" si="176"/>
        <v>3550797</v>
      </c>
      <c r="AF490" s="311">
        <v>84</v>
      </c>
      <c r="AG490" s="312">
        <v>44455</v>
      </c>
      <c r="AH490" s="313">
        <f t="shared" si="177"/>
        <v>3734220</v>
      </c>
      <c r="AI490" s="308"/>
      <c r="AJ490" s="309"/>
      <c r="AK490" s="310">
        <f t="shared" si="178"/>
        <v>0</v>
      </c>
      <c r="AL490" s="311"/>
      <c r="AM490" s="312"/>
      <c r="AN490" s="313">
        <f t="shared" si="179"/>
        <v>0</v>
      </c>
      <c r="AO490" s="308"/>
      <c r="AP490" s="309"/>
      <c r="AQ490" s="310">
        <f t="shared" si="180"/>
        <v>0</v>
      </c>
      <c r="AR490" s="311"/>
      <c r="AS490" s="312"/>
      <c r="AT490" s="313">
        <f t="shared" si="181"/>
        <v>0</v>
      </c>
      <c r="AU490" s="308"/>
      <c r="AV490" s="309"/>
      <c r="AW490" s="310">
        <f t="shared" si="182"/>
        <v>0</v>
      </c>
      <c r="AX490" s="311"/>
      <c r="AY490" s="312"/>
      <c r="AZ490" s="313">
        <f t="shared" si="183"/>
        <v>0</v>
      </c>
      <c r="BA490" s="308"/>
      <c r="BB490" s="309"/>
      <c r="BC490" s="310">
        <f t="shared" si="184"/>
        <v>0</v>
      </c>
      <c r="BD490" s="311"/>
      <c r="BE490" s="312"/>
      <c r="BF490" s="313">
        <f t="shared" si="185"/>
        <v>0</v>
      </c>
      <c r="BG490" s="308"/>
      <c r="BH490" s="309"/>
      <c r="BI490" s="310">
        <f t="shared" si="186"/>
        <v>0</v>
      </c>
      <c r="BJ490" s="311"/>
      <c r="BK490" s="312"/>
      <c r="BL490" s="313">
        <f t="shared" si="187"/>
        <v>0</v>
      </c>
      <c r="BM490" s="308"/>
      <c r="BN490" s="309"/>
      <c r="BO490" s="310">
        <f t="shared" si="188"/>
        <v>0</v>
      </c>
      <c r="BP490" s="311"/>
      <c r="BQ490" s="312"/>
      <c r="BR490" s="313">
        <f t="shared" si="189"/>
        <v>0</v>
      </c>
      <c r="BS490" s="308"/>
      <c r="BT490" s="309"/>
      <c r="BU490" s="310">
        <f t="shared" si="190"/>
        <v>0</v>
      </c>
      <c r="BV490" s="311"/>
      <c r="BW490" s="312"/>
      <c r="BX490" s="313">
        <f t="shared" si="191"/>
        <v>0</v>
      </c>
    </row>
    <row r="491" spans="1:76">
      <c r="A491" s="337" t="s">
        <v>449</v>
      </c>
      <c r="B491" s="338" t="s">
        <v>775</v>
      </c>
      <c r="C491" s="337">
        <v>218025</v>
      </c>
      <c r="D491" s="339">
        <v>9</v>
      </c>
      <c r="E491" s="308"/>
      <c r="F491" s="309"/>
      <c r="G491" s="310">
        <f t="shared" si="168"/>
        <v>0</v>
      </c>
      <c r="H491" s="311"/>
      <c r="I491" s="312"/>
      <c r="J491" s="313">
        <f t="shared" si="169"/>
        <v>0</v>
      </c>
      <c r="K491" s="308"/>
      <c r="L491" s="309"/>
      <c r="M491" s="310">
        <f t="shared" si="170"/>
        <v>0</v>
      </c>
      <c r="N491" s="311"/>
      <c r="O491" s="312"/>
      <c r="P491" s="313">
        <f t="shared" si="171"/>
        <v>0</v>
      </c>
      <c r="Q491" s="308"/>
      <c r="R491" s="309"/>
      <c r="S491" s="310">
        <f t="shared" si="172"/>
        <v>0</v>
      </c>
      <c r="T491" s="311"/>
      <c r="U491" s="312"/>
      <c r="V491" s="313">
        <f t="shared" si="173"/>
        <v>0</v>
      </c>
      <c r="W491" s="308"/>
      <c r="X491" s="309"/>
      <c r="Y491" s="310">
        <f t="shared" si="174"/>
        <v>0</v>
      </c>
      <c r="Z491" s="311"/>
      <c r="AA491" s="312"/>
      <c r="AB491" s="313">
        <f t="shared" si="175"/>
        <v>0</v>
      </c>
      <c r="AC491" s="308">
        <v>100</v>
      </c>
      <c r="AD491" s="309">
        <v>49201</v>
      </c>
      <c r="AE491" s="310">
        <f t="shared" si="176"/>
        <v>4920100</v>
      </c>
      <c r="AF491" s="311">
        <v>103</v>
      </c>
      <c r="AG491" s="312">
        <v>49540</v>
      </c>
      <c r="AH491" s="313">
        <f t="shared" si="177"/>
        <v>5102620</v>
      </c>
      <c r="AI491" s="308"/>
      <c r="AJ491" s="309"/>
      <c r="AK491" s="310">
        <f t="shared" si="178"/>
        <v>0</v>
      </c>
      <c r="AL491" s="311"/>
      <c r="AM491" s="312"/>
      <c r="AN491" s="313">
        <f t="shared" si="179"/>
        <v>0</v>
      </c>
      <c r="AO491" s="308"/>
      <c r="AP491" s="309"/>
      <c r="AQ491" s="310">
        <f t="shared" si="180"/>
        <v>0</v>
      </c>
      <c r="AR491" s="311"/>
      <c r="AS491" s="312"/>
      <c r="AT491" s="313">
        <f t="shared" si="181"/>
        <v>0</v>
      </c>
      <c r="AU491" s="308"/>
      <c r="AV491" s="309"/>
      <c r="AW491" s="310">
        <f t="shared" si="182"/>
        <v>0</v>
      </c>
      <c r="AX491" s="311"/>
      <c r="AY491" s="312"/>
      <c r="AZ491" s="313">
        <f t="shared" si="183"/>
        <v>0</v>
      </c>
      <c r="BA491" s="308"/>
      <c r="BB491" s="309"/>
      <c r="BC491" s="310">
        <f t="shared" si="184"/>
        <v>0</v>
      </c>
      <c r="BD491" s="311"/>
      <c r="BE491" s="312"/>
      <c r="BF491" s="313">
        <f t="shared" si="185"/>
        <v>0</v>
      </c>
      <c r="BG491" s="308"/>
      <c r="BH491" s="309"/>
      <c r="BI491" s="310">
        <f t="shared" si="186"/>
        <v>0</v>
      </c>
      <c r="BJ491" s="311"/>
      <c r="BK491" s="312"/>
      <c r="BL491" s="313">
        <f t="shared" si="187"/>
        <v>0</v>
      </c>
      <c r="BM491" s="308"/>
      <c r="BN491" s="309"/>
      <c r="BO491" s="310">
        <f t="shared" si="188"/>
        <v>0</v>
      </c>
      <c r="BP491" s="311"/>
      <c r="BQ491" s="312"/>
      <c r="BR491" s="313">
        <f t="shared" si="189"/>
        <v>0</v>
      </c>
      <c r="BS491" s="308"/>
      <c r="BT491" s="309"/>
      <c r="BU491" s="310">
        <f t="shared" si="190"/>
        <v>0</v>
      </c>
      <c r="BV491" s="311"/>
      <c r="BW491" s="312"/>
      <c r="BX491" s="313">
        <f t="shared" si="191"/>
        <v>0</v>
      </c>
    </row>
    <row r="492" spans="1:76">
      <c r="A492" s="337" t="s">
        <v>449</v>
      </c>
      <c r="B492" s="338" t="s">
        <v>776</v>
      </c>
      <c r="C492" s="337">
        <v>218140</v>
      </c>
      <c r="D492" s="339">
        <v>9</v>
      </c>
      <c r="E492" s="308"/>
      <c r="F492" s="309"/>
      <c r="G492" s="310">
        <f t="shared" si="168"/>
        <v>0</v>
      </c>
      <c r="H492" s="311"/>
      <c r="I492" s="312"/>
      <c r="J492" s="313">
        <f t="shared" si="169"/>
        <v>0</v>
      </c>
      <c r="K492" s="308"/>
      <c r="L492" s="309"/>
      <c r="M492" s="310">
        <f t="shared" si="170"/>
        <v>0</v>
      </c>
      <c r="N492" s="311"/>
      <c r="O492" s="312"/>
      <c r="P492" s="313">
        <f t="shared" si="171"/>
        <v>0</v>
      </c>
      <c r="Q492" s="308"/>
      <c r="R492" s="309"/>
      <c r="S492" s="310">
        <f t="shared" si="172"/>
        <v>0</v>
      </c>
      <c r="T492" s="311"/>
      <c r="U492" s="312"/>
      <c r="V492" s="313">
        <f t="shared" si="173"/>
        <v>0</v>
      </c>
      <c r="W492" s="308"/>
      <c r="X492" s="309"/>
      <c r="Y492" s="310">
        <f t="shared" si="174"/>
        <v>0</v>
      </c>
      <c r="Z492" s="311"/>
      <c r="AA492" s="312"/>
      <c r="AB492" s="313">
        <f t="shared" si="175"/>
        <v>0</v>
      </c>
      <c r="AC492" s="308">
        <v>134</v>
      </c>
      <c r="AD492" s="309">
        <v>48974</v>
      </c>
      <c r="AE492" s="310">
        <f t="shared" si="176"/>
        <v>6562516</v>
      </c>
      <c r="AF492" s="311">
        <v>138</v>
      </c>
      <c r="AG492" s="312">
        <v>49291</v>
      </c>
      <c r="AH492" s="313">
        <f t="shared" si="177"/>
        <v>6802158</v>
      </c>
      <c r="AI492" s="308"/>
      <c r="AJ492" s="309"/>
      <c r="AK492" s="310">
        <f t="shared" si="178"/>
        <v>0</v>
      </c>
      <c r="AL492" s="311"/>
      <c r="AM492" s="312"/>
      <c r="AN492" s="313">
        <f t="shared" si="179"/>
        <v>0</v>
      </c>
      <c r="AO492" s="308"/>
      <c r="AP492" s="309"/>
      <c r="AQ492" s="310">
        <f t="shared" si="180"/>
        <v>0</v>
      </c>
      <c r="AR492" s="311"/>
      <c r="AS492" s="312"/>
      <c r="AT492" s="313">
        <f t="shared" si="181"/>
        <v>0</v>
      </c>
      <c r="AU492" s="308"/>
      <c r="AV492" s="309"/>
      <c r="AW492" s="310">
        <f t="shared" si="182"/>
        <v>0</v>
      </c>
      <c r="AX492" s="311"/>
      <c r="AY492" s="312"/>
      <c r="AZ492" s="313">
        <f t="shared" si="183"/>
        <v>0</v>
      </c>
      <c r="BA492" s="308"/>
      <c r="BB492" s="309"/>
      <c r="BC492" s="310">
        <f t="shared" si="184"/>
        <v>0</v>
      </c>
      <c r="BD492" s="311"/>
      <c r="BE492" s="312"/>
      <c r="BF492" s="313">
        <f t="shared" si="185"/>
        <v>0</v>
      </c>
      <c r="BG492" s="308"/>
      <c r="BH492" s="309"/>
      <c r="BI492" s="310">
        <f t="shared" si="186"/>
        <v>0</v>
      </c>
      <c r="BJ492" s="311"/>
      <c r="BK492" s="312"/>
      <c r="BL492" s="313">
        <f t="shared" si="187"/>
        <v>0</v>
      </c>
      <c r="BM492" s="308"/>
      <c r="BN492" s="309"/>
      <c r="BO492" s="310">
        <f t="shared" si="188"/>
        <v>0</v>
      </c>
      <c r="BP492" s="311"/>
      <c r="BQ492" s="312"/>
      <c r="BR492" s="313">
        <f t="shared" si="189"/>
        <v>0</v>
      </c>
      <c r="BS492" s="308"/>
      <c r="BT492" s="309"/>
      <c r="BU492" s="310">
        <f t="shared" si="190"/>
        <v>0</v>
      </c>
      <c r="BV492" s="311"/>
      <c r="BW492" s="312"/>
      <c r="BX492" s="313">
        <f t="shared" si="191"/>
        <v>0</v>
      </c>
    </row>
    <row r="493" spans="1:76">
      <c r="A493" s="337" t="s">
        <v>449</v>
      </c>
      <c r="B493" s="338" t="s">
        <v>777</v>
      </c>
      <c r="C493" s="337">
        <v>218487</v>
      </c>
      <c r="D493" s="339">
        <v>9</v>
      </c>
      <c r="E493" s="308"/>
      <c r="F493" s="309"/>
      <c r="G493" s="310">
        <f t="shared" si="168"/>
        <v>0</v>
      </c>
      <c r="H493" s="311"/>
      <c r="I493" s="312"/>
      <c r="J493" s="313">
        <f t="shared" si="169"/>
        <v>0</v>
      </c>
      <c r="K493" s="308"/>
      <c r="L493" s="309"/>
      <c r="M493" s="310">
        <f t="shared" si="170"/>
        <v>0</v>
      </c>
      <c r="N493" s="311"/>
      <c r="O493" s="312"/>
      <c r="P493" s="313">
        <f t="shared" si="171"/>
        <v>0</v>
      </c>
      <c r="Q493" s="308"/>
      <c r="R493" s="309"/>
      <c r="S493" s="310">
        <f t="shared" si="172"/>
        <v>0</v>
      </c>
      <c r="T493" s="311"/>
      <c r="U493" s="312"/>
      <c r="V493" s="313">
        <f t="shared" si="173"/>
        <v>0</v>
      </c>
      <c r="W493" s="308"/>
      <c r="X493" s="309"/>
      <c r="Y493" s="310">
        <f t="shared" si="174"/>
        <v>0</v>
      </c>
      <c r="Z493" s="311"/>
      <c r="AA493" s="312"/>
      <c r="AB493" s="313">
        <f t="shared" si="175"/>
        <v>0</v>
      </c>
      <c r="AC493" s="308">
        <v>84</v>
      </c>
      <c r="AD493" s="309">
        <v>43585</v>
      </c>
      <c r="AE493" s="310">
        <f t="shared" si="176"/>
        <v>3661140</v>
      </c>
      <c r="AF493" s="311">
        <v>82</v>
      </c>
      <c r="AG493" s="312">
        <v>43705</v>
      </c>
      <c r="AH493" s="313">
        <f t="shared" si="177"/>
        <v>3583810</v>
      </c>
      <c r="AI493" s="308"/>
      <c r="AJ493" s="309"/>
      <c r="AK493" s="310">
        <f t="shared" si="178"/>
        <v>0</v>
      </c>
      <c r="AL493" s="311"/>
      <c r="AM493" s="312"/>
      <c r="AN493" s="313">
        <f t="shared" si="179"/>
        <v>0</v>
      </c>
      <c r="AO493" s="308"/>
      <c r="AP493" s="309"/>
      <c r="AQ493" s="310">
        <f t="shared" si="180"/>
        <v>0</v>
      </c>
      <c r="AR493" s="311"/>
      <c r="AS493" s="312"/>
      <c r="AT493" s="313">
        <f t="shared" si="181"/>
        <v>0</v>
      </c>
      <c r="AU493" s="308"/>
      <c r="AV493" s="309"/>
      <c r="AW493" s="310">
        <f t="shared" si="182"/>
        <v>0</v>
      </c>
      <c r="AX493" s="311"/>
      <c r="AY493" s="312"/>
      <c r="AZ493" s="313">
        <f t="shared" si="183"/>
        <v>0</v>
      </c>
      <c r="BA493" s="308"/>
      <c r="BB493" s="309"/>
      <c r="BC493" s="310">
        <f t="shared" si="184"/>
        <v>0</v>
      </c>
      <c r="BD493" s="311"/>
      <c r="BE493" s="312"/>
      <c r="BF493" s="313">
        <f t="shared" si="185"/>
        <v>0</v>
      </c>
      <c r="BG493" s="308"/>
      <c r="BH493" s="309"/>
      <c r="BI493" s="310">
        <f t="shared" si="186"/>
        <v>0</v>
      </c>
      <c r="BJ493" s="311"/>
      <c r="BK493" s="312"/>
      <c r="BL493" s="313">
        <f t="shared" si="187"/>
        <v>0</v>
      </c>
      <c r="BM493" s="308"/>
      <c r="BN493" s="309"/>
      <c r="BO493" s="310">
        <f t="shared" si="188"/>
        <v>0</v>
      </c>
      <c r="BP493" s="311"/>
      <c r="BQ493" s="312"/>
      <c r="BR493" s="313">
        <f t="shared" si="189"/>
        <v>0</v>
      </c>
      <c r="BS493" s="308"/>
      <c r="BT493" s="309"/>
      <c r="BU493" s="310">
        <f t="shared" si="190"/>
        <v>0</v>
      </c>
      <c r="BV493" s="311"/>
      <c r="BW493" s="312"/>
      <c r="BX493" s="313">
        <f t="shared" si="191"/>
        <v>0</v>
      </c>
    </row>
    <row r="494" spans="1:76">
      <c r="A494" s="337" t="s">
        <v>449</v>
      </c>
      <c r="B494" s="338" t="s">
        <v>778</v>
      </c>
      <c r="C494" s="337">
        <v>218520</v>
      </c>
      <c r="D494" s="339">
        <v>9</v>
      </c>
      <c r="E494" s="308"/>
      <c r="F494" s="309"/>
      <c r="G494" s="310">
        <f t="shared" si="168"/>
        <v>0</v>
      </c>
      <c r="H494" s="311"/>
      <c r="I494" s="312"/>
      <c r="J494" s="313">
        <f t="shared" si="169"/>
        <v>0</v>
      </c>
      <c r="K494" s="308"/>
      <c r="L494" s="309"/>
      <c r="M494" s="310">
        <f t="shared" si="170"/>
        <v>0</v>
      </c>
      <c r="N494" s="311"/>
      <c r="O494" s="312"/>
      <c r="P494" s="313">
        <f t="shared" si="171"/>
        <v>0</v>
      </c>
      <c r="Q494" s="308"/>
      <c r="R494" s="309"/>
      <c r="S494" s="310">
        <f t="shared" si="172"/>
        <v>0</v>
      </c>
      <c r="T494" s="311"/>
      <c r="U494" s="312"/>
      <c r="V494" s="313">
        <f t="shared" si="173"/>
        <v>0</v>
      </c>
      <c r="W494" s="308"/>
      <c r="X494" s="309"/>
      <c r="Y494" s="310">
        <f t="shared" si="174"/>
        <v>0</v>
      </c>
      <c r="Z494" s="311"/>
      <c r="AA494" s="312"/>
      <c r="AB494" s="313">
        <f t="shared" si="175"/>
        <v>0</v>
      </c>
      <c r="AC494" s="308">
        <v>115</v>
      </c>
      <c r="AD494" s="309">
        <v>43122</v>
      </c>
      <c r="AE494" s="310">
        <f t="shared" si="176"/>
        <v>4959030</v>
      </c>
      <c r="AF494" s="311">
        <v>118</v>
      </c>
      <c r="AG494" s="312">
        <v>42799</v>
      </c>
      <c r="AH494" s="313">
        <f t="shared" si="177"/>
        <v>5050282</v>
      </c>
      <c r="AI494" s="308"/>
      <c r="AJ494" s="309"/>
      <c r="AK494" s="310">
        <f t="shared" si="178"/>
        <v>0</v>
      </c>
      <c r="AL494" s="311"/>
      <c r="AM494" s="312"/>
      <c r="AN494" s="313">
        <f t="shared" si="179"/>
        <v>0</v>
      </c>
      <c r="AO494" s="308"/>
      <c r="AP494" s="309"/>
      <c r="AQ494" s="310">
        <f t="shared" si="180"/>
        <v>0</v>
      </c>
      <c r="AR494" s="311"/>
      <c r="AS494" s="312"/>
      <c r="AT494" s="313">
        <f t="shared" si="181"/>
        <v>0</v>
      </c>
      <c r="AU494" s="308"/>
      <c r="AV494" s="309"/>
      <c r="AW494" s="310">
        <f t="shared" si="182"/>
        <v>0</v>
      </c>
      <c r="AX494" s="311"/>
      <c r="AY494" s="312"/>
      <c r="AZ494" s="313">
        <f t="shared" si="183"/>
        <v>0</v>
      </c>
      <c r="BA494" s="308"/>
      <c r="BB494" s="309"/>
      <c r="BC494" s="310">
        <f t="shared" si="184"/>
        <v>0</v>
      </c>
      <c r="BD494" s="311"/>
      <c r="BE494" s="312"/>
      <c r="BF494" s="313">
        <f t="shared" si="185"/>
        <v>0</v>
      </c>
      <c r="BG494" s="308"/>
      <c r="BH494" s="309"/>
      <c r="BI494" s="310">
        <f t="shared" si="186"/>
        <v>0</v>
      </c>
      <c r="BJ494" s="311"/>
      <c r="BK494" s="312"/>
      <c r="BL494" s="313">
        <f t="shared" si="187"/>
        <v>0</v>
      </c>
      <c r="BM494" s="308"/>
      <c r="BN494" s="309"/>
      <c r="BO494" s="310">
        <f t="shared" si="188"/>
        <v>0</v>
      </c>
      <c r="BP494" s="311"/>
      <c r="BQ494" s="312"/>
      <c r="BR494" s="313">
        <f t="shared" si="189"/>
        <v>0</v>
      </c>
      <c r="BS494" s="308"/>
      <c r="BT494" s="309"/>
      <c r="BU494" s="310">
        <f t="shared" si="190"/>
        <v>0</v>
      </c>
      <c r="BV494" s="311"/>
      <c r="BW494" s="312"/>
      <c r="BX494" s="313">
        <f t="shared" si="191"/>
        <v>0</v>
      </c>
    </row>
    <row r="495" spans="1:76">
      <c r="A495" s="337" t="s">
        <v>449</v>
      </c>
      <c r="B495" s="338" t="s">
        <v>779</v>
      </c>
      <c r="C495" s="337">
        <v>218830</v>
      </c>
      <c r="D495" s="339">
        <v>9</v>
      </c>
      <c r="E495" s="308"/>
      <c r="F495" s="309"/>
      <c r="G495" s="310">
        <f t="shared" si="168"/>
        <v>0</v>
      </c>
      <c r="H495" s="311"/>
      <c r="I495" s="312"/>
      <c r="J495" s="313">
        <f t="shared" si="169"/>
        <v>0</v>
      </c>
      <c r="K495" s="308"/>
      <c r="L495" s="309"/>
      <c r="M495" s="310">
        <f t="shared" si="170"/>
        <v>0</v>
      </c>
      <c r="N495" s="311"/>
      <c r="O495" s="312"/>
      <c r="P495" s="313">
        <f t="shared" si="171"/>
        <v>0</v>
      </c>
      <c r="Q495" s="308"/>
      <c r="R495" s="309"/>
      <c r="S495" s="310">
        <f t="shared" si="172"/>
        <v>0</v>
      </c>
      <c r="T495" s="311"/>
      <c r="U495" s="312"/>
      <c r="V495" s="313">
        <f t="shared" si="173"/>
        <v>0</v>
      </c>
      <c r="W495" s="308"/>
      <c r="X495" s="309"/>
      <c r="Y495" s="310">
        <f t="shared" si="174"/>
        <v>0</v>
      </c>
      <c r="Z495" s="311"/>
      <c r="AA495" s="312"/>
      <c r="AB495" s="313">
        <f t="shared" si="175"/>
        <v>0</v>
      </c>
      <c r="AC495" s="308">
        <v>103</v>
      </c>
      <c r="AD495" s="309">
        <v>44113</v>
      </c>
      <c r="AE495" s="310">
        <f t="shared" si="176"/>
        <v>4543639</v>
      </c>
      <c r="AF495" s="311">
        <v>113</v>
      </c>
      <c r="AG495" s="312">
        <v>45687</v>
      </c>
      <c r="AH495" s="313">
        <f t="shared" si="177"/>
        <v>5162631</v>
      </c>
      <c r="AI495" s="308"/>
      <c r="AJ495" s="309"/>
      <c r="AK495" s="310">
        <f t="shared" si="178"/>
        <v>0</v>
      </c>
      <c r="AL495" s="311"/>
      <c r="AM495" s="312"/>
      <c r="AN495" s="313">
        <f t="shared" si="179"/>
        <v>0</v>
      </c>
      <c r="AO495" s="308"/>
      <c r="AP495" s="309"/>
      <c r="AQ495" s="310">
        <f t="shared" si="180"/>
        <v>0</v>
      </c>
      <c r="AR495" s="311"/>
      <c r="AS495" s="312"/>
      <c r="AT495" s="313">
        <f t="shared" si="181"/>
        <v>0</v>
      </c>
      <c r="AU495" s="308"/>
      <c r="AV495" s="309"/>
      <c r="AW495" s="310">
        <f t="shared" si="182"/>
        <v>0</v>
      </c>
      <c r="AX495" s="311"/>
      <c r="AY495" s="312"/>
      <c r="AZ495" s="313">
        <f t="shared" si="183"/>
        <v>0</v>
      </c>
      <c r="BA495" s="308"/>
      <c r="BB495" s="309"/>
      <c r="BC495" s="310">
        <f t="shared" si="184"/>
        <v>0</v>
      </c>
      <c r="BD495" s="311"/>
      <c r="BE495" s="312"/>
      <c r="BF495" s="313">
        <f t="shared" si="185"/>
        <v>0</v>
      </c>
      <c r="BG495" s="308"/>
      <c r="BH495" s="309"/>
      <c r="BI495" s="310">
        <f t="shared" si="186"/>
        <v>0</v>
      </c>
      <c r="BJ495" s="311"/>
      <c r="BK495" s="312"/>
      <c r="BL495" s="313">
        <f t="shared" si="187"/>
        <v>0</v>
      </c>
      <c r="BM495" s="308"/>
      <c r="BN495" s="309"/>
      <c r="BO495" s="310">
        <f t="shared" si="188"/>
        <v>0</v>
      </c>
      <c r="BP495" s="311"/>
      <c r="BQ495" s="312"/>
      <c r="BR495" s="313">
        <f t="shared" si="189"/>
        <v>0</v>
      </c>
      <c r="BS495" s="308"/>
      <c r="BT495" s="309"/>
      <c r="BU495" s="310">
        <f t="shared" si="190"/>
        <v>0</v>
      </c>
      <c r="BV495" s="311"/>
      <c r="BW495" s="312"/>
      <c r="BX495" s="313">
        <f t="shared" si="191"/>
        <v>0</v>
      </c>
    </row>
    <row r="496" spans="1:76">
      <c r="A496" s="337" t="s">
        <v>449</v>
      </c>
      <c r="B496" s="338" t="s">
        <v>780</v>
      </c>
      <c r="C496" s="337">
        <v>218885</v>
      </c>
      <c r="D496" s="339">
        <v>9</v>
      </c>
      <c r="E496" s="308"/>
      <c r="F496" s="309"/>
      <c r="G496" s="310">
        <f t="shared" si="168"/>
        <v>0</v>
      </c>
      <c r="H496" s="311"/>
      <c r="I496" s="312"/>
      <c r="J496" s="313">
        <f t="shared" si="169"/>
        <v>0</v>
      </c>
      <c r="K496" s="308"/>
      <c r="L496" s="309"/>
      <c r="M496" s="310">
        <f t="shared" si="170"/>
        <v>0</v>
      </c>
      <c r="N496" s="311"/>
      <c r="O496" s="312"/>
      <c r="P496" s="313">
        <f t="shared" si="171"/>
        <v>0</v>
      </c>
      <c r="Q496" s="308"/>
      <c r="R496" s="309"/>
      <c r="S496" s="310">
        <f t="shared" si="172"/>
        <v>0</v>
      </c>
      <c r="T496" s="311"/>
      <c r="U496" s="312"/>
      <c r="V496" s="313">
        <f t="shared" si="173"/>
        <v>0</v>
      </c>
      <c r="W496" s="308"/>
      <c r="X496" s="309"/>
      <c r="Y496" s="310">
        <f t="shared" si="174"/>
        <v>0</v>
      </c>
      <c r="Z496" s="311"/>
      <c r="AA496" s="312"/>
      <c r="AB496" s="313">
        <f t="shared" si="175"/>
        <v>0</v>
      </c>
      <c r="AC496" s="308">
        <v>115</v>
      </c>
      <c r="AD496" s="309">
        <v>44450</v>
      </c>
      <c r="AE496" s="310">
        <f t="shared" si="176"/>
        <v>5111750</v>
      </c>
      <c r="AF496" s="311">
        <v>112</v>
      </c>
      <c r="AG496" s="312">
        <v>44801</v>
      </c>
      <c r="AH496" s="313">
        <f t="shared" si="177"/>
        <v>5017712</v>
      </c>
      <c r="AI496" s="308"/>
      <c r="AJ496" s="309"/>
      <c r="AK496" s="310">
        <f t="shared" si="178"/>
        <v>0</v>
      </c>
      <c r="AL496" s="311"/>
      <c r="AM496" s="312"/>
      <c r="AN496" s="313">
        <f t="shared" si="179"/>
        <v>0</v>
      </c>
      <c r="AO496" s="308"/>
      <c r="AP496" s="309"/>
      <c r="AQ496" s="310">
        <f t="shared" si="180"/>
        <v>0</v>
      </c>
      <c r="AR496" s="311"/>
      <c r="AS496" s="312"/>
      <c r="AT496" s="313">
        <f t="shared" si="181"/>
        <v>0</v>
      </c>
      <c r="AU496" s="308"/>
      <c r="AV496" s="309"/>
      <c r="AW496" s="310">
        <f t="shared" si="182"/>
        <v>0</v>
      </c>
      <c r="AX496" s="311"/>
      <c r="AY496" s="312"/>
      <c r="AZ496" s="313">
        <f t="shared" si="183"/>
        <v>0</v>
      </c>
      <c r="BA496" s="308"/>
      <c r="BB496" s="309"/>
      <c r="BC496" s="310">
        <f t="shared" si="184"/>
        <v>0</v>
      </c>
      <c r="BD496" s="311"/>
      <c r="BE496" s="312"/>
      <c r="BF496" s="313">
        <f t="shared" si="185"/>
        <v>0</v>
      </c>
      <c r="BG496" s="308"/>
      <c r="BH496" s="309"/>
      <c r="BI496" s="310">
        <f t="shared" si="186"/>
        <v>0</v>
      </c>
      <c r="BJ496" s="311"/>
      <c r="BK496" s="312"/>
      <c r="BL496" s="313">
        <f t="shared" si="187"/>
        <v>0</v>
      </c>
      <c r="BM496" s="308"/>
      <c r="BN496" s="309"/>
      <c r="BO496" s="310">
        <f t="shared" si="188"/>
        <v>0</v>
      </c>
      <c r="BP496" s="311"/>
      <c r="BQ496" s="312"/>
      <c r="BR496" s="313">
        <f t="shared" si="189"/>
        <v>0</v>
      </c>
      <c r="BS496" s="308"/>
      <c r="BT496" s="309"/>
      <c r="BU496" s="310">
        <f t="shared" si="190"/>
        <v>0</v>
      </c>
      <c r="BV496" s="311"/>
      <c r="BW496" s="312"/>
      <c r="BX496" s="313">
        <f t="shared" si="191"/>
        <v>0</v>
      </c>
    </row>
    <row r="497" spans="1:76">
      <c r="A497" s="337" t="s">
        <v>449</v>
      </c>
      <c r="B497" s="338" t="s">
        <v>781</v>
      </c>
      <c r="C497" s="337">
        <v>218991</v>
      </c>
      <c r="D497" s="339">
        <v>9</v>
      </c>
      <c r="E497" s="308"/>
      <c r="F497" s="309"/>
      <c r="G497" s="310">
        <f t="shared" si="168"/>
        <v>0</v>
      </c>
      <c r="H497" s="311"/>
      <c r="I497" s="312"/>
      <c r="J497" s="313">
        <f t="shared" si="169"/>
        <v>0</v>
      </c>
      <c r="K497" s="308"/>
      <c r="L497" s="309"/>
      <c r="M497" s="310">
        <f t="shared" si="170"/>
        <v>0</v>
      </c>
      <c r="N497" s="311"/>
      <c r="O497" s="312"/>
      <c r="P497" s="313">
        <f t="shared" si="171"/>
        <v>0</v>
      </c>
      <c r="Q497" s="308"/>
      <c r="R497" s="309"/>
      <c r="S497" s="310">
        <f t="shared" si="172"/>
        <v>0</v>
      </c>
      <c r="T497" s="311"/>
      <c r="U497" s="312"/>
      <c r="V497" s="313">
        <f t="shared" si="173"/>
        <v>0</v>
      </c>
      <c r="W497" s="308"/>
      <c r="X497" s="309"/>
      <c r="Y497" s="310">
        <f t="shared" si="174"/>
        <v>0</v>
      </c>
      <c r="Z497" s="311"/>
      <c r="AA497" s="312"/>
      <c r="AB497" s="313">
        <f t="shared" si="175"/>
        <v>0</v>
      </c>
      <c r="AC497" s="308">
        <v>119</v>
      </c>
      <c r="AD497" s="309">
        <v>48187</v>
      </c>
      <c r="AE497" s="310">
        <f t="shared" si="176"/>
        <v>5734253</v>
      </c>
      <c r="AF497" s="311">
        <v>120</v>
      </c>
      <c r="AG497" s="312">
        <v>47820</v>
      </c>
      <c r="AH497" s="313">
        <f t="shared" si="177"/>
        <v>5738400</v>
      </c>
      <c r="AI497" s="308"/>
      <c r="AJ497" s="309"/>
      <c r="AK497" s="310">
        <f t="shared" si="178"/>
        <v>0</v>
      </c>
      <c r="AL497" s="311"/>
      <c r="AM497" s="312"/>
      <c r="AN497" s="313">
        <f t="shared" si="179"/>
        <v>0</v>
      </c>
      <c r="AO497" s="308"/>
      <c r="AP497" s="309"/>
      <c r="AQ497" s="310">
        <f t="shared" si="180"/>
        <v>0</v>
      </c>
      <c r="AR497" s="311"/>
      <c r="AS497" s="312"/>
      <c r="AT497" s="313">
        <f t="shared" si="181"/>
        <v>0</v>
      </c>
      <c r="AU497" s="308"/>
      <c r="AV497" s="309"/>
      <c r="AW497" s="310">
        <f t="shared" si="182"/>
        <v>0</v>
      </c>
      <c r="AX497" s="311"/>
      <c r="AY497" s="312"/>
      <c r="AZ497" s="313">
        <f t="shared" si="183"/>
        <v>0</v>
      </c>
      <c r="BA497" s="308"/>
      <c r="BB497" s="309"/>
      <c r="BC497" s="310">
        <f t="shared" si="184"/>
        <v>0</v>
      </c>
      <c r="BD497" s="311"/>
      <c r="BE497" s="312"/>
      <c r="BF497" s="313">
        <f t="shared" si="185"/>
        <v>0</v>
      </c>
      <c r="BG497" s="308"/>
      <c r="BH497" s="309"/>
      <c r="BI497" s="310">
        <f t="shared" si="186"/>
        <v>0</v>
      </c>
      <c r="BJ497" s="311"/>
      <c r="BK497" s="312"/>
      <c r="BL497" s="313">
        <f t="shared" si="187"/>
        <v>0</v>
      </c>
      <c r="BM497" s="308"/>
      <c r="BN497" s="309"/>
      <c r="BO497" s="310">
        <f t="shared" si="188"/>
        <v>0</v>
      </c>
      <c r="BP497" s="311"/>
      <c r="BQ497" s="312"/>
      <c r="BR497" s="313">
        <f t="shared" si="189"/>
        <v>0</v>
      </c>
      <c r="BS497" s="308"/>
      <c r="BT497" s="309"/>
      <c r="BU497" s="310">
        <f t="shared" si="190"/>
        <v>0</v>
      </c>
      <c r="BV497" s="311"/>
      <c r="BW497" s="312"/>
      <c r="BX497" s="313">
        <f t="shared" si="191"/>
        <v>0</v>
      </c>
    </row>
    <row r="498" spans="1:76">
      <c r="A498" s="337" t="s">
        <v>449</v>
      </c>
      <c r="B498" s="338" t="s">
        <v>782</v>
      </c>
      <c r="C498" s="337">
        <v>217989</v>
      </c>
      <c r="D498" s="339">
        <v>10</v>
      </c>
      <c r="E498" s="308"/>
      <c r="F498" s="309"/>
      <c r="G498" s="310">
        <f t="shared" si="168"/>
        <v>0</v>
      </c>
      <c r="H498" s="311"/>
      <c r="I498" s="312"/>
      <c r="J498" s="313">
        <f t="shared" si="169"/>
        <v>0</v>
      </c>
      <c r="K498" s="308"/>
      <c r="L498" s="309"/>
      <c r="M498" s="310">
        <f t="shared" si="170"/>
        <v>0</v>
      </c>
      <c r="N498" s="311"/>
      <c r="O498" s="312"/>
      <c r="P498" s="313">
        <f t="shared" si="171"/>
        <v>0</v>
      </c>
      <c r="Q498" s="308"/>
      <c r="R498" s="309"/>
      <c r="S498" s="310">
        <f t="shared" si="172"/>
        <v>0</v>
      </c>
      <c r="T498" s="311"/>
      <c r="U498" s="312"/>
      <c r="V498" s="313">
        <f t="shared" si="173"/>
        <v>0</v>
      </c>
      <c r="W498" s="308"/>
      <c r="X498" s="309"/>
      <c r="Y498" s="310">
        <f t="shared" si="174"/>
        <v>0</v>
      </c>
      <c r="Z498" s="311"/>
      <c r="AA498" s="312"/>
      <c r="AB498" s="313">
        <f t="shared" si="175"/>
        <v>0</v>
      </c>
      <c r="AC498" s="308">
        <v>39</v>
      </c>
      <c r="AD498" s="309">
        <v>38981</v>
      </c>
      <c r="AE498" s="310">
        <f t="shared" si="176"/>
        <v>1520259</v>
      </c>
      <c r="AF498" s="311">
        <v>39</v>
      </c>
      <c r="AG498" s="312">
        <v>39230</v>
      </c>
      <c r="AH498" s="313">
        <f t="shared" si="177"/>
        <v>1529970</v>
      </c>
      <c r="AI498" s="308"/>
      <c r="AJ498" s="309"/>
      <c r="AK498" s="310">
        <f t="shared" si="178"/>
        <v>0</v>
      </c>
      <c r="AL498" s="311"/>
      <c r="AM498" s="312"/>
      <c r="AN498" s="313">
        <f t="shared" si="179"/>
        <v>0</v>
      </c>
      <c r="AO498" s="308"/>
      <c r="AP498" s="309"/>
      <c r="AQ498" s="310">
        <f t="shared" si="180"/>
        <v>0</v>
      </c>
      <c r="AR498" s="311"/>
      <c r="AS498" s="312"/>
      <c r="AT498" s="313">
        <f t="shared" si="181"/>
        <v>0</v>
      </c>
      <c r="AU498" s="308"/>
      <c r="AV498" s="309"/>
      <c r="AW498" s="310">
        <f t="shared" si="182"/>
        <v>0</v>
      </c>
      <c r="AX498" s="311"/>
      <c r="AY498" s="312"/>
      <c r="AZ498" s="313">
        <f t="shared" si="183"/>
        <v>0</v>
      </c>
      <c r="BA498" s="308"/>
      <c r="BB498" s="309"/>
      <c r="BC498" s="310">
        <f t="shared" si="184"/>
        <v>0</v>
      </c>
      <c r="BD498" s="311"/>
      <c r="BE498" s="312"/>
      <c r="BF498" s="313">
        <f t="shared" si="185"/>
        <v>0</v>
      </c>
      <c r="BG498" s="308"/>
      <c r="BH498" s="309"/>
      <c r="BI498" s="310">
        <f t="shared" si="186"/>
        <v>0</v>
      </c>
      <c r="BJ498" s="311"/>
      <c r="BK498" s="312"/>
      <c r="BL498" s="313">
        <f t="shared" si="187"/>
        <v>0</v>
      </c>
      <c r="BM498" s="308"/>
      <c r="BN498" s="309"/>
      <c r="BO498" s="310">
        <f t="shared" si="188"/>
        <v>0</v>
      </c>
      <c r="BP498" s="311"/>
      <c r="BQ498" s="312"/>
      <c r="BR498" s="313">
        <f t="shared" si="189"/>
        <v>0</v>
      </c>
      <c r="BS498" s="308"/>
      <c r="BT498" s="309"/>
      <c r="BU498" s="310">
        <f t="shared" si="190"/>
        <v>0</v>
      </c>
      <c r="BV498" s="311"/>
      <c r="BW498" s="312"/>
      <c r="BX498" s="313">
        <f t="shared" si="191"/>
        <v>0</v>
      </c>
    </row>
    <row r="499" spans="1:76">
      <c r="A499" s="337" t="s">
        <v>449</v>
      </c>
      <c r="B499" s="338" t="s">
        <v>783</v>
      </c>
      <c r="C499" s="337">
        <v>217837</v>
      </c>
      <c r="D499" s="339">
        <v>10</v>
      </c>
      <c r="E499" s="308"/>
      <c r="F499" s="309"/>
      <c r="G499" s="310">
        <f t="shared" si="168"/>
        <v>0</v>
      </c>
      <c r="H499" s="311"/>
      <c r="I499" s="312"/>
      <c r="J499" s="313">
        <f t="shared" si="169"/>
        <v>0</v>
      </c>
      <c r="K499" s="308"/>
      <c r="L499" s="309"/>
      <c r="M499" s="310">
        <f t="shared" si="170"/>
        <v>0</v>
      </c>
      <c r="N499" s="311"/>
      <c r="O499" s="312"/>
      <c r="P499" s="313">
        <f t="shared" si="171"/>
        <v>0</v>
      </c>
      <c r="Q499" s="308"/>
      <c r="R499" s="309"/>
      <c r="S499" s="310">
        <f t="shared" si="172"/>
        <v>0</v>
      </c>
      <c r="T499" s="311"/>
      <c r="U499" s="312"/>
      <c r="V499" s="313">
        <f t="shared" si="173"/>
        <v>0</v>
      </c>
      <c r="W499" s="308"/>
      <c r="X499" s="309"/>
      <c r="Y499" s="310">
        <f t="shared" si="174"/>
        <v>0</v>
      </c>
      <c r="Z499" s="311"/>
      <c r="AA499" s="312"/>
      <c r="AB499" s="313">
        <f t="shared" si="175"/>
        <v>0</v>
      </c>
      <c r="AC499" s="308">
        <v>30</v>
      </c>
      <c r="AD499" s="309">
        <v>37932</v>
      </c>
      <c r="AE499" s="310">
        <f t="shared" si="176"/>
        <v>1137960</v>
      </c>
      <c r="AF499" s="311">
        <v>30</v>
      </c>
      <c r="AG499" s="312">
        <v>36650</v>
      </c>
      <c r="AH499" s="313">
        <f t="shared" si="177"/>
        <v>1099500</v>
      </c>
      <c r="AI499" s="308"/>
      <c r="AJ499" s="309"/>
      <c r="AK499" s="310">
        <f t="shared" si="178"/>
        <v>0</v>
      </c>
      <c r="AL499" s="311"/>
      <c r="AM499" s="312"/>
      <c r="AN499" s="313">
        <f t="shared" si="179"/>
        <v>0</v>
      </c>
      <c r="AO499" s="308"/>
      <c r="AP499" s="309"/>
      <c r="AQ499" s="310">
        <f t="shared" si="180"/>
        <v>0</v>
      </c>
      <c r="AR499" s="311"/>
      <c r="AS499" s="312"/>
      <c r="AT499" s="313">
        <f t="shared" si="181"/>
        <v>0</v>
      </c>
      <c r="AU499" s="308"/>
      <c r="AV499" s="309"/>
      <c r="AW499" s="310">
        <f t="shared" si="182"/>
        <v>0</v>
      </c>
      <c r="AX499" s="311"/>
      <c r="AY499" s="312"/>
      <c r="AZ499" s="313">
        <f t="shared" si="183"/>
        <v>0</v>
      </c>
      <c r="BA499" s="308"/>
      <c r="BB499" s="309"/>
      <c r="BC499" s="310">
        <f t="shared" si="184"/>
        <v>0</v>
      </c>
      <c r="BD499" s="311"/>
      <c r="BE499" s="312"/>
      <c r="BF499" s="313">
        <f t="shared" si="185"/>
        <v>0</v>
      </c>
      <c r="BG499" s="308"/>
      <c r="BH499" s="309"/>
      <c r="BI499" s="310">
        <f t="shared" si="186"/>
        <v>0</v>
      </c>
      <c r="BJ499" s="311"/>
      <c r="BK499" s="312"/>
      <c r="BL499" s="313">
        <f t="shared" si="187"/>
        <v>0</v>
      </c>
      <c r="BM499" s="308"/>
      <c r="BN499" s="309"/>
      <c r="BO499" s="310">
        <f t="shared" si="188"/>
        <v>0</v>
      </c>
      <c r="BP499" s="311"/>
      <c r="BQ499" s="312"/>
      <c r="BR499" s="313">
        <f t="shared" si="189"/>
        <v>0</v>
      </c>
      <c r="BS499" s="308"/>
      <c r="BT499" s="309"/>
      <c r="BU499" s="310">
        <f t="shared" si="190"/>
        <v>0</v>
      </c>
      <c r="BV499" s="311"/>
      <c r="BW499" s="312"/>
      <c r="BX499" s="313">
        <f t="shared" si="191"/>
        <v>0</v>
      </c>
    </row>
    <row r="500" spans="1:76">
      <c r="A500" s="337" t="s">
        <v>449</v>
      </c>
      <c r="B500" s="338" t="s">
        <v>784</v>
      </c>
      <c r="C500" s="337">
        <v>217712</v>
      </c>
      <c r="D500" s="339">
        <v>10</v>
      </c>
      <c r="E500" s="308"/>
      <c r="F500" s="309"/>
      <c r="G500" s="310">
        <f t="shared" si="168"/>
        <v>0</v>
      </c>
      <c r="H500" s="311"/>
      <c r="I500" s="312"/>
      <c r="J500" s="313">
        <f t="shared" si="169"/>
        <v>0</v>
      </c>
      <c r="K500" s="308"/>
      <c r="L500" s="309"/>
      <c r="M500" s="310">
        <f t="shared" si="170"/>
        <v>0</v>
      </c>
      <c r="N500" s="311"/>
      <c r="O500" s="312"/>
      <c r="P500" s="313">
        <f t="shared" si="171"/>
        <v>0</v>
      </c>
      <c r="Q500" s="308"/>
      <c r="R500" s="309"/>
      <c r="S500" s="310">
        <f t="shared" si="172"/>
        <v>0</v>
      </c>
      <c r="T500" s="311"/>
      <c r="U500" s="312"/>
      <c r="V500" s="313">
        <f t="shared" si="173"/>
        <v>0</v>
      </c>
      <c r="W500" s="308"/>
      <c r="X500" s="309"/>
      <c r="Y500" s="310">
        <f t="shared" si="174"/>
        <v>0</v>
      </c>
      <c r="Z500" s="311"/>
      <c r="AA500" s="312"/>
      <c r="AB500" s="313">
        <f t="shared" si="175"/>
        <v>0</v>
      </c>
      <c r="AC500" s="308">
        <v>47</v>
      </c>
      <c r="AD500" s="309">
        <v>49978</v>
      </c>
      <c r="AE500" s="310">
        <f t="shared" si="176"/>
        <v>2348966</v>
      </c>
      <c r="AF500" s="311">
        <v>48</v>
      </c>
      <c r="AG500" s="312">
        <v>49808</v>
      </c>
      <c r="AH500" s="313">
        <f t="shared" si="177"/>
        <v>2390784</v>
      </c>
      <c r="AI500" s="308"/>
      <c r="AJ500" s="309"/>
      <c r="AK500" s="310">
        <f t="shared" si="178"/>
        <v>0</v>
      </c>
      <c r="AL500" s="311"/>
      <c r="AM500" s="312"/>
      <c r="AN500" s="313">
        <f t="shared" si="179"/>
        <v>0</v>
      </c>
      <c r="AO500" s="308"/>
      <c r="AP500" s="309"/>
      <c r="AQ500" s="310">
        <f t="shared" si="180"/>
        <v>0</v>
      </c>
      <c r="AR500" s="311"/>
      <c r="AS500" s="312"/>
      <c r="AT500" s="313">
        <f t="shared" si="181"/>
        <v>0</v>
      </c>
      <c r="AU500" s="308"/>
      <c r="AV500" s="309"/>
      <c r="AW500" s="310">
        <f t="shared" si="182"/>
        <v>0</v>
      </c>
      <c r="AX500" s="311"/>
      <c r="AY500" s="312"/>
      <c r="AZ500" s="313">
        <f t="shared" si="183"/>
        <v>0</v>
      </c>
      <c r="BA500" s="308"/>
      <c r="BB500" s="309"/>
      <c r="BC500" s="310">
        <f t="shared" si="184"/>
        <v>0</v>
      </c>
      <c r="BD500" s="311"/>
      <c r="BE500" s="312"/>
      <c r="BF500" s="313">
        <f t="shared" si="185"/>
        <v>0</v>
      </c>
      <c r="BG500" s="308"/>
      <c r="BH500" s="309"/>
      <c r="BI500" s="310">
        <f t="shared" si="186"/>
        <v>0</v>
      </c>
      <c r="BJ500" s="311"/>
      <c r="BK500" s="312"/>
      <c r="BL500" s="313">
        <f t="shared" si="187"/>
        <v>0</v>
      </c>
      <c r="BM500" s="308"/>
      <c r="BN500" s="309"/>
      <c r="BO500" s="310">
        <f t="shared" si="188"/>
        <v>0</v>
      </c>
      <c r="BP500" s="311"/>
      <c r="BQ500" s="312"/>
      <c r="BR500" s="313">
        <f t="shared" si="189"/>
        <v>0</v>
      </c>
      <c r="BS500" s="308"/>
      <c r="BT500" s="309"/>
      <c r="BU500" s="310">
        <f t="shared" si="190"/>
        <v>0</v>
      </c>
      <c r="BV500" s="311"/>
      <c r="BW500" s="312"/>
      <c r="BX500" s="313">
        <f t="shared" si="191"/>
        <v>0</v>
      </c>
    </row>
    <row r="501" spans="1:76">
      <c r="A501" s="337" t="s">
        <v>449</v>
      </c>
      <c r="B501" s="338" t="s">
        <v>785</v>
      </c>
      <c r="C501" s="337">
        <v>218672</v>
      </c>
      <c r="D501" s="339">
        <v>10</v>
      </c>
      <c r="E501" s="308">
        <v>3</v>
      </c>
      <c r="F501" s="309">
        <v>64857</v>
      </c>
      <c r="G501" s="310">
        <f t="shared" si="168"/>
        <v>194571</v>
      </c>
      <c r="H501" s="311">
        <v>5</v>
      </c>
      <c r="I501" s="312">
        <v>62994</v>
      </c>
      <c r="J501" s="313">
        <f t="shared" si="169"/>
        <v>314970</v>
      </c>
      <c r="K501" s="308">
        <v>6</v>
      </c>
      <c r="L501" s="309">
        <v>57126</v>
      </c>
      <c r="M501" s="310">
        <f t="shared" si="170"/>
        <v>342756</v>
      </c>
      <c r="N501" s="311">
        <v>4</v>
      </c>
      <c r="O501" s="312">
        <v>57679</v>
      </c>
      <c r="P501" s="313">
        <f t="shared" si="171"/>
        <v>230716</v>
      </c>
      <c r="Q501" s="308">
        <v>13</v>
      </c>
      <c r="R501" s="309">
        <v>47000</v>
      </c>
      <c r="S501" s="310">
        <f t="shared" si="172"/>
        <v>611000</v>
      </c>
      <c r="T501" s="311">
        <v>19</v>
      </c>
      <c r="U501" s="312">
        <v>46745</v>
      </c>
      <c r="V501" s="313">
        <f t="shared" si="173"/>
        <v>888155</v>
      </c>
      <c r="W501" s="308">
        <v>15</v>
      </c>
      <c r="X501" s="309">
        <v>41898</v>
      </c>
      <c r="Y501" s="310">
        <f t="shared" si="174"/>
        <v>628470</v>
      </c>
      <c r="Z501" s="311">
        <v>17</v>
      </c>
      <c r="AA501" s="312">
        <v>46008</v>
      </c>
      <c r="AB501" s="313">
        <f t="shared" si="175"/>
        <v>782136</v>
      </c>
      <c r="AC501" s="308"/>
      <c r="AD501" s="309"/>
      <c r="AE501" s="310">
        <f t="shared" si="176"/>
        <v>0</v>
      </c>
      <c r="AF501" s="311"/>
      <c r="AG501" s="312"/>
      <c r="AH501" s="313">
        <f t="shared" si="177"/>
        <v>0</v>
      </c>
      <c r="AI501" s="308"/>
      <c r="AJ501" s="309"/>
      <c r="AK501" s="310">
        <f t="shared" si="178"/>
        <v>0</v>
      </c>
      <c r="AL501" s="311"/>
      <c r="AM501" s="312"/>
      <c r="AN501" s="313">
        <f t="shared" si="179"/>
        <v>0</v>
      </c>
      <c r="AO501" s="308"/>
      <c r="AP501" s="309"/>
      <c r="AQ501" s="310">
        <f t="shared" si="180"/>
        <v>0</v>
      </c>
      <c r="AR501" s="311"/>
      <c r="AS501" s="312"/>
      <c r="AT501" s="313">
        <f t="shared" si="181"/>
        <v>0</v>
      </c>
      <c r="AU501" s="308">
        <v>1</v>
      </c>
      <c r="AV501" s="309">
        <v>79715</v>
      </c>
      <c r="AW501" s="310">
        <f t="shared" si="182"/>
        <v>65222.813000000002</v>
      </c>
      <c r="AX501" s="311">
        <v>1</v>
      </c>
      <c r="AY501" s="312">
        <v>80492</v>
      </c>
      <c r="AZ501" s="313">
        <f t="shared" si="183"/>
        <v>65858.554400000008</v>
      </c>
      <c r="BA501" s="308"/>
      <c r="BB501" s="309"/>
      <c r="BC501" s="310">
        <f t="shared" si="184"/>
        <v>0</v>
      </c>
      <c r="BD501" s="311">
        <v>1</v>
      </c>
      <c r="BE501" s="312">
        <v>67556</v>
      </c>
      <c r="BF501" s="313">
        <f t="shared" si="185"/>
        <v>55274.319200000005</v>
      </c>
      <c r="BG501" s="308">
        <v>1</v>
      </c>
      <c r="BH501" s="309">
        <v>53322</v>
      </c>
      <c r="BI501" s="310">
        <f t="shared" si="186"/>
        <v>43628.060400000002</v>
      </c>
      <c r="BJ501" s="311">
        <v>1</v>
      </c>
      <c r="BK501" s="312">
        <v>40400</v>
      </c>
      <c r="BL501" s="313">
        <f t="shared" si="187"/>
        <v>33055.279999999999</v>
      </c>
      <c r="BM501" s="308"/>
      <c r="BN501" s="309"/>
      <c r="BO501" s="310">
        <f t="shared" si="188"/>
        <v>0</v>
      </c>
      <c r="BP501" s="311"/>
      <c r="BQ501" s="312"/>
      <c r="BR501" s="313">
        <f t="shared" si="189"/>
        <v>0</v>
      </c>
      <c r="BS501" s="308"/>
      <c r="BT501" s="309"/>
      <c r="BU501" s="310">
        <f t="shared" si="190"/>
        <v>0</v>
      </c>
      <c r="BV501" s="311"/>
      <c r="BW501" s="312"/>
      <c r="BX501" s="313">
        <f t="shared" si="191"/>
        <v>0</v>
      </c>
    </row>
    <row r="502" spans="1:76">
      <c r="A502" s="337" t="s">
        <v>449</v>
      </c>
      <c r="B502" s="338" t="s">
        <v>786</v>
      </c>
      <c r="C502" s="337">
        <v>218681</v>
      </c>
      <c r="D502" s="339">
        <v>10</v>
      </c>
      <c r="E502" s="308">
        <v>1</v>
      </c>
      <c r="F502" s="309">
        <v>56690</v>
      </c>
      <c r="G502" s="310">
        <f t="shared" si="168"/>
        <v>56690</v>
      </c>
      <c r="H502" s="311">
        <v>1</v>
      </c>
      <c r="I502" s="312">
        <v>57256</v>
      </c>
      <c r="J502" s="313">
        <f t="shared" si="169"/>
        <v>57256</v>
      </c>
      <c r="K502" s="308">
        <v>3</v>
      </c>
      <c r="L502" s="309">
        <v>50902</v>
      </c>
      <c r="M502" s="310">
        <f t="shared" si="170"/>
        <v>152706</v>
      </c>
      <c r="N502" s="311">
        <v>2</v>
      </c>
      <c r="O502" s="312">
        <v>50883</v>
      </c>
      <c r="P502" s="313">
        <f t="shared" si="171"/>
        <v>101766</v>
      </c>
      <c r="Q502" s="308">
        <v>8</v>
      </c>
      <c r="R502" s="309">
        <v>43146</v>
      </c>
      <c r="S502" s="310">
        <f t="shared" si="172"/>
        <v>345168</v>
      </c>
      <c r="T502" s="311">
        <v>7</v>
      </c>
      <c r="U502" s="312">
        <v>44393</v>
      </c>
      <c r="V502" s="313">
        <f t="shared" si="173"/>
        <v>310751</v>
      </c>
      <c r="W502" s="308">
        <v>4</v>
      </c>
      <c r="X502" s="309">
        <v>40234</v>
      </c>
      <c r="Y502" s="310">
        <f t="shared" si="174"/>
        <v>160936</v>
      </c>
      <c r="Z502" s="311">
        <v>6</v>
      </c>
      <c r="AA502" s="312">
        <v>42341</v>
      </c>
      <c r="AB502" s="313">
        <f t="shared" si="175"/>
        <v>254046</v>
      </c>
      <c r="AC502" s="308"/>
      <c r="AD502" s="309"/>
      <c r="AE502" s="310">
        <f t="shared" si="176"/>
        <v>0</v>
      </c>
      <c r="AF502" s="311"/>
      <c r="AG502" s="312"/>
      <c r="AH502" s="313">
        <f t="shared" si="177"/>
        <v>0</v>
      </c>
      <c r="AI502" s="308"/>
      <c r="AJ502" s="309"/>
      <c r="AK502" s="310">
        <f t="shared" si="178"/>
        <v>0</v>
      </c>
      <c r="AL502" s="311"/>
      <c r="AM502" s="312"/>
      <c r="AN502" s="313">
        <f t="shared" si="179"/>
        <v>0</v>
      </c>
      <c r="AO502" s="308"/>
      <c r="AP502" s="309"/>
      <c r="AQ502" s="310">
        <f t="shared" si="180"/>
        <v>0</v>
      </c>
      <c r="AR502" s="311"/>
      <c r="AS502" s="312"/>
      <c r="AT502" s="313">
        <f t="shared" si="181"/>
        <v>0</v>
      </c>
      <c r="AU502" s="308">
        <v>1</v>
      </c>
      <c r="AV502" s="309">
        <v>42477</v>
      </c>
      <c r="AW502" s="310">
        <f t="shared" si="182"/>
        <v>34754.681400000001</v>
      </c>
      <c r="AX502" s="311">
        <v>1</v>
      </c>
      <c r="AY502" s="312">
        <v>42901</v>
      </c>
      <c r="AZ502" s="313">
        <f t="shared" si="183"/>
        <v>35101.5982</v>
      </c>
      <c r="BA502" s="308"/>
      <c r="BB502" s="309"/>
      <c r="BC502" s="310">
        <f t="shared" si="184"/>
        <v>0</v>
      </c>
      <c r="BD502" s="311"/>
      <c r="BE502" s="312"/>
      <c r="BF502" s="313">
        <f t="shared" si="185"/>
        <v>0</v>
      </c>
      <c r="BG502" s="308">
        <v>0</v>
      </c>
      <c r="BH502" s="309"/>
      <c r="BI502" s="310">
        <f t="shared" si="186"/>
        <v>0</v>
      </c>
      <c r="BJ502" s="311">
        <v>1</v>
      </c>
      <c r="BK502" s="312">
        <v>53855</v>
      </c>
      <c r="BL502" s="313">
        <f t="shared" si="187"/>
        <v>44064.161</v>
      </c>
      <c r="BM502" s="308">
        <v>1</v>
      </c>
      <c r="BN502" s="309">
        <v>81007</v>
      </c>
      <c r="BO502" s="310">
        <f t="shared" si="188"/>
        <v>66279.9274</v>
      </c>
      <c r="BP502" s="311">
        <v>1</v>
      </c>
      <c r="BQ502" s="312">
        <v>84817</v>
      </c>
      <c r="BR502" s="313">
        <f t="shared" si="189"/>
        <v>69397.269400000005</v>
      </c>
      <c r="BS502" s="308"/>
      <c r="BT502" s="309"/>
      <c r="BU502" s="310">
        <f t="shared" si="190"/>
        <v>0</v>
      </c>
      <c r="BV502" s="311"/>
      <c r="BW502" s="312"/>
      <c r="BX502" s="313">
        <f t="shared" si="191"/>
        <v>0</v>
      </c>
    </row>
    <row r="503" spans="1:76">
      <c r="A503" s="337" t="s">
        <v>449</v>
      </c>
      <c r="B503" s="338" t="s">
        <v>787</v>
      </c>
      <c r="C503" s="337">
        <v>218690</v>
      </c>
      <c r="D503" s="339">
        <v>10</v>
      </c>
      <c r="E503" s="308">
        <v>8</v>
      </c>
      <c r="F503" s="309">
        <v>64438</v>
      </c>
      <c r="G503" s="310">
        <f t="shared" si="168"/>
        <v>515504</v>
      </c>
      <c r="H503" s="311">
        <v>7</v>
      </c>
      <c r="I503" s="312">
        <v>65533</v>
      </c>
      <c r="J503" s="313">
        <f t="shared" si="169"/>
        <v>458731</v>
      </c>
      <c r="K503" s="308">
        <v>13</v>
      </c>
      <c r="L503" s="309">
        <v>57199</v>
      </c>
      <c r="M503" s="310">
        <f t="shared" si="170"/>
        <v>743587</v>
      </c>
      <c r="N503" s="311">
        <v>15</v>
      </c>
      <c r="O503" s="312">
        <v>56947</v>
      </c>
      <c r="P503" s="313">
        <f t="shared" si="171"/>
        <v>854205</v>
      </c>
      <c r="Q503" s="308">
        <v>9</v>
      </c>
      <c r="R503" s="309">
        <v>47383</v>
      </c>
      <c r="S503" s="310">
        <f t="shared" si="172"/>
        <v>426447</v>
      </c>
      <c r="T503" s="311">
        <v>10</v>
      </c>
      <c r="U503" s="312">
        <v>46381</v>
      </c>
      <c r="V503" s="313">
        <f t="shared" si="173"/>
        <v>463810</v>
      </c>
      <c r="W503" s="308">
        <v>9</v>
      </c>
      <c r="X503" s="309">
        <v>33374</v>
      </c>
      <c r="Y503" s="310">
        <f t="shared" si="174"/>
        <v>300366</v>
      </c>
      <c r="Z503" s="311">
        <v>16</v>
      </c>
      <c r="AA503" s="312">
        <v>33858</v>
      </c>
      <c r="AB503" s="313">
        <f t="shared" si="175"/>
        <v>541728</v>
      </c>
      <c r="AC503" s="308"/>
      <c r="AD503" s="309"/>
      <c r="AE503" s="310">
        <f t="shared" si="176"/>
        <v>0</v>
      </c>
      <c r="AF503" s="311"/>
      <c r="AG503" s="312"/>
      <c r="AH503" s="313">
        <f t="shared" si="177"/>
        <v>0</v>
      </c>
      <c r="AI503" s="308"/>
      <c r="AJ503" s="309"/>
      <c r="AK503" s="310">
        <f t="shared" si="178"/>
        <v>0</v>
      </c>
      <c r="AL503" s="311"/>
      <c r="AM503" s="312"/>
      <c r="AN503" s="313">
        <f t="shared" si="179"/>
        <v>0</v>
      </c>
      <c r="AO503" s="308">
        <v>2</v>
      </c>
      <c r="AP503" s="309">
        <v>86729</v>
      </c>
      <c r="AQ503" s="310">
        <f t="shared" si="180"/>
        <v>141923.33560000002</v>
      </c>
      <c r="AR503" s="311">
        <v>2</v>
      </c>
      <c r="AS503" s="312">
        <v>88050</v>
      </c>
      <c r="AT503" s="313">
        <f t="shared" si="181"/>
        <v>144085.02000000002</v>
      </c>
      <c r="AU503" s="308">
        <v>2</v>
      </c>
      <c r="AV503" s="309">
        <v>77602</v>
      </c>
      <c r="AW503" s="310">
        <f t="shared" si="182"/>
        <v>126987.91280000001</v>
      </c>
      <c r="AX503" s="311">
        <v>2</v>
      </c>
      <c r="AY503" s="312">
        <v>78311</v>
      </c>
      <c r="AZ503" s="313">
        <f t="shared" si="183"/>
        <v>128148.1204</v>
      </c>
      <c r="BA503" s="308"/>
      <c r="BB503" s="309"/>
      <c r="BC503" s="310">
        <f t="shared" si="184"/>
        <v>0</v>
      </c>
      <c r="BD503" s="311"/>
      <c r="BE503" s="312"/>
      <c r="BF503" s="313">
        <f t="shared" si="185"/>
        <v>0</v>
      </c>
      <c r="BG503" s="308">
        <v>1</v>
      </c>
      <c r="BH503" s="309">
        <v>42167</v>
      </c>
      <c r="BI503" s="310">
        <f t="shared" si="186"/>
        <v>34501.039400000001</v>
      </c>
      <c r="BJ503" s="311"/>
      <c r="BK503" s="312"/>
      <c r="BL503" s="313">
        <f t="shared" si="187"/>
        <v>0</v>
      </c>
      <c r="BM503" s="308"/>
      <c r="BN503" s="309"/>
      <c r="BO503" s="310">
        <f t="shared" si="188"/>
        <v>0</v>
      </c>
      <c r="BP503" s="311"/>
      <c r="BQ503" s="312"/>
      <c r="BR503" s="313">
        <f t="shared" si="189"/>
        <v>0</v>
      </c>
      <c r="BS503" s="308"/>
      <c r="BT503" s="309"/>
      <c r="BU503" s="310">
        <f t="shared" si="190"/>
        <v>0</v>
      </c>
      <c r="BV503" s="311"/>
      <c r="BW503" s="312"/>
      <c r="BX503" s="313">
        <f t="shared" si="191"/>
        <v>0</v>
      </c>
    </row>
    <row r="504" spans="1:76">
      <c r="A504" s="337" t="s">
        <v>449</v>
      </c>
      <c r="B504" s="338" t="s">
        <v>788</v>
      </c>
      <c r="C504" s="337">
        <v>218706</v>
      </c>
      <c r="D504" s="339">
        <v>10</v>
      </c>
      <c r="E504" s="308"/>
      <c r="F504" s="309"/>
      <c r="G504" s="310">
        <f t="shared" si="168"/>
        <v>0</v>
      </c>
      <c r="H504" s="311">
        <v>0</v>
      </c>
      <c r="I504" s="312"/>
      <c r="J504" s="313">
        <f t="shared" si="169"/>
        <v>0</v>
      </c>
      <c r="K504" s="308"/>
      <c r="L504" s="309"/>
      <c r="M504" s="310">
        <f t="shared" si="170"/>
        <v>0</v>
      </c>
      <c r="N504" s="311"/>
      <c r="O504" s="312"/>
      <c r="P504" s="313">
        <f t="shared" si="171"/>
        <v>0</v>
      </c>
      <c r="Q504" s="308">
        <v>3</v>
      </c>
      <c r="R504" s="309">
        <v>45472</v>
      </c>
      <c r="S504" s="310">
        <f t="shared" si="172"/>
        <v>136416</v>
      </c>
      <c r="T504" s="311">
        <v>3</v>
      </c>
      <c r="U504" s="312">
        <v>45926</v>
      </c>
      <c r="V504" s="313">
        <f t="shared" si="173"/>
        <v>137778</v>
      </c>
      <c r="W504" s="308">
        <v>3</v>
      </c>
      <c r="X504" s="309">
        <v>44593</v>
      </c>
      <c r="Y504" s="310">
        <f t="shared" si="174"/>
        <v>133779</v>
      </c>
      <c r="Z504" s="311">
        <v>4</v>
      </c>
      <c r="AA504" s="312">
        <v>45810</v>
      </c>
      <c r="AB504" s="313">
        <f t="shared" si="175"/>
        <v>183240</v>
      </c>
      <c r="AC504" s="308"/>
      <c r="AD504" s="309"/>
      <c r="AE504" s="310">
        <f t="shared" si="176"/>
        <v>0</v>
      </c>
      <c r="AF504" s="311"/>
      <c r="AG504" s="312"/>
      <c r="AH504" s="313">
        <f t="shared" si="177"/>
        <v>0</v>
      </c>
      <c r="AI504" s="308"/>
      <c r="AJ504" s="309"/>
      <c r="AK504" s="310">
        <f t="shared" si="178"/>
        <v>0</v>
      </c>
      <c r="AL504" s="311"/>
      <c r="AM504" s="312"/>
      <c r="AN504" s="313">
        <f t="shared" si="179"/>
        <v>0</v>
      </c>
      <c r="AO504" s="308"/>
      <c r="AP504" s="309"/>
      <c r="AQ504" s="310">
        <f t="shared" si="180"/>
        <v>0</v>
      </c>
      <c r="AR504" s="311"/>
      <c r="AS504" s="312"/>
      <c r="AT504" s="313">
        <f t="shared" si="181"/>
        <v>0</v>
      </c>
      <c r="AU504" s="308"/>
      <c r="AV504" s="309"/>
      <c r="AW504" s="310">
        <f t="shared" si="182"/>
        <v>0</v>
      </c>
      <c r="AX504" s="311"/>
      <c r="AY504" s="312"/>
      <c r="AZ504" s="313">
        <f t="shared" si="183"/>
        <v>0</v>
      </c>
      <c r="BA504" s="308"/>
      <c r="BB504" s="309"/>
      <c r="BC504" s="310">
        <f t="shared" si="184"/>
        <v>0</v>
      </c>
      <c r="BD504" s="311"/>
      <c r="BE504" s="312"/>
      <c r="BF504" s="313">
        <f t="shared" si="185"/>
        <v>0</v>
      </c>
      <c r="BG504" s="308"/>
      <c r="BH504" s="309"/>
      <c r="BI504" s="310">
        <f t="shared" si="186"/>
        <v>0</v>
      </c>
      <c r="BJ504" s="311">
        <v>1</v>
      </c>
      <c r="BK504" s="312">
        <v>42588</v>
      </c>
      <c r="BL504" s="313">
        <f t="shared" si="187"/>
        <v>34845.501600000003</v>
      </c>
      <c r="BM504" s="308"/>
      <c r="BN504" s="309"/>
      <c r="BO504" s="310">
        <f t="shared" si="188"/>
        <v>0</v>
      </c>
      <c r="BP504" s="311"/>
      <c r="BQ504" s="312"/>
      <c r="BR504" s="313">
        <f t="shared" si="189"/>
        <v>0</v>
      </c>
      <c r="BS504" s="308"/>
      <c r="BT504" s="309"/>
      <c r="BU504" s="310">
        <f t="shared" si="190"/>
        <v>0</v>
      </c>
      <c r="BV504" s="311"/>
      <c r="BW504" s="312"/>
      <c r="BX504" s="313">
        <f t="shared" si="191"/>
        <v>0</v>
      </c>
    </row>
    <row r="505" spans="1:76">
      <c r="A505" s="337" t="s">
        <v>449</v>
      </c>
      <c r="B505" s="338" t="s">
        <v>789</v>
      </c>
      <c r="C505" s="337">
        <v>218955</v>
      </c>
      <c r="D505" s="339">
        <v>10</v>
      </c>
      <c r="E505" s="308"/>
      <c r="F505" s="309"/>
      <c r="G505" s="310">
        <f t="shared" si="168"/>
        <v>0</v>
      </c>
      <c r="H505" s="311"/>
      <c r="I505" s="312"/>
      <c r="J505" s="313">
        <f t="shared" si="169"/>
        <v>0</v>
      </c>
      <c r="K505" s="308"/>
      <c r="L505" s="309"/>
      <c r="M505" s="310">
        <f t="shared" si="170"/>
        <v>0</v>
      </c>
      <c r="N505" s="311"/>
      <c r="O505" s="312"/>
      <c r="P505" s="313">
        <f t="shared" si="171"/>
        <v>0</v>
      </c>
      <c r="Q505" s="308"/>
      <c r="R505" s="309"/>
      <c r="S505" s="310">
        <f t="shared" si="172"/>
        <v>0</v>
      </c>
      <c r="T505" s="311"/>
      <c r="U505" s="312"/>
      <c r="V505" s="313">
        <f t="shared" si="173"/>
        <v>0</v>
      </c>
      <c r="W505" s="308"/>
      <c r="X505" s="309"/>
      <c r="Y505" s="310">
        <f t="shared" si="174"/>
        <v>0</v>
      </c>
      <c r="Z505" s="311"/>
      <c r="AA505" s="312"/>
      <c r="AB505" s="313">
        <f t="shared" si="175"/>
        <v>0</v>
      </c>
      <c r="AC505" s="308">
        <v>19</v>
      </c>
      <c r="AD505" s="309">
        <v>34423</v>
      </c>
      <c r="AE505" s="310">
        <f t="shared" si="176"/>
        <v>654037</v>
      </c>
      <c r="AF505" s="311">
        <v>19</v>
      </c>
      <c r="AG505" s="312"/>
      <c r="AH505" s="313">
        <f t="shared" si="177"/>
        <v>0</v>
      </c>
      <c r="AI505" s="308"/>
      <c r="AJ505" s="309"/>
      <c r="AK505" s="310">
        <f t="shared" si="178"/>
        <v>0</v>
      </c>
      <c r="AL505" s="311"/>
      <c r="AM505" s="312"/>
      <c r="AN505" s="313">
        <f t="shared" si="179"/>
        <v>0</v>
      </c>
      <c r="AO505" s="308"/>
      <c r="AP505" s="309"/>
      <c r="AQ505" s="310">
        <f t="shared" si="180"/>
        <v>0</v>
      </c>
      <c r="AR505" s="311"/>
      <c r="AS505" s="312"/>
      <c r="AT505" s="313">
        <f t="shared" si="181"/>
        <v>0</v>
      </c>
      <c r="AU505" s="308"/>
      <c r="AV505" s="309"/>
      <c r="AW505" s="310">
        <f t="shared" si="182"/>
        <v>0</v>
      </c>
      <c r="AX505" s="311"/>
      <c r="AY505" s="312"/>
      <c r="AZ505" s="313">
        <f t="shared" si="183"/>
        <v>0</v>
      </c>
      <c r="BA505" s="308"/>
      <c r="BB505" s="309"/>
      <c r="BC505" s="310">
        <f t="shared" si="184"/>
        <v>0</v>
      </c>
      <c r="BD505" s="311"/>
      <c r="BE505" s="312"/>
      <c r="BF505" s="313">
        <f t="shared" si="185"/>
        <v>0</v>
      </c>
      <c r="BG505" s="308"/>
      <c r="BH505" s="309"/>
      <c r="BI505" s="310">
        <f t="shared" si="186"/>
        <v>0</v>
      </c>
      <c r="BJ505" s="311"/>
      <c r="BK505" s="312"/>
      <c r="BL505" s="313">
        <f t="shared" si="187"/>
        <v>0</v>
      </c>
      <c r="BM505" s="308"/>
      <c r="BN505" s="309"/>
      <c r="BO505" s="310">
        <f t="shared" si="188"/>
        <v>0</v>
      </c>
      <c r="BP505" s="311"/>
      <c r="BQ505" s="312"/>
      <c r="BR505" s="313">
        <f t="shared" si="189"/>
        <v>0</v>
      </c>
      <c r="BS505" s="308"/>
      <c r="BT505" s="309"/>
      <c r="BU505" s="310">
        <f t="shared" si="190"/>
        <v>0</v>
      </c>
      <c r="BV505" s="311"/>
      <c r="BW505" s="312"/>
      <c r="BX505" s="313">
        <f t="shared" si="191"/>
        <v>0</v>
      </c>
    </row>
    <row r="506" spans="1:76">
      <c r="A506" s="341" t="s">
        <v>409</v>
      </c>
      <c r="B506" s="342" t="s">
        <v>69</v>
      </c>
      <c r="C506" s="341">
        <v>221759</v>
      </c>
      <c r="D506" s="327">
        <v>1</v>
      </c>
      <c r="E506" s="308">
        <v>376</v>
      </c>
      <c r="F506" s="309">
        <v>104730.24468085106</v>
      </c>
      <c r="G506" s="310">
        <f t="shared" si="168"/>
        <v>39378572</v>
      </c>
      <c r="H506" s="311">
        <v>373</v>
      </c>
      <c r="I506" s="312">
        <v>101276</v>
      </c>
      <c r="J506" s="313">
        <f t="shared" si="169"/>
        <v>37775948</v>
      </c>
      <c r="K506" s="308">
        <v>282</v>
      </c>
      <c r="L506" s="309">
        <v>77178.570921985811</v>
      </c>
      <c r="M506" s="310">
        <f t="shared" si="170"/>
        <v>21764357</v>
      </c>
      <c r="N506" s="311">
        <v>286</v>
      </c>
      <c r="O506" s="312">
        <v>76797.489510489511</v>
      </c>
      <c r="P506" s="313">
        <f t="shared" si="171"/>
        <v>21964082</v>
      </c>
      <c r="Q506" s="308">
        <v>278</v>
      </c>
      <c r="R506" s="309">
        <v>63953.647482014385</v>
      </c>
      <c r="S506" s="310">
        <f t="shared" si="172"/>
        <v>17779114</v>
      </c>
      <c r="T506" s="311">
        <v>275</v>
      </c>
      <c r="U506" s="312">
        <v>63306.163636363635</v>
      </c>
      <c r="V506" s="313">
        <f t="shared" si="173"/>
        <v>17409195</v>
      </c>
      <c r="W506" s="308">
        <v>24</v>
      </c>
      <c r="X506" s="309">
        <v>50289.833333333336</v>
      </c>
      <c r="Y506" s="310">
        <f t="shared" si="174"/>
        <v>1206956</v>
      </c>
      <c r="Z506" s="311">
        <v>16</v>
      </c>
      <c r="AA506" s="312">
        <v>49040.25</v>
      </c>
      <c r="AB506" s="313">
        <f t="shared" si="175"/>
        <v>784644</v>
      </c>
      <c r="AC506" s="308">
        <v>207</v>
      </c>
      <c r="AD506" s="309">
        <v>38265.270531400965</v>
      </c>
      <c r="AE506" s="310">
        <f t="shared" si="176"/>
        <v>7920911</v>
      </c>
      <c r="AF506" s="311">
        <v>196</v>
      </c>
      <c r="AG506" s="312">
        <v>37715.765306122448</v>
      </c>
      <c r="AH506" s="313">
        <f t="shared" si="177"/>
        <v>7392290</v>
      </c>
      <c r="AI506" s="308"/>
      <c r="AJ506" s="309"/>
      <c r="AK506" s="310">
        <f t="shared" si="178"/>
        <v>0</v>
      </c>
      <c r="AL506" s="311"/>
      <c r="AM506" s="312"/>
      <c r="AN506" s="313">
        <f t="shared" si="179"/>
        <v>0</v>
      </c>
      <c r="AO506" s="308">
        <v>142</v>
      </c>
      <c r="AP506" s="309">
        <v>125745.78169014085</v>
      </c>
      <c r="AQ506" s="310">
        <f t="shared" si="180"/>
        <v>14609698.1982</v>
      </c>
      <c r="AR506" s="311">
        <v>156</v>
      </c>
      <c r="AS506" s="312">
        <v>121201.80128205128</v>
      </c>
      <c r="AT506" s="313">
        <f t="shared" si="181"/>
        <v>15470100.954200001</v>
      </c>
      <c r="AU506" s="308">
        <v>112</v>
      </c>
      <c r="AV506" s="309">
        <v>99915.919642857145</v>
      </c>
      <c r="AW506" s="310">
        <f t="shared" si="182"/>
        <v>9156135.0106000006</v>
      </c>
      <c r="AX506" s="311">
        <v>115</v>
      </c>
      <c r="AY506" s="312">
        <v>97123.156521739133</v>
      </c>
      <c r="AZ506" s="313">
        <f t="shared" si="183"/>
        <v>9138609.1666000001</v>
      </c>
      <c r="BA506" s="308">
        <v>106</v>
      </c>
      <c r="BB506" s="309">
        <v>86147.60377358491</v>
      </c>
      <c r="BC506" s="310">
        <f t="shared" si="184"/>
        <v>7471512.7572000008</v>
      </c>
      <c r="BD506" s="311">
        <v>114</v>
      </c>
      <c r="BE506" s="312">
        <v>84196.175438596489</v>
      </c>
      <c r="BF506" s="313">
        <f t="shared" si="185"/>
        <v>7853381.4248000002</v>
      </c>
      <c r="BG506" s="308">
        <v>24</v>
      </c>
      <c r="BH506" s="309">
        <v>59462.083333333336</v>
      </c>
      <c r="BI506" s="310">
        <f t="shared" si="186"/>
        <v>1167645.0379999999</v>
      </c>
      <c r="BJ506" s="311">
        <v>22</v>
      </c>
      <c r="BK506" s="312">
        <v>64018</v>
      </c>
      <c r="BL506" s="313">
        <f t="shared" si="187"/>
        <v>1152349.6072</v>
      </c>
      <c r="BM506" s="308">
        <v>25</v>
      </c>
      <c r="BN506" s="309">
        <v>42720.480000000003</v>
      </c>
      <c r="BO506" s="310">
        <f t="shared" si="188"/>
        <v>873847.41840000008</v>
      </c>
      <c r="BP506" s="311">
        <v>27</v>
      </c>
      <c r="BQ506" s="312">
        <v>47400.296296296299</v>
      </c>
      <c r="BR506" s="313">
        <f t="shared" si="189"/>
        <v>1047138.9056000001</v>
      </c>
      <c r="BS506" s="308"/>
      <c r="BT506" s="309"/>
      <c r="BU506" s="310">
        <f t="shared" si="190"/>
        <v>0</v>
      </c>
      <c r="BV506" s="311"/>
      <c r="BW506" s="312"/>
      <c r="BX506" s="313">
        <f t="shared" si="191"/>
        <v>0</v>
      </c>
    </row>
    <row r="507" spans="1:76">
      <c r="A507" s="341" t="s">
        <v>409</v>
      </c>
      <c r="B507" s="343" t="s">
        <v>70</v>
      </c>
      <c r="C507" s="341">
        <v>220862</v>
      </c>
      <c r="D507" s="327">
        <v>2</v>
      </c>
      <c r="E507" s="308">
        <v>235</v>
      </c>
      <c r="F507" s="309">
        <v>93880.94042553191</v>
      </c>
      <c r="G507" s="310">
        <f t="shared" si="168"/>
        <v>22062021</v>
      </c>
      <c r="H507" s="311">
        <v>234</v>
      </c>
      <c r="I507" s="312">
        <v>93989.162393162391</v>
      </c>
      <c r="J507" s="313">
        <f t="shared" si="169"/>
        <v>21993464</v>
      </c>
      <c r="K507" s="308">
        <v>216</v>
      </c>
      <c r="L507" s="309">
        <v>69634.620370370365</v>
      </c>
      <c r="M507" s="310">
        <f t="shared" si="170"/>
        <v>15041077.999999998</v>
      </c>
      <c r="N507" s="311">
        <v>231</v>
      </c>
      <c r="O507" s="312">
        <v>70466.155844155845</v>
      </c>
      <c r="P507" s="313">
        <f t="shared" si="171"/>
        <v>16277682</v>
      </c>
      <c r="Q507" s="308">
        <v>234</v>
      </c>
      <c r="R507" s="309">
        <v>59180.431623931625</v>
      </c>
      <c r="S507" s="310">
        <f t="shared" si="172"/>
        <v>13848221</v>
      </c>
      <c r="T507" s="311">
        <v>227</v>
      </c>
      <c r="U507" s="312">
        <v>59716.387665198235</v>
      </c>
      <c r="V507" s="313">
        <f t="shared" si="173"/>
        <v>13555620</v>
      </c>
      <c r="W507" s="308">
        <v>95</v>
      </c>
      <c r="X507" s="309">
        <v>40692.947368421053</v>
      </c>
      <c r="Y507" s="310">
        <f t="shared" si="174"/>
        <v>3865830</v>
      </c>
      <c r="Z507" s="311">
        <v>95</v>
      </c>
      <c r="AA507" s="312">
        <v>40769.863157894739</v>
      </c>
      <c r="AB507" s="313">
        <f t="shared" si="175"/>
        <v>3873137</v>
      </c>
      <c r="AC507" s="308">
        <v>20</v>
      </c>
      <c r="AD507" s="309">
        <v>42663.65</v>
      </c>
      <c r="AE507" s="310">
        <f t="shared" si="176"/>
        <v>853273</v>
      </c>
      <c r="AF507" s="311">
        <v>23</v>
      </c>
      <c r="AG507" s="312">
        <v>44104.086956521736</v>
      </c>
      <c r="AH507" s="313">
        <f t="shared" si="177"/>
        <v>1014393.9999999999</v>
      </c>
      <c r="AI507" s="308"/>
      <c r="AJ507" s="309"/>
      <c r="AK507" s="310">
        <f t="shared" si="178"/>
        <v>0</v>
      </c>
      <c r="AL507" s="311"/>
      <c r="AM507" s="312"/>
      <c r="AN507" s="313">
        <f t="shared" si="179"/>
        <v>0</v>
      </c>
      <c r="AO507" s="308">
        <v>19</v>
      </c>
      <c r="AP507" s="309">
        <v>126156.31578947368</v>
      </c>
      <c r="AQ507" s="310">
        <f t="shared" si="180"/>
        <v>1961200.8540000001</v>
      </c>
      <c r="AR507" s="311">
        <v>23</v>
      </c>
      <c r="AS507" s="312">
        <v>140021.21739130435</v>
      </c>
      <c r="AT507" s="313">
        <f t="shared" si="181"/>
        <v>2635003.2816000003</v>
      </c>
      <c r="AU507" s="308">
        <v>18</v>
      </c>
      <c r="AV507" s="309">
        <v>67823.5</v>
      </c>
      <c r="AW507" s="310">
        <f t="shared" si="182"/>
        <v>998877.37860000005</v>
      </c>
      <c r="AX507" s="311">
        <v>19</v>
      </c>
      <c r="AY507" s="312">
        <v>77558.421052631573</v>
      </c>
      <c r="AZ507" s="313">
        <f t="shared" si="183"/>
        <v>1205707.702</v>
      </c>
      <c r="BA507" s="308">
        <v>14</v>
      </c>
      <c r="BB507" s="309">
        <v>59770.357142857145</v>
      </c>
      <c r="BC507" s="310">
        <f t="shared" si="184"/>
        <v>684657.48700000008</v>
      </c>
      <c r="BD507" s="311">
        <v>15</v>
      </c>
      <c r="BE507" s="312">
        <v>60252.133333333331</v>
      </c>
      <c r="BF507" s="313">
        <f t="shared" si="185"/>
        <v>739474.43240000005</v>
      </c>
      <c r="BG507" s="308">
        <v>11</v>
      </c>
      <c r="BH507" s="309">
        <v>50967</v>
      </c>
      <c r="BI507" s="310">
        <f t="shared" si="186"/>
        <v>458713.19340000005</v>
      </c>
      <c r="BJ507" s="311">
        <v>7</v>
      </c>
      <c r="BK507" s="312">
        <v>88820.142857142855</v>
      </c>
      <c r="BL507" s="313">
        <f t="shared" si="187"/>
        <v>508708.48620000004</v>
      </c>
      <c r="BM507" s="308">
        <v>6</v>
      </c>
      <c r="BN507" s="309">
        <v>41784.166666666664</v>
      </c>
      <c r="BO507" s="310">
        <f t="shared" si="188"/>
        <v>205126.83100000001</v>
      </c>
      <c r="BP507" s="311">
        <v>5</v>
      </c>
      <c r="BQ507" s="312">
        <v>36675</v>
      </c>
      <c r="BR507" s="313">
        <f t="shared" si="189"/>
        <v>150037.42500000002</v>
      </c>
      <c r="BS507" s="308"/>
      <c r="BT507" s="309"/>
      <c r="BU507" s="310">
        <f t="shared" si="190"/>
        <v>0</v>
      </c>
      <c r="BV507" s="311"/>
      <c r="BW507" s="312"/>
      <c r="BX507" s="313">
        <f t="shared" si="191"/>
        <v>0</v>
      </c>
    </row>
    <row r="508" spans="1:76">
      <c r="A508" s="341" t="s">
        <v>409</v>
      </c>
      <c r="B508" s="342" t="s">
        <v>71</v>
      </c>
      <c r="C508" s="341">
        <v>220075</v>
      </c>
      <c r="D508" s="327">
        <v>3</v>
      </c>
      <c r="E508" s="308">
        <v>96</v>
      </c>
      <c r="F508" s="309">
        <v>73578.197916666672</v>
      </c>
      <c r="G508" s="310">
        <f t="shared" si="168"/>
        <v>7063507</v>
      </c>
      <c r="H508" s="311">
        <v>93</v>
      </c>
      <c r="I508" s="312">
        <v>72619.268817204298</v>
      </c>
      <c r="J508" s="313">
        <f t="shared" si="169"/>
        <v>6753592</v>
      </c>
      <c r="K508" s="308">
        <v>117</v>
      </c>
      <c r="L508" s="309">
        <v>58454.743589743586</v>
      </c>
      <c r="M508" s="310">
        <f t="shared" si="170"/>
        <v>6839205</v>
      </c>
      <c r="N508" s="311">
        <v>116</v>
      </c>
      <c r="O508" s="312">
        <v>58540.456896551725</v>
      </c>
      <c r="P508" s="313">
        <f t="shared" si="171"/>
        <v>6790693</v>
      </c>
      <c r="Q508" s="308">
        <v>160</v>
      </c>
      <c r="R508" s="309">
        <v>50538.212500000001</v>
      </c>
      <c r="S508" s="310">
        <f t="shared" si="172"/>
        <v>8086114</v>
      </c>
      <c r="T508" s="311">
        <v>160</v>
      </c>
      <c r="U508" s="312">
        <v>50018.1</v>
      </c>
      <c r="V508" s="313">
        <f t="shared" si="173"/>
        <v>8002896</v>
      </c>
      <c r="W508" s="308">
        <v>24</v>
      </c>
      <c r="X508" s="309">
        <v>40015.75</v>
      </c>
      <c r="Y508" s="310">
        <f t="shared" si="174"/>
        <v>960378</v>
      </c>
      <c r="Z508" s="311">
        <v>20</v>
      </c>
      <c r="AA508" s="312">
        <v>38767.9</v>
      </c>
      <c r="AB508" s="313">
        <f t="shared" si="175"/>
        <v>775358</v>
      </c>
      <c r="AC508" s="308">
        <v>29</v>
      </c>
      <c r="AD508" s="309">
        <v>33766.931034482761</v>
      </c>
      <c r="AE508" s="310">
        <f t="shared" si="176"/>
        <v>979241.00000000012</v>
      </c>
      <c r="AF508" s="311">
        <v>28</v>
      </c>
      <c r="AG508" s="312">
        <v>31684</v>
      </c>
      <c r="AH508" s="313">
        <f t="shared" si="177"/>
        <v>887152</v>
      </c>
      <c r="AI508" s="308"/>
      <c r="AJ508" s="309"/>
      <c r="AK508" s="310">
        <f t="shared" si="178"/>
        <v>0</v>
      </c>
      <c r="AL508" s="311"/>
      <c r="AM508" s="312"/>
      <c r="AN508" s="313">
        <f t="shared" si="179"/>
        <v>0</v>
      </c>
      <c r="AO508" s="308">
        <v>26</v>
      </c>
      <c r="AP508" s="309">
        <v>87779.269230769234</v>
      </c>
      <c r="AQ508" s="310">
        <f t="shared" si="180"/>
        <v>1867345.9502000001</v>
      </c>
      <c r="AR508" s="311">
        <v>29</v>
      </c>
      <c r="AS508" s="312">
        <v>91015.344827586203</v>
      </c>
      <c r="AT508" s="313">
        <f t="shared" si="181"/>
        <v>2159593.8990000002</v>
      </c>
      <c r="AU508" s="308">
        <v>25</v>
      </c>
      <c r="AV508" s="309">
        <v>79761.72</v>
      </c>
      <c r="AW508" s="310">
        <f t="shared" si="182"/>
        <v>1631525.9826</v>
      </c>
      <c r="AX508" s="311">
        <v>26</v>
      </c>
      <c r="AY508" s="312">
        <v>85613.961538461532</v>
      </c>
      <c r="AZ508" s="313">
        <f t="shared" si="183"/>
        <v>1821282.9266000001</v>
      </c>
      <c r="BA508" s="308">
        <v>16</v>
      </c>
      <c r="BB508" s="309">
        <v>61576.5625</v>
      </c>
      <c r="BC508" s="310">
        <f t="shared" si="184"/>
        <v>806111.09500000009</v>
      </c>
      <c r="BD508" s="311">
        <v>28</v>
      </c>
      <c r="BE508" s="312">
        <v>76761.821428571435</v>
      </c>
      <c r="BF508" s="313">
        <f t="shared" si="185"/>
        <v>1758582.6242000002</v>
      </c>
      <c r="BG508" s="308">
        <v>4</v>
      </c>
      <c r="BH508" s="309">
        <v>40693.75</v>
      </c>
      <c r="BI508" s="310">
        <f t="shared" si="186"/>
        <v>133182.505</v>
      </c>
      <c r="BJ508" s="311">
        <v>3</v>
      </c>
      <c r="BK508" s="312">
        <v>48000</v>
      </c>
      <c r="BL508" s="313">
        <f t="shared" si="187"/>
        <v>117820.8</v>
      </c>
      <c r="BM508" s="308">
        <v>2</v>
      </c>
      <c r="BN508" s="309">
        <v>50000</v>
      </c>
      <c r="BO508" s="310">
        <f t="shared" si="188"/>
        <v>81820</v>
      </c>
      <c r="BP508" s="311">
        <v>2</v>
      </c>
      <c r="BQ508" s="312">
        <v>50000</v>
      </c>
      <c r="BR508" s="313">
        <f t="shared" si="189"/>
        <v>81820</v>
      </c>
      <c r="BS508" s="308"/>
      <c r="BT508" s="309"/>
      <c r="BU508" s="310">
        <f t="shared" si="190"/>
        <v>0</v>
      </c>
      <c r="BV508" s="311"/>
      <c r="BW508" s="312"/>
      <c r="BX508" s="313">
        <f t="shared" si="191"/>
        <v>0</v>
      </c>
    </row>
    <row r="509" spans="1:76">
      <c r="A509" s="341" t="s">
        <v>409</v>
      </c>
      <c r="B509" s="342" t="s">
        <v>72</v>
      </c>
      <c r="C509" s="341">
        <v>220978</v>
      </c>
      <c r="D509" s="327">
        <v>3</v>
      </c>
      <c r="E509" s="308">
        <v>294</v>
      </c>
      <c r="F509" s="309">
        <v>81555.265306122456</v>
      </c>
      <c r="G509" s="310">
        <f t="shared" si="168"/>
        <v>23977248.000000004</v>
      </c>
      <c r="H509" s="311">
        <v>296</v>
      </c>
      <c r="I509" s="312">
        <v>82322.341216216213</v>
      </c>
      <c r="J509" s="313">
        <f t="shared" si="169"/>
        <v>24367413</v>
      </c>
      <c r="K509" s="308">
        <v>254</v>
      </c>
      <c r="L509" s="309">
        <v>63048.433070866144</v>
      </c>
      <c r="M509" s="310">
        <f t="shared" si="170"/>
        <v>16014302</v>
      </c>
      <c r="N509" s="311">
        <v>236</v>
      </c>
      <c r="O509" s="312">
        <v>64355.987288135591</v>
      </c>
      <c r="P509" s="313">
        <f t="shared" si="171"/>
        <v>15188013</v>
      </c>
      <c r="Q509" s="308">
        <v>214</v>
      </c>
      <c r="R509" s="309">
        <v>51695.17757009346</v>
      </c>
      <c r="S509" s="310">
        <f t="shared" si="172"/>
        <v>11062768</v>
      </c>
      <c r="T509" s="311">
        <v>232</v>
      </c>
      <c r="U509" s="312">
        <v>52586.336206896551</v>
      </c>
      <c r="V509" s="313">
        <f t="shared" si="173"/>
        <v>12200030</v>
      </c>
      <c r="W509" s="308">
        <v>102</v>
      </c>
      <c r="X509" s="309">
        <v>34522.049019607846</v>
      </c>
      <c r="Y509" s="310">
        <f t="shared" si="174"/>
        <v>3521249.0000000005</v>
      </c>
      <c r="Z509" s="311">
        <v>90</v>
      </c>
      <c r="AA509" s="312">
        <v>35244.422222222223</v>
      </c>
      <c r="AB509" s="313">
        <f t="shared" si="175"/>
        <v>3171998</v>
      </c>
      <c r="AC509" s="308">
        <v>0</v>
      </c>
      <c r="AD509" s="309">
        <v>0</v>
      </c>
      <c r="AE509" s="310">
        <f t="shared" si="176"/>
        <v>0</v>
      </c>
      <c r="AF509" s="311">
        <v>0</v>
      </c>
      <c r="AG509" s="312"/>
      <c r="AH509" s="313">
        <f t="shared" si="177"/>
        <v>0</v>
      </c>
      <c r="AI509" s="308"/>
      <c r="AJ509" s="309"/>
      <c r="AK509" s="310">
        <f t="shared" si="178"/>
        <v>0</v>
      </c>
      <c r="AL509" s="311"/>
      <c r="AM509" s="312"/>
      <c r="AN509" s="313">
        <f t="shared" si="179"/>
        <v>0</v>
      </c>
      <c r="AO509" s="308">
        <v>1</v>
      </c>
      <c r="AP509" s="309">
        <v>114000</v>
      </c>
      <c r="AQ509" s="310">
        <f t="shared" si="180"/>
        <v>93274.8</v>
      </c>
      <c r="AR509" s="311">
        <v>2</v>
      </c>
      <c r="AS509" s="312">
        <v>102661</v>
      </c>
      <c r="AT509" s="313">
        <f t="shared" si="181"/>
        <v>167994.46040000001</v>
      </c>
      <c r="AU509" s="308">
        <v>1</v>
      </c>
      <c r="AV509" s="309">
        <v>66950</v>
      </c>
      <c r="AW509" s="310">
        <f t="shared" si="182"/>
        <v>54778.490000000005</v>
      </c>
      <c r="AX509" s="311">
        <v>1</v>
      </c>
      <c r="AY509" s="312">
        <v>66950</v>
      </c>
      <c r="AZ509" s="313">
        <f t="shared" si="183"/>
        <v>54778.490000000005</v>
      </c>
      <c r="BA509" s="308">
        <v>1</v>
      </c>
      <c r="BB509" s="309">
        <v>72448</v>
      </c>
      <c r="BC509" s="310">
        <f t="shared" si="184"/>
        <v>59276.953600000001</v>
      </c>
      <c r="BD509" s="311">
        <v>1</v>
      </c>
      <c r="BE509" s="312">
        <v>72448</v>
      </c>
      <c r="BF509" s="313">
        <f t="shared" si="185"/>
        <v>59276.953600000001</v>
      </c>
      <c r="BG509" s="308">
        <v>0</v>
      </c>
      <c r="BH509" s="309">
        <v>0</v>
      </c>
      <c r="BI509" s="310">
        <f t="shared" si="186"/>
        <v>0</v>
      </c>
      <c r="BJ509" s="311">
        <v>0</v>
      </c>
      <c r="BK509" s="312"/>
      <c r="BL509" s="313">
        <f t="shared" si="187"/>
        <v>0</v>
      </c>
      <c r="BM509" s="308">
        <v>0</v>
      </c>
      <c r="BN509" s="309">
        <v>0</v>
      </c>
      <c r="BO509" s="310">
        <f t="shared" si="188"/>
        <v>0</v>
      </c>
      <c r="BP509" s="311">
        <v>0</v>
      </c>
      <c r="BQ509" s="312"/>
      <c r="BR509" s="313">
        <f t="shared" si="189"/>
        <v>0</v>
      </c>
      <c r="BS509" s="308"/>
      <c r="BT509" s="309"/>
      <c r="BU509" s="310">
        <f t="shared" si="190"/>
        <v>0</v>
      </c>
      <c r="BV509" s="311"/>
      <c r="BW509" s="312"/>
      <c r="BX509" s="313">
        <f t="shared" si="191"/>
        <v>0</v>
      </c>
    </row>
    <row r="510" spans="1:76">
      <c r="A510" s="341" t="s">
        <v>409</v>
      </c>
      <c r="B510" s="342" t="s">
        <v>73</v>
      </c>
      <c r="C510" s="341">
        <v>221838</v>
      </c>
      <c r="D510" s="327">
        <v>3</v>
      </c>
      <c r="E510" s="308">
        <v>105</v>
      </c>
      <c r="F510" s="309">
        <v>72224.552380952387</v>
      </c>
      <c r="G510" s="310">
        <f t="shared" si="168"/>
        <v>7583578.0000000009</v>
      </c>
      <c r="H510" s="311">
        <v>103</v>
      </c>
      <c r="I510" s="312">
        <v>72921.456310679612</v>
      </c>
      <c r="J510" s="313">
        <f t="shared" si="169"/>
        <v>7510910</v>
      </c>
      <c r="K510" s="308">
        <v>95</v>
      </c>
      <c r="L510" s="309">
        <v>54329.568421052631</v>
      </c>
      <c r="M510" s="310">
        <f t="shared" si="170"/>
        <v>5161309</v>
      </c>
      <c r="N510" s="311">
        <v>93</v>
      </c>
      <c r="O510" s="312">
        <v>57342.483870967742</v>
      </c>
      <c r="P510" s="313">
        <f t="shared" si="171"/>
        <v>5332851</v>
      </c>
      <c r="Q510" s="308">
        <v>117</v>
      </c>
      <c r="R510" s="309">
        <v>49810.102564102563</v>
      </c>
      <c r="S510" s="310">
        <f t="shared" si="172"/>
        <v>5827782</v>
      </c>
      <c r="T510" s="311">
        <v>122</v>
      </c>
      <c r="U510" s="312">
        <v>49699.401639344265</v>
      </c>
      <c r="V510" s="313">
        <f t="shared" si="173"/>
        <v>6063327</v>
      </c>
      <c r="W510" s="308">
        <v>23</v>
      </c>
      <c r="X510" s="309">
        <v>43866.695652173912</v>
      </c>
      <c r="Y510" s="310">
        <f t="shared" si="174"/>
        <v>1008934</v>
      </c>
      <c r="Z510" s="311">
        <v>35</v>
      </c>
      <c r="AA510" s="312">
        <v>40682.485714285714</v>
      </c>
      <c r="AB510" s="313">
        <f t="shared" si="175"/>
        <v>1423887</v>
      </c>
      <c r="AC510" s="308">
        <v>30</v>
      </c>
      <c r="AD510" s="309">
        <v>51061.8</v>
      </c>
      <c r="AE510" s="310">
        <f t="shared" si="176"/>
        <v>1531854</v>
      </c>
      <c r="AF510" s="311">
        <v>0</v>
      </c>
      <c r="AG510" s="312"/>
      <c r="AH510" s="313">
        <f t="shared" si="177"/>
        <v>0</v>
      </c>
      <c r="AI510" s="308"/>
      <c r="AJ510" s="309"/>
      <c r="AK510" s="310">
        <f t="shared" si="178"/>
        <v>0</v>
      </c>
      <c r="AL510" s="311"/>
      <c r="AM510" s="312"/>
      <c r="AN510" s="313">
        <f t="shared" si="179"/>
        <v>0</v>
      </c>
      <c r="AO510" s="308">
        <v>9</v>
      </c>
      <c r="AP510" s="309">
        <v>97749</v>
      </c>
      <c r="AQ510" s="310">
        <f t="shared" si="180"/>
        <v>719804.08620000002</v>
      </c>
      <c r="AR510" s="311">
        <v>10</v>
      </c>
      <c r="AS510" s="312">
        <v>84349</v>
      </c>
      <c r="AT510" s="313">
        <f t="shared" si="181"/>
        <v>690143.51800000004</v>
      </c>
      <c r="AU510" s="308">
        <v>12</v>
      </c>
      <c r="AV510" s="309">
        <v>72401.75</v>
      </c>
      <c r="AW510" s="310">
        <f t="shared" si="182"/>
        <v>710869.34220000007</v>
      </c>
      <c r="AX510" s="311">
        <v>23</v>
      </c>
      <c r="AY510" s="312">
        <v>66783.739130434784</v>
      </c>
      <c r="AZ510" s="313">
        <f t="shared" si="183"/>
        <v>1256776.4732000001</v>
      </c>
      <c r="BA510" s="308">
        <v>20</v>
      </c>
      <c r="BB510" s="309">
        <v>56192.15</v>
      </c>
      <c r="BC510" s="310">
        <f t="shared" si="184"/>
        <v>919528.34260000009</v>
      </c>
      <c r="BD510" s="311">
        <v>40</v>
      </c>
      <c r="BE510" s="312">
        <v>55084.65</v>
      </c>
      <c r="BF510" s="313">
        <f t="shared" si="185"/>
        <v>1802810.4252000002</v>
      </c>
      <c r="BG510" s="308">
        <v>6</v>
      </c>
      <c r="BH510" s="309">
        <v>46746.666666666664</v>
      </c>
      <c r="BI510" s="310">
        <f t="shared" si="186"/>
        <v>229488.736</v>
      </c>
      <c r="BJ510" s="311">
        <v>8</v>
      </c>
      <c r="BK510" s="312">
        <v>49268.25</v>
      </c>
      <c r="BL510" s="313">
        <f t="shared" si="187"/>
        <v>322490.25719999999</v>
      </c>
      <c r="BM510" s="308">
        <v>26</v>
      </c>
      <c r="BN510" s="309">
        <v>57827.307692307695</v>
      </c>
      <c r="BO510" s="310">
        <f t="shared" si="188"/>
        <v>1230171.882</v>
      </c>
      <c r="BP510" s="311">
        <v>0</v>
      </c>
      <c r="BQ510" s="312"/>
      <c r="BR510" s="313">
        <f t="shared" si="189"/>
        <v>0</v>
      </c>
      <c r="BS510" s="308"/>
      <c r="BT510" s="309"/>
      <c r="BU510" s="310">
        <f t="shared" si="190"/>
        <v>0</v>
      </c>
      <c r="BV510" s="311"/>
      <c r="BW510" s="312"/>
      <c r="BX510" s="313">
        <f t="shared" si="191"/>
        <v>0</v>
      </c>
    </row>
    <row r="511" spans="1:76">
      <c r="A511" s="341" t="s">
        <v>409</v>
      </c>
      <c r="B511" s="342" t="s">
        <v>74</v>
      </c>
      <c r="C511" s="341">
        <v>221740</v>
      </c>
      <c r="D511" s="327">
        <v>3</v>
      </c>
      <c r="E511" s="308">
        <v>117</v>
      </c>
      <c r="F511" s="309">
        <v>81316.709401709406</v>
      </c>
      <c r="G511" s="310">
        <f t="shared" si="168"/>
        <v>9514055</v>
      </c>
      <c r="H511" s="311">
        <v>121</v>
      </c>
      <c r="I511" s="312">
        <v>83425.35537190082</v>
      </c>
      <c r="J511" s="313">
        <f t="shared" si="169"/>
        <v>10094468</v>
      </c>
      <c r="K511" s="308">
        <v>76</v>
      </c>
      <c r="L511" s="309">
        <v>65898.789473684214</v>
      </c>
      <c r="M511" s="310">
        <f t="shared" si="170"/>
        <v>5008308</v>
      </c>
      <c r="N511" s="311">
        <v>79</v>
      </c>
      <c r="O511" s="312">
        <v>65795.379746835446</v>
      </c>
      <c r="P511" s="313">
        <f t="shared" si="171"/>
        <v>5197835</v>
      </c>
      <c r="Q511" s="308">
        <v>78</v>
      </c>
      <c r="R511" s="309">
        <v>53052.205128205125</v>
      </c>
      <c r="S511" s="310">
        <f t="shared" si="172"/>
        <v>4138072</v>
      </c>
      <c r="T511" s="311">
        <v>75</v>
      </c>
      <c r="U511" s="312">
        <v>53637.213333333333</v>
      </c>
      <c r="V511" s="313">
        <f t="shared" si="173"/>
        <v>4022791</v>
      </c>
      <c r="W511" s="308">
        <v>6</v>
      </c>
      <c r="X511" s="309">
        <v>40139.166666666664</v>
      </c>
      <c r="Y511" s="310">
        <f t="shared" si="174"/>
        <v>240835</v>
      </c>
      <c r="Z511" s="311">
        <v>5</v>
      </c>
      <c r="AA511" s="312">
        <v>39063</v>
      </c>
      <c r="AB511" s="313">
        <f t="shared" si="175"/>
        <v>195315</v>
      </c>
      <c r="AC511" s="308">
        <v>68</v>
      </c>
      <c r="AD511" s="309">
        <v>34873.5</v>
      </c>
      <c r="AE511" s="310">
        <f t="shared" si="176"/>
        <v>2371398</v>
      </c>
      <c r="AF511" s="311">
        <v>75</v>
      </c>
      <c r="AG511" s="312">
        <v>36480.613333333335</v>
      </c>
      <c r="AH511" s="313">
        <f t="shared" si="177"/>
        <v>2736046</v>
      </c>
      <c r="AI511" s="308"/>
      <c r="AJ511" s="309"/>
      <c r="AK511" s="310">
        <f t="shared" si="178"/>
        <v>0</v>
      </c>
      <c r="AL511" s="311"/>
      <c r="AM511" s="312"/>
      <c r="AN511" s="313">
        <f t="shared" si="179"/>
        <v>0</v>
      </c>
      <c r="AO511" s="308">
        <v>11</v>
      </c>
      <c r="AP511" s="309">
        <v>120614.72727272728</v>
      </c>
      <c r="AQ511" s="310">
        <f t="shared" si="180"/>
        <v>1085556.6684000001</v>
      </c>
      <c r="AR511" s="311">
        <v>9</v>
      </c>
      <c r="AS511" s="312">
        <v>130951.66666666667</v>
      </c>
      <c r="AT511" s="313">
        <f t="shared" si="181"/>
        <v>964301.88300000003</v>
      </c>
      <c r="AU511" s="308">
        <v>9</v>
      </c>
      <c r="AV511" s="309">
        <v>68588.222222222219</v>
      </c>
      <c r="AW511" s="310">
        <f t="shared" si="182"/>
        <v>505069.95080000005</v>
      </c>
      <c r="AX511" s="311">
        <v>9</v>
      </c>
      <c r="AY511" s="312">
        <v>68954.888888888891</v>
      </c>
      <c r="AZ511" s="313">
        <f t="shared" si="183"/>
        <v>507770.01080000005</v>
      </c>
      <c r="BA511" s="308">
        <v>8</v>
      </c>
      <c r="BB511" s="309">
        <v>58263</v>
      </c>
      <c r="BC511" s="310">
        <f t="shared" si="184"/>
        <v>381366.2928</v>
      </c>
      <c r="BD511" s="311">
        <v>10</v>
      </c>
      <c r="BE511" s="312">
        <v>61283</v>
      </c>
      <c r="BF511" s="313">
        <f t="shared" si="185"/>
        <v>501417.50600000005</v>
      </c>
      <c r="BG511" s="308">
        <v>1</v>
      </c>
      <c r="BH511" s="309">
        <v>67980</v>
      </c>
      <c r="BI511" s="310">
        <f t="shared" si="186"/>
        <v>55621.236000000004</v>
      </c>
      <c r="BJ511" s="311">
        <v>1</v>
      </c>
      <c r="BK511" s="312">
        <v>38000</v>
      </c>
      <c r="BL511" s="313">
        <f t="shared" si="187"/>
        <v>31091.600000000002</v>
      </c>
      <c r="BM511" s="308"/>
      <c r="BN511" s="309"/>
      <c r="BO511" s="310">
        <f t="shared" si="188"/>
        <v>0</v>
      </c>
      <c r="BP511" s="311">
        <v>3</v>
      </c>
      <c r="BQ511" s="312">
        <v>36700</v>
      </c>
      <c r="BR511" s="313">
        <f t="shared" si="189"/>
        <v>90083.82</v>
      </c>
      <c r="BS511" s="308"/>
      <c r="BT511" s="309"/>
      <c r="BU511" s="310">
        <f t="shared" si="190"/>
        <v>0</v>
      </c>
      <c r="BV511" s="311"/>
      <c r="BW511" s="312"/>
      <c r="BX511" s="313">
        <f t="shared" si="191"/>
        <v>0</v>
      </c>
    </row>
    <row r="512" spans="1:76">
      <c r="A512" s="341" t="s">
        <v>409</v>
      </c>
      <c r="B512" s="343" t="s">
        <v>75</v>
      </c>
      <c r="C512" s="341">
        <v>219602</v>
      </c>
      <c r="D512" s="327">
        <v>4</v>
      </c>
      <c r="E512" s="308">
        <v>92</v>
      </c>
      <c r="F512" s="309">
        <v>69534.978260869568</v>
      </c>
      <c r="G512" s="310">
        <f t="shared" si="168"/>
        <v>6397218</v>
      </c>
      <c r="H512" s="311">
        <v>98</v>
      </c>
      <c r="I512" s="312">
        <v>68901.306122448979</v>
      </c>
      <c r="J512" s="313">
        <f t="shared" si="169"/>
        <v>6752328</v>
      </c>
      <c r="K512" s="308">
        <v>58</v>
      </c>
      <c r="L512" s="309">
        <v>59945.879310344826</v>
      </c>
      <c r="M512" s="310">
        <f t="shared" si="170"/>
        <v>3476861</v>
      </c>
      <c r="N512" s="311">
        <v>66</v>
      </c>
      <c r="O512" s="312">
        <v>57095.606060606064</v>
      </c>
      <c r="P512" s="313">
        <f t="shared" si="171"/>
        <v>3768310</v>
      </c>
      <c r="Q512" s="308">
        <v>104</v>
      </c>
      <c r="R512" s="309">
        <v>47386.519230769234</v>
      </c>
      <c r="S512" s="310">
        <f t="shared" si="172"/>
        <v>4928198</v>
      </c>
      <c r="T512" s="311">
        <v>107</v>
      </c>
      <c r="U512" s="312">
        <v>45495.82242990654</v>
      </c>
      <c r="V512" s="313">
        <f t="shared" si="173"/>
        <v>4868053</v>
      </c>
      <c r="W512" s="308">
        <v>24</v>
      </c>
      <c r="X512" s="309">
        <v>33801.125</v>
      </c>
      <c r="Y512" s="310">
        <f t="shared" si="174"/>
        <v>811227</v>
      </c>
      <c r="Z512" s="311">
        <v>22</v>
      </c>
      <c r="AA512" s="312">
        <v>34028.227272727272</v>
      </c>
      <c r="AB512" s="313">
        <f t="shared" si="175"/>
        <v>748621</v>
      </c>
      <c r="AC512" s="308">
        <v>4</v>
      </c>
      <c r="AD512" s="309">
        <v>34506</v>
      </c>
      <c r="AE512" s="310">
        <f t="shared" si="176"/>
        <v>138024</v>
      </c>
      <c r="AF512" s="311">
        <v>5</v>
      </c>
      <c r="AG512" s="312">
        <v>33373.4</v>
      </c>
      <c r="AH512" s="313">
        <f t="shared" si="177"/>
        <v>166867</v>
      </c>
      <c r="AI512" s="308"/>
      <c r="AJ512" s="309"/>
      <c r="AK512" s="310">
        <f t="shared" si="178"/>
        <v>0</v>
      </c>
      <c r="AL512" s="311"/>
      <c r="AM512" s="312"/>
      <c r="AN512" s="313">
        <f t="shared" si="179"/>
        <v>0</v>
      </c>
      <c r="AO512" s="308">
        <v>3</v>
      </c>
      <c r="AP512" s="309">
        <v>88887.333333333328</v>
      </c>
      <c r="AQ512" s="310">
        <f t="shared" si="180"/>
        <v>218182.84840000002</v>
      </c>
      <c r="AR512" s="311">
        <v>3</v>
      </c>
      <c r="AS512" s="312">
        <v>90168</v>
      </c>
      <c r="AT512" s="313">
        <f t="shared" si="181"/>
        <v>221326.37280000001</v>
      </c>
      <c r="AU512" s="308">
        <v>1</v>
      </c>
      <c r="AV512" s="309">
        <v>92098</v>
      </c>
      <c r="AW512" s="310">
        <f t="shared" si="182"/>
        <v>75354.583599999998</v>
      </c>
      <c r="AX512" s="311">
        <v>1</v>
      </c>
      <c r="AY512" s="312">
        <v>92098</v>
      </c>
      <c r="AZ512" s="313">
        <f t="shared" si="183"/>
        <v>75354.583599999998</v>
      </c>
      <c r="BA512" s="308">
        <v>0</v>
      </c>
      <c r="BB512" s="309">
        <v>0</v>
      </c>
      <c r="BC512" s="310">
        <f t="shared" si="184"/>
        <v>0</v>
      </c>
      <c r="BD512" s="311">
        <v>0</v>
      </c>
      <c r="BE512" s="312"/>
      <c r="BF512" s="313">
        <f t="shared" si="185"/>
        <v>0</v>
      </c>
      <c r="BG512" s="308">
        <v>0</v>
      </c>
      <c r="BH512" s="309">
        <v>0</v>
      </c>
      <c r="BI512" s="310">
        <f t="shared" si="186"/>
        <v>0</v>
      </c>
      <c r="BJ512" s="311">
        <v>0</v>
      </c>
      <c r="BK512" s="312"/>
      <c r="BL512" s="313">
        <f t="shared" si="187"/>
        <v>0</v>
      </c>
      <c r="BM512" s="308"/>
      <c r="BN512" s="309"/>
      <c r="BO512" s="310">
        <f t="shared" si="188"/>
        <v>0</v>
      </c>
      <c r="BP512" s="311"/>
      <c r="BQ512" s="312"/>
      <c r="BR512" s="313">
        <f t="shared" si="189"/>
        <v>0</v>
      </c>
      <c r="BS512" s="308"/>
      <c r="BT512" s="309"/>
      <c r="BU512" s="310">
        <f t="shared" si="190"/>
        <v>0</v>
      </c>
      <c r="BV512" s="311"/>
      <c r="BW512" s="312"/>
      <c r="BX512" s="313">
        <f t="shared" si="191"/>
        <v>0</v>
      </c>
    </row>
    <row r="513" spans="1:76">
      <c r="A513" s="341" t="s">
        <v>409</v>
      </c>
      <c r="B513" s="343" t="s">
        <v>76</v>
      </c>
      <c r="C513" s="341">
        <v>221847</v>
      </c>
      <c r="D513" s="327">
        <v>4</v>
      </c>
      <c r="E513" s="308">
        <v>143</v>
      </c>
      <c r="F513" s="309">
        <v>76239.370629370635</v>
      </c>
      <c r="G513" s="310">
        <f t="shared" si="168"/>
        <v>10902230</v>
      </c>
      <c r="H513" s="311">
        <v>144</v>
      </c>
      <c r="I513" s="312">
        <v>77362.222222222219</v>
      </c>
      <c r="J513" s="313">
        <f t="shared" si="169"/>
        <v>11140160</v>
      </c>
      <c r="K513" s="308">
        <v>86</v>
      </c>
      <c r="L513" s="309">
        <v>62859.41860465116</v>
      </c>
      <c r="M513" s="310">
        <f t="shared" si="170"/>
        <v>5405910</v>
      </c>
      <c r="N513" s="311">
        <v>79</v>
      </c>
      <c r="O513" s="312">
        <v>64718.443037974685</v>
      </c>
      <c r="P513" s="313">
        <f t="shared" si="171"/>
        <v>5112757</v>
      </c>
      <c r="Q513" s="308">
        <v>88</v>
      </c>
      <c r="R513" s="309">
        <v>51667.272727272728</v>
      </c>
      <c r="S513" s="310">
        <f t="shared" si="172"/>
        <v>4546720</v>
      </c>
      <c r="T513" s="311">
        <v>88</v>
      </c>
      <c r="U513" s="312">
        <v>52363.63636363636</v>
      </c>
      <c r="V513" s="313">
        <f t="shared" si="173"/>
        <v>4608000</v>
      </c>
      <c r="W513" s="308">
        <v>41</v>
      </c>
      <c r="X513" s="309">
        <v>37661.951219512193</v>
      </c>
      <c r="Y513" s="310">
        <f t="shared" si="174"/>
        <v>1544140</v>
      </c>
      <c r="Z513" s="311">
        <v>45</v>
      </c>
      <c r="AA513" s="312">
        <v>38531.333333333336</v>
      </c>
      <c r="AB513" s="313">
        <f t="shared" si="175"/>
        <v>1733910</v>
      </c>
      <c r="AC513" s="308">
        <v>0</v>
      </c>
      <c r="AD513" s="309">
        <v>0</v>
      </c>
      <c r="AE513" s="310">
        <f t="shared" si="176"/>
        <v>0</v>
      </c>
      <c r="AF513" s="311">
        <v>0</v>
      </c>
      <c r="AG513" s="312"/>
      <c r="AH513" s="313">
        <f t="shared" si="177"/>
        <v>0</v>
      </c>
      <c r="AI513" s="308"/>
      <c r="AJ513" s="309"/>
      <c r="AK513" s="310">
        <f t="shared" si="178"/>
        <v>0</v>
      </c>
      <c r="AL513" s="311"/>
      <c r="AM513" s="312"/>
      <c r="AN513" s="313">
        <f t="shared" si="179"/>
        <v>0</v>
      </c>
      <c r="AO513" s="308">
        <v>2</v>
      </c>
      <c r="AP513" s="309">
        <v>84155</v>
      </c>
      <c r="AQ513" s="310">
        <f t="shared" si="180"/>
        <v>137711.242</v>
      </c>
      <c r="AR513" s="311">
        <v>3</v>
      </c>
      <c r="AS513" s="312">
        <v>82636.666666666672</v>
      </c>
      <c r="AT513" s="313">
        <f t="shared" si="181"/>
        <v>202839.962</v>
      </c>
      <c r="AU513" s="308">
        <v>7</v>
      </c>
      <c r="AV513" s="309">
        <v>67295.71428571429</v>
      </c>
      <c r="AW513" s="310">
        <f t="shared" si="182"/>
        <v>385429.47400000005</v>
      </c>
      <c r="AX513" s="311">
        <v>6</v>
      </c>
      <c r="AY513" s="312">
        <v>61688.333333333336</v>
      </c>
      <c r="AZ513" s="313">
        <f t="shared" si="183"/>
        <v>302840.36600000004</v>
      </c>
      <c r="BA513" s="308">
        <v>6</v>
      </c>
      <c r="BB513" s="309">
        <v>54493.333333333336</v>
      </c>
      <c r="BC513" s="310">
        <f t="shared" si="184"/>
        <v>267518.67200000002</v>
      </c>
      <c r="BD513" s="311">
        <v>3</v>
      </c>
      <c r="BE513" s="312">
        <v>53700</v>
      </c>
      <c r="BF513" s="313">
        <f t="shared" si="185"/>
        <v>131812.02000000002</v>
      </c>
      <c r="BG513" s="308">
        <v>0</v>
      </c>
      <c r="BH513" s="309">
        <v>0</v>
      </c>
      <c r="BI513" s="310">
        <f t="shared" si="186"/>
        <v>0</v>
      </c>
      <c r="BJ513" s="311">
        <v>0</v>
      </c>
      <c r="BK513" s="312"/>
      <c r="BL513" s="313">
        <f t="shared" si="187"/>
        <v>0</v>
      </c>
      <c r="BM513" s="308"/>
      <c r="BN513" s="309"/>
      <c r="BO513" s="310">
        <f t="shared" si="188"/>
        <v>0</v>
      </c>
      <c r="BP513" s="311"/>
      <c r="BQ513" s="312"/>
      <c r="BR513" s="313">
        <f t="shared" si="189"/>
        <v>0</v>
      </c>
      <c r="BS513" s="308"/>
      <c r="BT513" s="309"/>
      <c r="BU513" s="310">
        <f t="shared" si="190"/>
        <v>0</v>
      </c>
      <c r="BV513" s="311"/>
      <c r="BW513" s="312"/>
      <c r="BX513" s="313">
        <f t="shared" si="191"/>
        <v>0</v>
      </c>
    </row>
    <row r="514" spans="1:76" ht="13.5" customHeight="1">
      <c r="A514" s="341" t="s">
        <v>409</v>
      </c>
      <c r="B514" s="342" t="s">
        <v>77</v>
      </c>
      <c r="C514" s="341">
        <v>221768</v>
      </c>
      <c r="D514" s="327">
        <v>5</v>
      </c>
      <c r="E514" s="308">
        <v>61</v>
      </c>
      <c r="F514" s="309">
        <v>73793.901639344258</v>
      </c>
      <c r="G514" s="310">
        <f t="shared" si="168"/>
        <v>4501428</v>
      </c>
      <c r="H514" s="311">
        <v>56</v>
      </c>
      <c r="I514" s="312">
        <v>71310.017857142855</v>
      </c>
      <c r="J514" s="313">
        <f t="shared" si="169"/>
        <v>3993361</v>
      </c>
      <c r="K514" s="308">
        <v>29</v>
      </c>
      <c r="L514" s="309">
        <v>57458.793103448275</v>
      </c>
      <c r="M514" s="310">
        <f t="shared" si="170"/>
        <v>1666305</v>
      </c>
      <c r="N514" s="311">
        <v>31</v>
      </c>
      <c r="O514" s="312">
        <v>53656.06451612903</v>
      </c>
      <c r="P514" s="313">
        <f t="shared" si="171"/>
        <v>1663338</v>
      </c>
      <c r="Q514" s="308">
        <v>93</v>
      </c>
      <c r="R514" s="309">
        <v>52612.913978494624</v>
      </c>
      <c r="S514" s="310">
        <f t="shared" si="172"/>
        <v>4893001</v>
      </c>
      <c r="T514" s="311">
        <v>84</v>
      </c>
      <c r="U514" s="312">
        <v>53241.75</v>
      </c>
      <c r="V514" s="313">
        <f t="shared" si="173"/>
        <v>4472307</v>
      </c>
      <c r="W514" s="308">
        <v>22</v>
      </c>
      <c r="X514" s="309">
        <v>45547.727272727272</v>
      </c>
      <c r="Y514" s="310">
        <f t="shared" si="174"/>
        <v>1002050</v>
      </c>
      <c r="Z514" s="311">
        <v>21</v>
      </c>
      <c r="AA514" s="312">
        <v>44882.857142857145</v>
      </c>
      <c r="AB514" s="313">
        <f t="shared" si="175"/>
        <v>942540</v>
      </c>
      <c r="AC514" s="308">
        <v>29</v>
      </c>
      <c r="AD514" s="309">
        <v>40941.103448275862</v>
      </c>
      <c r="AE514" s="310">
        <f t="shared" si="176"/>
        <v>1187292</v>
      </c>
      <c r="AF514" s="311">
        <v>44</v>
      </c>
      <c r="AG514" s="312">
        <v>39375</v>
      </c>
      <c r="AH514" s="313">
        <f t="shared" si="177"/>
        <v>1732500</v>
      </c>
      <c r="AI514" s="308"/>
      <c r="AJ514" s="309"/>
      <c r="AK514" s="310">
        <f t="shared" si="178"/>
        <v>0</v>
      </c>
      <c r="AL514" s="311"/>
      <c r="AM514" s="312"/>
      <c r="AN514" s="313">
        <f t="shared" si="179"/>
        <v>0</v>
      </c>
      <c r="AO514" s="308">
        <v>16</v>
      </c>
      <c r="AP514" s="309">
        <v>94421.0625</v>
      </c>
      <c r="AQ514" s="310">
        <f t="shared" si="180"/>
        <v>1236085.0134000001</v>
      </c>
      <c r="AR514" s="311">
        <v>18</v>
      </c>
      <c r="AS514" s="312">
        <v>91169.222222222219</v>
      </c>
      <c r="AT514" s="313">
        <f t="shared" si="181"/>
        <v>1342703.8372</v>
      </c>
      <c r="AU514" s="308">
        <v>8</v>
      </c>
      <c r="AV514" s="309">
        <v>71376</v>
      </c>
      <c r="AW514" s="310">
        <f t="shared" si="182"/>
        <v>467198.74560000002</v>
      </c>
      <c r="AX514" s="311">
        <v>8</v>
      </c>
      <c r="AY514" s="312">
        <v>70150</v>
      </c>
      <c r="AZ514" s="313">
        <f t="shared" si="183"/>
        <v>459173.84</v>
      </c>
      <c r="BA514" s="308">
        <v>4</v>
      </c>
      <c r="BB514" s="309">
        <v>61455.5</v>
      </c>
      <c r="BC514" s="310">
        <f t="shared" si="184"/>
        <v>201131.56040000002</v>
      </c>
      <c r="BD514" s="311">
        <v>3</v>
      </c>
      <c r="BE514" s="312">
        <v>63382.333333333336</v>
      </c>
      <c r="BF514" s="313">
        <f t="shared" si="185"/>
        <v>155578.27540000001</v>
      </c>
      <c r="BG514" s="308">
        <v>3</v>
      </c>
      <c r="BH514" s="309">
        <v>48471.666666666664</v>
      </c>
      <c r="BI514" s="310">
        <f t="shared" si="186"/>
        <v>118978.553</v>
      </c>
      <c r="BJ514" s="311">
        <v>3</v>
      </c>
      <c r="BK514" s="312">
        <v>46218.333333333336</v>
      </c>
      <c r="BL514" s="313">
        <f t="shared" si="187"/>
        <v>113447.52100000001</v>
      </c>
      <c r="BM514" s="308"/>
      <c r="BN514" s="309"/>
      <c r="BO514" s="310">
        <f t="shared" si="188"/>
        <v>0</v>
      </c>
      <c r="BP514" s="311"/>
      <c r="BQ514" s="312"/>
      <c r="BR514" s="313">
        <f t="shared" si="189"/>
        <v>0</v>
      </c>
      <c r="BS514" s="308"/>
      <c r="BT514" s="309"/>
      <c r="BU514" s="310">
        <f t="shared" si="190"/>
        <v>0</v>
      </c>
      <c r="BV514" s="311"/>
      <c r="BW514" s="312"/>
      <c r="BX514" s="313">
        <f t="shared" si="191"/>
        <v>0</v>
      </c>
    </row>
    <row r="515" spans="1:76">
      <c r="A515" s="341" t="s">
        <v>409</v>
      </c>
      <c r="B515" s="342" t="s">
        <v>78</v>
      </c>
      <c r="C515" s="341">
        <v>219824</v>
      </c>
      <c r="D515" s="327">
        <v>8</v>
      </c>
      <c r="E515" s="308">
        <v>19</v>
      </c>
      <c r="F515" s="309">
        <v>58682.315789473687</v>
      </c>
      <c r="G515" s="310">
        <f t="shared" si="168"/>
        <v>1114964</v>
      </c>
      <c r="H515" s="311">
        <v>19</v>
      </c>
      <c r="I515" s="312">
        <v>59103.947368421053</v>
      </c>
      <c r="J515" s="313">
        <f t="shared" si="169"/>
        <v>1122975</v>
      </c>
      <c r="K515" s="308">
        <v>76</v>
      </c>
      <c r="L515" s="309">
        <v>49734.17105263158</v>
      </c>
      <c r="M515" s="310">
        <f t="shared" si="170"/>
        <v>3779797</v>
      </c>
      <c r="N515" s="311">
        <v>78</v>
      </c>
      <c r="O515" s="312">
        <v>49885.179487179485</v>
      </c>
      <c r="P515" s="313">
        <f t="shared" si="171"/>
        <v>3891044</v>
      </c>
      <c r="Q515" s="308">
        <v>36</v>
      </c>
      <c r="R515" s="309">
        <v>43585.416666666664</v>
      </c>
      <c r="S515" s="310">
        <f t="shared" si="172"/>
        <v>1569075</v>
      </c>
      <c r="T515" s="311">
        <v>33</v>
      </c>
      <c r="U515" s="312">
        <v>44602.696969696968</v>
      </c>
      <c r="V515" s="313">
        <f t="shared" si="173"/>
        <v>1471889</v>
      </c>
      <c r="W515" s="308">
        <v>21</v>
      </c>
      <c r="X515" s="309">
        <v>41642.238095238092</v>
      </c>
      <c r="Y515" s="310">
        <f t="shared" si="174"/>
        <v>874486.99999999988</v>
      </c>
      <c r="Z515" s="311">
        <v>21</v>
      </c>
      <c r="AA515" s="312">
        <v>42228.285714285717</v>
      </c>
      <c r="AB515" s="313">
        <f t="shared" si="175"/>
        <v>886794.00000000012</v>
      </c>
      <c r="AC515" s="308">
        <v>0</v>
      </c>
      <c r="AD515" s="309">
        <v>0</v>
      </c>
      <c r="AE515" s="310">
        <f t="shared" si="176"/>
        <v>0</v>
      </c>
      <c r="AF515" s="311">
        <v>1</v>
      </c>
      <c r="AG515" s="312">
        <v>46535</v>
      </c>
      <c r="AH515" s="313">
        <f t="shared" si="177"/>
        <v>46535</v>
      </c>
      <c r="AI515" s="308"/>
      <c r="AJ515" s="309"/>
      <c r="AK515" s="310">
        <f t="shared" si="178"/>
        <v>0</v>
      </c>
      <c r="AL515" s="311"/>
      <c r="AM515" s="312"/>
      <c r="AN515" s="313">
        <f t="shared" si="179"/>
        <v>0</v>
      </c>
      <c r="AO515" s="308">
        <v>2</v>
      </c>
      <c r="AP515" s="309">
        <v>73313.5</v>
      </c>
      <c r="AQ515" s="310">
        <f t="shared" si="180"/>
        <v>119970.2114</v>
      </c>
      <c r="AR515" s="311">
        <v>3</v>
      </c>
      <c r="AS515" s="312">
        <v>78324</v>
      </c>
      <c r="AT515" s="313">
        <f t="shared" si="181"/>
        <v>192254.09040000002</v>
      </c>
      <c r="AU515" s="308">
        <v>12</v>
      </c>
      <c r="AV515" s="309">
        <v>62300.916666666664</v>
      </c>
      <c r="AW515" s="310">
        <f t="shared" si="182"/>
        <v>611695.32020000007</v>
      </c>
      <c r="AX515" s="311">
        <v>13</v>
      </c>
      <c r="AY515" s="312">
        <v>64099.230769230766</v>
      </c>
      <c r="AZ515" s="313">
        <f t="shared" si="183"/>
        <v>681797.87800000003</v>
      </c>
      <c r="BA515" s="308">
        <v>8</v>
      </c>
      <c r="BB515" s="309">
        <v>55126.75</v>
      </c>
      <c r="BC515" s="310">
        <f t="shared" si="184"/>
        <v>360837.65480000002</v>
      </c>
      <c r="BD515" s="311">
        <v>9</v>
      </c>
      <c r="BE515" s="312">
        <v>55950.444444444445</v>
      </c>
      <c r="BF515" s="313">
        <f t="shared" si="185"/>
        <v>412007.88280000002</v>
      </c>
      <c r="BG515" s="308">
        <v>36</v>
      </c>
      <c r="BH515" s="309">
        <v>49333.694444444445</v>
      </c>
      <c r="BI515" s="310">
        <f t="shared" si="186"/>
        <v>1453133.8366</v>
      </c>
      <c r="BJ515" s="311">
        <v>35</v>
      </c>
      <c r="BK515" s="312">
        <v>48108.6</v>
      </c>
      <c r="BL515" s="313">
        <f t="shared" si="187"/>
        <v>1377685.9782</v>
      </c>
      <c r="BM515" s="308"/>
      <c r="BN515" s="309"/>
      <c r="BO515" s="310">
        <f t="shared" si="188"/>
        <v>0</v>
      </c>
      <c r="BP515" s="311"/>
      <c r="BQ515" s="312"/>
      <c r="BR515" s="313">
        <f t="shared" si="189"/>
        <v>0</v>
      </c>
      <c r="BS515" s="308"/>
      <c r="BT515" s="309"/>
      <c r="BU515" s="310">
        <f t="shared" si="190"/>
        <v>0</v>
      </c>
      <c r="BV515" s="311"/>
      <c r="BW515" s="312"/>
      <c r="BX515" s="313">
        <f t="shared" si="191"/>
        <v>0</v>
      </c>
    </row>
    <row r="516" spans="1:76">
      <c r="A516" s="341" t="s">
        <v>409</v>
      </c>
      <c r="B516" s="342" t="s">
        <v>79</v>
      </c>
      <c r="C516" s="341">
        <v>221643</v>
      </c>
      <c r="D516" s="327">
        <v>8</v>
      </c>
      <c r="E516" s="308">
        <v>35</v>
      </c>
      <c r="F516" s="309">
        <v>57575.199999999997</v>
      </c>
      <c r="G516" s="310">
        <f t="shared" si="168"/>
        <v>2015132</v>
      </c>
      <c r="H516" s="311">
        <v>37</v>
      </c>
      <c r="I516" s="312">
        <v>58799.729729729726</v>
      </c>
      <c r="J516" s="313">
        <f t="shared" si="169"/>
        <v>2175590</v>
      </c>
      <c r="K516" s="308">
        <v>117</v>
      </c>
      <c r="L516" s="309">
        <v>49839.51282051282</v>
      </c>
      <c r="M516" s="310">
        <f t="shared" si="170"/>
        <v>5831223</v>
      </c>
      <c r="N516" s="311">
        <v>111</v>
      </c>
      <c r="O516" s="312">
        <v>50799.189189189186</v>
      </c>
      <c r="P516" s="313">
        <f t="shared" si="171"/>
        <v>5638710</v>
      </c>
      <c r="Q516" s="308">
        <v>14</v>
      </c>
      <c r="R516" s="309">
        <v>42282.857142857145</v>
      </c>
      <c r="S516" s="310">
        <f t="shared" si="172"/>
        <v>591960</v>
      </c>
      <c r="T516" s="311">
        <v>15</v>
      </c>
      <c r="U516" s="312">
        <v>41317.333333333336</v>
      </c>
      <c r="V516" s="313">
        <f t="shared" si="173"/>
        <v>619760</v>
      </c>
      <c r="W516" s="308">
        <v>20</v>
      </c>
      <c r="X516" s="309">
        <v>38707.15</v>
      </c>
      <c r="Y516" s="310">
        <f t="shared" si="174"/>
        <v>774143</v>
      </c>
      <c r="Z516" s="311">
        <v>22</v>
      </c>
      <c r="AA516" s="312">
        <v>36030.909090909088</v>
      </c>
      <c r="AB516" s="313">
        <f t="shared" si="175"/>
        <v>792680</v>
      </c>
      <c r="AC516" s="308">
        <v>4</v>
      </c>
      <c r="AD516" s="309">
        <v>37440</v>
      </c>
      <c r="AE516" s="310">
        <f t="shared" si="176"/>
        <v>149760</v>
      </c>
      <c r="AF516" s="311"/>
      <c r="AG516" s="312"/>
      <c r="AH516" s="313">
        <f t="shared" si="177"/>
        <v>0</v>
      </c>
      <c r="AI516" s="308"/>
      <c r="AJ516" s="309"/>
      <c r="AK516" s="310">
        <f t="shared" si="178"/>
        <v>0</v>
      </c>
      <c r="AL516" s="311"/>
      <c r="AM516" s="312"/>
      <c r="AN516" s="313">
        <f t="shared" si="179"/>
        <v>0</v>
      </c>
      <c r="AO516" s="308">
        <v>0</v>
      </c>
      <c r="AP516" s="309">
        <v>0</v>
      </c>
      <c r="AQ516" s="310">
        <f t="shared" si="180"/>
        <v>0</v>
      </c>
      <c r="AR516" s="311">
        <v>0</v>
      </c>
      <c r="AS516" s="312"/>
      <c r="AT516" s="313">
        <f t="shared" si="181"/>
        <v>0</v>
      </c>
      <c r="AU516" s="308">
        <v>0</v>
      </c>
      <c r="AV516" s="309">
        <v>0</v>
      </c>
      <c r="AW516" s="310">
        <f t="shared" si="182"/>
        <v>0</v>
      </c>
      <c r="AX516" s="311">
        <v>0</v>
      </c>
      <c r="AY516" s="312"/>
      <c r="AZ516" s="313">
        <f t="shared" si="183"/>
        <v>0</v>
      </c>
      <c r="BA516" s="308">
        <v>0</v>
      </c>
      <c r="BB516" s="309">
        <v>0</v>
      </c>
      <c r="BC516" s="310">
        <f t="shared" si="184"/>
        <v>0</v>
      </c>
      <c r="BD516" s="311">
        <v>0</v>
      </c>
      <c r="BE516" s="312"/>
      <c r="BF516" s="313">
        <f t="shared" si="185"/>
        <v>0</v>
      </c>
      <c r="BG516" s="308">
        <v>0</v>
      </c>
      <c r="BH516" s="309">
        <v>0</v>
      </c>
      <c r="BI516" s="310">
        <f t="shared" si="186"/>
        <v>0</v>
      </c>
      <c r="BJ516" s="311">
        <v>0</v>
      </c>
      <c r="BK516" s="312"/>
      <c r="BL516" s="313">
        <f t="shared" si="187"/>
        <v>0</v>
      </c>
      <c r="BM516" s="308"/>
      <c r="BN516" s="309"/>
      <c r="BO516" s="310">
        <f t="shared" si="188"/>
        <v>0</v>
      </c>
      <c r="BP516" s="311"/>
      <c r="BQ516" s="312"/>
      <c r="BR516" s="313">
        <f t="shared" si="189"/>
        <v>0</v>
      </c>
      <c r="BS516" s="308"/>
      <c r="BT516" s="309"/>
      <c r="BU516" s="310">
        <f t="shared" si="190"/>
        <v>0</v>
      </c>
      <c r="BV516" s="311"/>
      <c r="BW516" s="312"/>
      <c r="BX516" s="313">
        <f t="shared" si="191"/>
        <v>0</v>
      </c>
    </row>
    <row r="517" spans="1:76">
      <c r="A517" s="341" t="s">
        <v>409</v>
      </c>
      <c r="B517" s="342" t="s">
        <v>80</v>
      </c>
      <c r="C517" s="341">
        <v>221485</v>
      </c>
      <c r="D517" s="327">
        <v>8</v>
      </c>
      <c r="E517" s="308">
        <v>16</v>
      </c>
      <c r="F517" s="309">
        <v>61848.75</v>
      </c>
      <c r="G517" s="310">
        <f t="shared" si="168"/>
        <v>989580</v>
      </c>
      <c r="H517" s="311">
        <v>20</v>
      </c>
      <c r="I517" s="312">
        <v>61173.95</v>
      </c>
      <c r="J517" s="313">
        <f t="shared" si="169"/>
        <v>1223479</v>
      </c>
      <c r="K517" s="308">
        <v>83</v>
      </c>
      <c r="L517" s="309">
        <v>51352.337349397589</v>
      </c>
      <c r="M517" s="310">
        <f t="shared" si="170"/>
        <v>4262244</v>
      </c>
      <c r="N517" s="311">
        <v>83</v>
      </c>
      <c r="O517" s="312">
        <v>50411.566265060239</v>
      </c>
      <c r="P517" s="313">
        <f t="shared" si="171"/>
        <v>4184160</v>
      </c>
      <c r="Q517" s="308">
        <v>45</v>
      </c>
      <c r="R517" s="309">
        <v>41238.400000000001</v>
      </c>
      <c r="S517" s="310">
        <f t="shared" si="172"/>
        <v>1855728</v>
      </c>
      <c r="T517" s="311">
        <v>48</v>
      </c>
      <c r="U517" s="312">
        <v>40708.75</v>
      </c>
      <c r="V517" s="313">
        <f t="shared" si="173"/>
        <v>1954020</v>
      </c>
      <c r="W517" s="308">
        <v>29</v>
      </c>
      <c r="X517" s="309">
        <v>36202.758620689652</v>
      </c>
      <c r="Y517" s="310">
        <f t="shared" si="174"/>
        <v>1049880</v>
      </c>
      <c r="Z517" s="311">
        <v>32</v>
      </c>
      <c r="AA517" s="312">
        <v>36009.09375</v>
      </c>
      <c r="AB517" s="313">
        <f t="shared" si="175"/>
        <v>1152291</v>
      </c>
      <c r="AC517" s="308"/>
      <c r="AD517" s="309"/>
      <c r="AE517" s="310">
        <f t="shared" si="176"/>
        <v>0</v>
      </c>
      <c r="AF517" s="311"/>
      <c r="AG517" s="312"/>
      <c r="AH517" s="313">
        <f t="shared" si="177"/>
        <v>0</v>
      </c>
      <c r="AI517" s="308"/>
      <c r="AJ517" s="309"/>
      <c r="AK517" s="310">
        <f t="shared" si="178"/>
        <v>0</v>
      </c>
      <c r="AL517" s="311"/>
      <c r="AM517" s="312"/>
      <c r="AN517" s="313">
        <f t="shared" si="179"/>
        <v>0</v>
      </c>
      <c r="AO517" s="308">
        <v>13</v>
      </c>
      <c r="AP517" s="309">
        <v>78962.769230769234</v>
      </c>
      <c r="AQ517" s="310">
        <f t="shared" si="180"/>
        <v>839895.39120000007</v>
      </c>
      <c r="AR517" s="311">
        <v>12</v>
      </c>
      <c r="AS517" s="312">
        <v>75617</v>
      </c>
      <c r="AT517" s="313">
        <f t="shared" si="181"/>
        <v>742437.95280000009</v>
      </c>
      <c r="AU517" s="308">
        <v>38</v>
      </c>
      <c r="AV517" s="309">
        <v>67671.15789473684</v>
      </c>
      <c r="AW517" s="310">
        <f t="shared" si="182"/>
        <v>2104004.5728000002</v>
      </c>
      <c r="AX517" s="311">
        <v>38</v>
      </c>
      <c r="AY517" s="312">
        <v>66239.052631578947</v>
      </c>
      <c r="AZ517" s="313">
        <f t="shared" si="183"/>
        <v>2059478.1288000001</v>
      </c>
      <c r="BA517" s="308">
        <v>9</v>
      </c>
      <c r="BB517" s="309">
        <v>55164.888888888891</v>
      </c>
      <c r="BC517" s="310">
        <f t="shared" si="184"/>
        <v>406223.20880000002</v>
      </c>
      <c r="BD517" s="311">
        <v>7</v>
      </c>
      <c r="BE517" s="312">
        <v>56703.428571428572</v>
      </c>
      <c r="BF517" s="313">
        <f t="shared" si="185"/>
        <v>324763.21679999999</v>
      </c>
      <c r="BG517" s="308">
        <v>7</v>
      </c>
      <c r="BH517" s="309">
        <v>48955.714285714283</v>
      </c>
      <c r="BI517" s="310">
        <f t="shared" si="186"/>
        <v>280388.95799999998</v>
      </c>
      <c r="BJ517" s="311">
        <v>5</v>
      </c>
      <c r="BK517" s="312">
        <v>39950.400000000001</v>
      </c>
      <c r="BL517" s="313">
        <f t="shared" si="187"/>
        <v>163437.0864</v>
      </c>
      <c r="BM517" s="308"/>
      <c r="BN517" s="309"/>
      <c r="BO517" s="310">
        <f t="shared" si="188"/>
        <v>0</v>
      </c>
      <c r="BP517" s="311"/>
      <c r="BQ517" s="312"/>
      <c r="BR517" s="313">
        <f t="shared" si="189"/>
        <v>0</v>
      </c>
      <c r="BS517" s="308"/>
      <c r="BT517" s="309"/>
      <c r="BU517" s="310">
        <f t="shared" si="190"/>
        <v>0</v>
      </c>
      <c r="BV517" s="311"/>
      <c r="BW517" s="312"/>
      <c r="BX517" s="313">
        <f t="shared" si="191"/>
        <v>0</v>
      </c>
    </row>
    <row r="518" spans="1:76">
      <c r="A518" s="341" t="s">
        <v>409</v>
      </c>
      <c r="B518" s="342" t="s">
        <v>81</v>
      </c>
      <c r="C518" s="341">
        <v>219879</v>
      </c>
      <c r="D518" s="327">
        <v>9</v>
      </c>
      <c r="E518" s="308">
        <v>4</v>
      </c>
      <c r="F518" s="309">
        <v>56019</v>
      </c>
      <c r="G518" s="310">
        <f t="shared" si="168"/>
        <v>224076</v>
      </c>
      <c r="H518" s="311">
        <v>5</v>
      </c>
      <c r="I518" s="312">
        <v>56745.599999999999</v>
      </c>
      <c r="J518" s="313">
        <f t="shared" si="169"/>
        <v>283728</v>
      </c>
      <c r="K518" s="308">
        <v>29</v>
      </c>
      <c r="L518" s="309">
        <v>51046.34482758621</v>
      </c>
      <c r="M518" s="310">
        <f t="shared" si="170"/>
        <v>1480344</v>
      </c>
      <c r="N518" s="311">
        <v>27</v>
      </c>
      <c r="O518" s="312">
        <v>50503.407407407409</v>
      </c>
      <c r="P518" s="313">
        <f t="shared" si="171"/>
        <v>1363592</v>
      </c>
      <c r="Q518" s="308">
        <v>12</v>
      </c>
      <c r="R518" s="309">
        <v>41445</v>
      </c>
      <c r="S518" s="310">
        <f t="shared" si="172"/>
        <v>497340</v>
      </c>
      <c r="T518" s="311">
        <v>20</v>
      </c>
      <c r="U518" s="312">
        <v>39967.4</v>
      </c>
      <c r="V518" s="313">
        <f t="shared" si="173"/>
        <v>799348</v>
      </c>
      <c r="W518" s="308">
        <v>21</v>
      </c>
      <c r="X518" s="309">
        <v>35124.952380952382</v>
      </c>
      <c r="Y518" s="310">
        <f t="shared" si="174"/>
        <v>737624</v>
      </c>
      <c r="Z518" s="311">
        <v>13</v>
      </c>
      <c r="AA518" s="312">
        <v>34366.153846153844</v>
      </c>
      <c r="AB518" s="313">
        <f t="shared" si="175"/>
        <v>446760</v>
      </c>
      <c r="AC518" s="308"/>
      <c r="AD518" s="309"/>
      <c r="AE518" s="310">
        <f t="shared" si="176"/>
        <v>0</v>
      </c>
      <c r="AF518" s="311"/>
      <c r="AG518" s="312"/>
      <c r="AH518" s="313">
        <f t="shared" si="177"/>
        <v>0</v>
      </c>
      <c r="AI518" s="308"/>
      <c r="AJ518" s="309"/>
      <c r="AK518" s="310">
        <f t="shared" si="178"/>
        <v>0</v>
      </c>
      <c r="AL518" s="311"/>
      <c r="AM518" s="312"/>
      <c r="AN518" s="313">
        <f t="shared" si="179"/>
        <v>0</v>
      </c>
      <c r="AO518" s="308">
        <v>0</v>
      </c>
      <c r="AP518" s="309">
        <v>0</v>
      </c>
      <c r="AQ518" s="310">
        <f t="shared" si="180"/>
        <v>0</v>
      </c>
      <c r="AR518" s="311">
        <v>0</v>
      </c>
      <c r="AS518" s="312"/>
      <c r="AT518" s="313">
        <f t="shared" si="181"/>
        <v>0</v>
      </c>
      <c r="AU518" s="308">
        <v>0</v>
      </c>
      <c r="AV518" s="309">
        <v>0</v>
      </c>
      <c r="AW518" s="310">
        <f t="shared" si="182"/>
        <v>0</v>
      </c>
      <c r="AX518" s="311">
        <v>1</v>
      </c>
      <c r="AY518" s="312">
        <v>70156</v>
      </c>
      <c r="AZ518" s="313">
        <f t="shared" si="183"/>
        <v>57401.639200000005</v>
      </c>
      <c r="BA518" s="308">
        <v>1</v>
      </c>
      <c r="BB518" s="309">
        <v>69156</v>
      </c>
      <c r="BC518" s="310">
        <f t="shared" si="184"/>
        <v>56583.439200000001</v>
      </c>
      <c r="BD518" s="311">
        <v>0</v>
      </c>
      <c r="BE518" s="312"/>
      <c r="BF518" s="313">
        <f t="shared" si="185"/>
        <v>0</v>
      </c>
      <c r="BG518" s="308">
        <v>3</v>
      </c>
      <c r="BH518" s="309">
        <v>41976</v>
      </c>
      <c r="BI518" s="310">
        <f t="shared" si="186"/>
        <v>103034.2896</v>
      </c>
      <c r="BJ518" s="311">
        <v>3</v>
      </c>
      <c r="BK518" s="312">
        <v>44973.333333333336</v>
      </c>
      <c r="BL518" s="313">
        <f t="shared" si="187"/>
        <v>110391.54400000001</v>
      </c>
      <c r="BM518" s="308"/>
      <c r="BN518" s="309"/>
      <c r="BO518" s="310">
        <f t="shared" si="188"/>
        <v>0</v>
      </c>
      <c r="BP518" s="311"/>
      <c r="BQ518" s="312"/>
      <c r="BR518" s="313">
        <f t="shared" si="189"/>
        <v>0</v>
      </c>
      <c r="BS518" s="308"/>
      <c r="BT518" s="309"/>
      <c r="BU518" s="310">
        <f t="shared" si="190"/>
        <v>0</v>
      </c>
      <c r="BV518" s="311"/>
      <c r="BW518" s="312"/>
      <c r="BX518" s="313">
        <f t="shared" si="191"/>
        <v>0</v>
      </c>
    </row>
    <row r="519" spans="1:76">
      <c r="A519" s="341" t="s">
        <v>409</v>
      </c>
      <c r="B519" s="342" t="s">
        <v>82</v>
      </c>
      <c r="C519" s="341">
        <v>219888</v>
      </c>
      <c r="D519" s="327">
        <v>9</v>
      </c>
      <c r="E519" s="308">
        <v>15</v>
      </c>
      <c r="F519" s="309">
        <v>68564.666666666672</v>
      </c>
      <c r="G519" s="310">
        <f t="shared" si="168"/>
        <v>1028470.0000000001</v>
      </c>
      <c r="H519" s="311">
        <v>15</v>
      </c>
      <c r="I519" s="312">
        <v>69414.666666666672</v>
      </c>
      <c r="J519" s="313">
        <f t="shared" si="169"/>
        <v>1041220.0000000001</v>
      </c>
      <c r="K519" s="308">
        <v>31</v>
      </c>
      <c r="L519" s="309">
        <v>52997.419354838712</v>
      </c>
      <c r="M519" s="310">
        <f t="shared" si="170"/>
        <v>1642920</v>
      </c>
      <c r="N519" s="311">
        <v>35</v>
      </c>
      <c r="O519" s="312">
        <v>52654.285714285717</v>
      </c>
      <c r="P519" s="313">
        <f t="shared" si="171"/>
        <v>1842900</v>
      </c>
      <c r="Q519" s="308">
        <v>25</v>
      </c>
      <c r="R519" s="309">
        <v>41051.199999999997</v>
      </c>
      <c r="S519" s="310">
        <f t="shared" si="172"/>
        <v>1026279.9999999999</v>
      </c>
      <c r="T519" s="311">
        <v>21</v>
      </c>
      <c r="U519" s="312">
        <v>41147.142857142855</v>
      </c>
      <c r="V519" s="313">
        <f t="shared" si="173"/>
        <v>864090</v>
      </c>
      <c r="W519" s="308">
        <v>13</v>
      </c>
      <c r="X519" s="309">
        <v>35301.538461538461</v>
      </c>
      <c r="Y519" s="310">
        <f t="shared" si="174"/>
        <v>458920</v>
      </c>
      <c r="Z519" s="311">
        <v>18</v>
      </c>
      <c r="AA519" s="312">
        <v>34386.666666666664</v>
      </c>
      <c r="AB519" s="313">
        <f t="shared" si="175"/>
        <v>618960</v>
      </c>
      <c r="AC519" s="308"/>
      <c r="AD519" s="309"/>
      <c r="AE519" s="310">
        <f t="shared" si="176"/>
        <v>0</v>
      </c>
      <c r="AF519" s="311"/>
      <c r="AG519" s="312"/>
      <c r="AH519" s="313">
        <f t="shared" si="177"/>
        <v>0</v>
      </c>
      <c r="AI519" s="308"/>
      <c r="AJ519" s="309"/>
      <c r="AK519" s="310">
        <f t="shared" si="178"/>
        <v>0</v>
      </c>
      <c r="AL519" s="311"/>
      <c r="AM519" s="312"/>
      <c r="AN519" s="313">
        <f t="shared" si="179"/>
        <v>0</v>
      </c>
      <c r="AO519" s="308">
        <v>1</v>
      </c>
      <c r="AP519" s="309">
        <v>95270</v>
      </c>
      <c r="AQ519" s="310">
        <f t="shared" si="180"/>
        <v>77949.914000000004</v>
      </c>
      <c r="AR519" s="311">
        <v>1</v>
      </c>
      <c r="AS519" s="312">
        <v>97680</v>
      </c>
      <c r="AT519" s="313">
        <f t="shared" si="181"/>
        <v>79921.775999999998</v>
      </c>
      <c r="AU519" s="308">
        <v>3</v>
      </c>
      <c r="AV519" s="309">
        <v>72510</v>
      </c>
      <c r="AW519" s="310">
        <f t="shared" si="182"/>
        <v>177983.046</v>
      </c>
      <c r="AX519" s="311">
        <v>3</v>
      </c>
      <c r="AY519" s="312">
        <v>76386.666666666672</v>
      </c>
      <c r="AZ519" s="313">
        <f t="shared" si="183"/>
        <v>187498.712</v>
      </c>
      <c r="BA519" s="308">
        <v>3</v>
      </c>
      <c r="BB519" s="309">
        <v>62660</v>
      </c>
      <c r="BC519" s="310">
        <f t="shared" si="184"/>
        <v>153805.236</v>
      </c>
      <c r="BD519" s="311">
        <v>2</v>
      </c>
      <c r="BE519" s="312">
        <v>59790</v>
      </c>
      <c r="BF519" s="313">
        <f t="shared" si="185"/>
        <v>97840.356</v>
      </c>
      <c r="BG519" s="308">
        <v>6</v>
      </c>
      <c r="BH519" s="309">
        <v>46450</v>
      </c>
      <c r="BI519" s="310">
        <f t="shared" si="186"/>
        <v>228032.34</v>
      </c>
      <c r="BJ519" s="311">
        <v>4</v>
      </c>
      <c r="BK519" s="312">
        <v>46255</v>
      </c>
      <c r="BL519" s="313">
        <f t="shared" si="187"/>
        <v>151383.364</v>
      </c>
      <c r="BM519" s="308"/>
      <c r="BN519" s="309"/>
      <c r="BO519" s="310">
        <f t="shared" si="188"/>
        <v>0</v>
      </c>
      <c r="BP519" s="311"/>
      <c r="BQ519" s="312"/>
      <c r="BR519" s="313">
        <f t="shared" si="189"/>
        <v>0</v>
      </c>
      <c r="BS519" s="308"/>
      <c r="BT519" s="309"/>
      <c r="BU519" s="310">
        <f t="shared" si="190"/>
        <v>0</v>
      </c>
      <c r="BV519" s="311"/>
      <c r="BW519" s="312"/>
      <c r="BX519" s="313">
        <f t="shared" si="191"/>
        <v>0</v>
      </c>
    </row>
    <row r="520" spans="1:76">
      <c r="A520" s="341" t="s">
        <v>409</v>
      </c>
      <c r="B520" s="342" t="s">
        <v>83</v>
      </c>
      <c r="C520" s="341">
        <v>220400</v>
      </c>
      <c r="D520" s="327">
        <v>9</v>
      </c>
      <c r="E520" s="308">
        <v>12</v>
      </c>
      <c r="F520" s="309">
        <v>58422.666666666664</v>
      </c>
      <c r="G520" s="310">
        <f t="shared" si="168"/>
        <v>701072</v>
      </c>
      <c r="H520" s="311">
        <v>10</v>
      </c>
      <c r="I520" s="312">
        <v>60085.8</v>
      </c>
      <c r="J520" s="313">
        <f t="shared" si="169"/>
        <v>600858</v>
      </c>
      <c r="K520" s="308">
        <v>38</v>
      </c>
      <c r="L520" s="309">
        <v>48881.315789473687</v>
      </c>
      <c r="M520" s="310">
        <f t="shared" si="170"/>
        <v>1857490</v>
      </c>
      <c r="N520" s="311">
        <v>37</v>
      </c>
      <c r="O520" s="312">
        <v>48622.189189189186</v>
      </c>
      <c r="P520" s="313">
        <f t="shared" si="171"/>
        <v>1799021</v>
      </c>
      <c r="Q520" s="308">
        <v>32</v>
      </c>
      <c r="R520" s="309">
        <v>41629.8125</v>
      </c>
      <c r="S520" s="310">
        <f t="shared" si="172"/>
        <v>1332154</v>
      </c>
      <c r="T520" s="311">
        <v>33</v>
      </c>
      <c r="U520" s="312">
        <v>42891.121212121216</v>
      </c>
      <c r="V520" s="313">
        <f t="shared" si="173"/>
        <v>1415407</v>
      </c>
      <c r="W520" s="308">
        <v>7</v>
      </c>
      <c r="X520" s="309">
        <v>39874</v>
      </c>
      <c r="Y520" s="310">
        <f t="shared" si="174"/>
        <v>279118</v>
      </c>
      <c r="Z520" s="311">
        <v>8</v>
      </c>
      <c r="AA520" s="312">
        <v>43234.5</v>
      </c>
      <c r="AB520" s="313">
        <f t="shared" si="175"/>
        <v>345876</v>
      </c>
      <c r="AC520" s="308"/>
      <c r="AD520" s="309"/>
      <c r="AE520" s="310">
        <f t="shared" si="176"/>
        <v>0</v>
      </c>
      <c r="AF520" s="311"/>
      <c r="AG520" s="312"/>
      <c r="AH520" s="313">
        <f t="shared" si="177"/>
        <v>0</v>
      </c>
      <c r="AI520" s="308"/>
      <c r="AJ520" s="309"/>
      <c r="AK520" s="310">
        <f t="shared" si="178"/>
        <v>0</v>
      </c>
      <c r="AL520" s="311"/>
      <c r="AM520" s="312"/>
      <c r="AN520" s="313">
        <f t="shared" si="179"/>
        <v>0</v>
      </c>
      <c r="AO520" s="308">
        <v>1</v>
      </c>
      <c r="AP520" s="309">
        <v>79567</v>
      </c>
      <c r="AQ520" s="310">
        <f t="shared" si="180"/>
        <v>65101.719400000002</v>
      </c>
      <c r="AR520" s="311">
        <v>2</v>
      </c>
      <c r="AS520" s="312">
        <v>75080</v>
      </c>
      <c r="AT520" s="313">
        <f t="shared" si="181"/>
        <v>122860.91200000001</v>
      </c>
      <c r="AU520" s="308">
        <v>12</v>
      </c>
      <c r="AV520" s="309">
        <v>62946.666666666664</v>
      </c>
      <c r="AW520" s="310">
        <f t="shared" si="182"/>
        <v>618035.55200000003</v>
      </c>
      <c r="AX520" s="311">
        <v>8</v>
      </c>
      <c r="AY520" s="312">
        <v>65431.625</v>
      </c>
      <c r="AZ520" s="313">
        <f t="shared" si="183"/>
        <v>428289.24460000003</v>
      </c>
      <c r="BA520" s="308">
        <v>6</v>
      </c>
      <c r="BB520" s="309">
        <v>55199.333333333336</v>
      </c>
      <c r="BC520" s="310">
        <f t="shared" si="184"/>
        <v>270984.56719999999</v>
      </c>
      <c r="BD520" s="311">
        <v>6</v>
      </c>
      <c r="BE520" s="312">
        <v>51769.333333333336</v>
      </c>
      <c r="BF520" s="313">
        <f t="shared" si="185"/>
        <v>254146.01120000001</v>
      </c>
      <c r="BG520" s="308">
        <v>1</v>
      </c>
      <c r="BH520" s="309">
        <v>47358</v>
      </c>
      <c r="BI520" s="310">
        <f t="shared" si="186"/>
        <v>38748.315600000002</v>
      </c>
      <c r="BJ520" s="311">
        <v>1</v>
      </c>
      <c r="BK520" s="312">
        <v>47358</v>
      </c>
      <c r="BL520" s="313">
        <f t="shared" si="187"/>
        <v>38748.315600000002</v>
      </c>
      <c r="BM520" s="308"/>
      <c r="BN520" s="309"/>
      <c r="BO520" s="310">
        <f t="shared" si="188"/>
        <v>0</v>
      </c>
      <c r="BP520" s="311"/>
      <c r="BQ520" s="312"/>
      <c r="BR520" s="313">
        <f t="shared" si="189"/>
        <v>0</v>
      </c>
      <c r="BS520" s="308"/>
      <c r="BT520" s="309"/>
      <c r="BU520" s="310">
        <f t="shared" si="190"/>
        <v>0</v>
      </c>
      <c r="BV520" s="311"/>
      <c r="BW520" s="312"/>
      <c r="BX520" s="313">
        <f t="shared" si="191"/>
        <v>0</v>
      </c>
    </row>
    <row r="521" spans="1:76">
      <c r="A521" s="341" t="s">
        <v>409</v>
      </c>
      <c r="B521" s="342" t="s">
        <v>84</v>
      </c>
      <c r="C521" s="341">
        <v>221096</v>
      </c>
      <c r="D521" s="327">
        <v>9</v>
      </c>
      <c r="E521" s="308">
        <v>10</v>
      </c>
      <c r="F521" s="309">
        <v>68501</v>
      </c>
      <c r="G521" s="310">
        <f t="shared" si="168"/>
        <v>685010</v>
      </c>
      <c r="H521" s="311">
        <v>10</v>
      </c>
      <c r="I521" s="312">
        <v>68501</v>
      </c>
      <c r="J521" s="313">
        <f t="shared" si="169"/>
        <v>685010</v>
      </c>
      <c r="K521" s="308">
        <v>26</v>
      </c>
      <c r="L521" s="309">
        <v>48398.115384615383</v>
      </c>
      <c r="M521" s="310">
        <f t="shared" si="170"/>
        <v>1258351</v>
      </c>
      <c r="N521" s="311">
        <v>28</v>
      </c>
      <c r="O521" s="312">
        <v>48215.857142857145</v>
      </c>
      <c r="P521" s="313">
        <f t="shared" si="171"/>
        <v>1350044</v>
      </c>
      <c r="Q521" s="308">
        <v>22</v>
      </c>
      <c r="R521" s="309">
        <v>41409.454545454544</v>
      </c>
      <c r="S521" s="310">
        <f t="shared" si="172"/>
        <v>911008</v>
      </c>
      <c r="T521" s="311">
        <v>17</v>
      </c>
      <c r="U521" s="312">
        <v>40259.176470588238</v>
      </c>
      <c r="V521" s="313">
        <f t="shared" si="173"/>
        <v>684406</v>
      </c>
      <c r="W521" s="308">
        <v>23</v>
      </c>
      <c r="X521" s="309">
        <v>34557.043478260872</v>
      </c>
      <c r="Y521" s="310">
        <f t="shared" si="174"/>
        <v>794812</v>
      </c>
      <c r="Z521" s="311">
        <v>27</v>
      </c>
      <c r="AA521" s="312">
        <v>36420.962962962964</v>
      </c>
      <c r="AB521" s="313">
        <f t="shared" si="175"/>
        <v>983366</v>
      </c>
      <c r="AC521" s="308"/>
      <c r="AD521" s="309"/>
      <c r="AE521" s="310">
        <f t="shared" si="176"/>
        <v>0</v>
      </c>
      <c r="AF521" s="311"/>
      <c r="AG521" s="312"/>
      <c r="AH521" s="313">
        <f t="shared" si="177"/>
        <v>0</v>
      </c>
      <c r="AI521" s="308"/>
      <c r="AJ521" s="309"/>
      <c r="AK521" s="310">
        <f t="shared" si="178"/>
        <v>0</v>
      </c>
      <c r="AL521" s="311"/>
      <c r="AM521" s="312"/>
      <c r="AN521" s="313">
        <f t="shared" si="179"/>
        <v>0</v>
      </c>
      <c r="AO521" s="308">
        <v>0</v>
      </c>
      <c r="AP521" s="309">
        <v>0</v>
      </c>
      <c r="AQ521" s="310">
        <f t="shared" si="180"/>
        <v>0</v>
      </c>
      <c r="AR521" s="311">
        <v>0</v>
      </c>
      <c r="AS521" s="312"/>
      <c r="AT521" s="313">
        <f t="shared" si="181"/>
        <v>0</v>
      </c>
      <c r="AU521" s="308">
        <v>0</v>
      </c>
      <c r="AV521" s="309">
        <v>0</v>
      </c>
      <c r="AW521" s="310">
        <f t="shared" si="182"/>
        <v>0</v>
      </c>
      <c r="AX521" s="311">
        <v>0</v>
      </c>
      <c r="AY521" s="312"/>
      <c r="AZ521" s="313">
        <f t="shared" si="183"/>
        <v>0</v>
      </c>
      <c r="BA521" s="308">
        <v>0</v>
      </c>
      <c r="BB521" s="309">
        <v>0</v>
      </c>
      <c r="BC521" s="310">
        <f t="shared" si="184"/>
        <v>0</v>
      </c>
      <c r="BD521" s="311">
        <v>0</v>
      </c>
      <c r="BE521" s="312"/>
      <c r="BF521" s="313">
        <f t="shared" si="185"/>
        <v>0</v>
      </c>
      <c r="BG521" s="308">
        <v>0</v>
      </c>
      <c r="BH521" s="309">
        <v>0</v>
      </c>
      <c r="BI521" s="310">
        <f t="shared" si="186"/>
        <v>0</v>
      </c>
      <c r="BJ521" s="311">
        <v>0</v>
      </c>
      <c r="BK521" s="312"/>
      <c r="BL521" s="313">
        <f t="shared" si="187"/>
        <v>0</v>
      </c>
      <c r="BM521" s="308"/>
      <c r="BN521" s="309"/>
      <c r="BO521" s="310">
        <f t="shared" si="188"/>
        <v>0</v>
      </c>
      <c r="BP521" s="311"/>
      <c r="BQ521" s="312"/>
      <c r="BR521" s="313">
        <f t="shared" si="189"/>
        <v>0</v>
      </c>
      <c r="BS521" s="308"/>
      <c r="BT521" s="309"/>
      <c r="BU521" s="310">
        <f t="shared" si="190"/>
        <v>0</v>
      </c>
      <c r="BV521" s="311"/>
      <c r="BW521" s="312"/>
      <c r="BX521" s="313">
        <f t="shared" si="191"/>
        <v>0</v>
      </c>
    </row>
    <row r="522" spans="1:76">
      <c r="A522" s="341" t="s">
        <v>409</v>
      </c>
      <c r="B522" s="342" t="s">
        <v>85</v>
      </c>
      <c r="C522" s="341">
        <v>221184</v>
      </c>
      <c r="D522" s="327">
        <v>9</v>
      </c>
      <c r="E522" s="308">
        <v>7</v>
      </c>
      <c r="F522" s="309">
        <v>59033.857142857145</v>
      </c>
      <c r="G522" s="310">
        <f t="shared" ref="G522:G585" si="192">E522*F522</f>
        <v>413237</v>
      </c>
      <c r="H522" s="311">
        <v>7</v>
      </c>
      <c r="I522" s="312">
        <v>59033.857142857145</v>
      </c>
      <c r="J522" s="313">
        <f t="shared" ref="J522:J585" si="193">H522*I522</f>
        <v>413237</v>
      </c>
      <c r="K522" s="308">
        <v>49</v>
      </c>
      <c r="L522" s="309">
        <v>51163.061224489793</v>
      </c>
      <c r="M522" s="310">
        <f t="shared" ref="M522:M585" si="194">K522*L522</f>
        <v>2506990</v>
      </c>
      <c r="N522" s="311">
        <v>44</v>
      </c>
      <c r="O522" s="312">
        <v>53430.954545454544</v>
      </c>
      <c r="P522" s="313">
        <f t="shared" ref="P522:P585" si="195">N522*O522</f>
        <v>2350962</v>
      </c>
      <c r="Q522" s="308">
        <v>22</v>
      </c>
      <c r="R522" s="309">
        <v>43637.13636363636</v>
      </c>
      <c r="S522" s="310">
        <f t="shared" ref="S522:S585" si="196">Q522*R522</f>
        <v>960016.99999999988</v>
      </c>
      <c r="T522" s="311">
        <v>29</v>
      </c>
      <c r="U522" s="312">
        <v>41434.206896551725</v>
      </c>
      <c r="V522" s="313">
        <f t="shared" ref="V522:V585" si="197">T522*U522</f>
        <v>1201592</v>
      </c>
      <c r="W522" s="308">
        <v>57</v>
      </c>
      <c r="X522" s="309">
        <v>36263.824561403511</v>
      </c>
      <c r="Y522" s="310">
        <f t="shared" ref="Y522:Y585" si="198">W522*X522</f>
        <v>2067038.0000000002</v>
      </c>
      <c r="Z522" s="311">
        <v>70</v>
      </c>
      <c r="AA522" s="312">
        <v>36812.400000000001</v>
      </c>
      <c r="AB522" s="313">
        <f t="shared" ref="AB522:AB585" si="199">Z522*AA522</f>
        <v>2576868</v>
      </c>
      <c r="AC522" s="308"/>
      <c r="AD522" s="309"/>
      <c r="AE522" s="310">
        <f t="shared" ref="AE522:AE585" si="200">AC522*AD522</f>
        <v>0</v>
      </c>
      <c r="AF522" s="311"/>
      <c r="AG522" s="312"/>
      <c r="AH522" s="313">
        <f t="shared" ref="AH522:AH585" si="201">AF522*AG522</f>
        <v>0</v>
      </c>
      <c r="AI522" s="308"/>
      <c r="AJ522" s="309"/>
      <c r="AK522" s="310">
        <f t="shared" ref="AK522:AK585" si="202">AI522*AJ522</f>
        <v>0</v>
      </c>
      <c r="AL522" s="311"/>
      <c r="AM522" s="312"/>
      <c r="AN522" s="313">
        <f t="shared" ref="AN522:AN585" si="203">AL522*AM522</f>
        <v>0</v>
      </c>
      <c r="AO522" s="308">
        <v>0</v>
      </c>
      <c r="AP522" s="309">
        <v>0</v>
      </c>
      <c r="AQ522" s="310">
        <f t="shared" ref="AQ522:AQ585" si="204">(AO522*AP522)*0.8182</f>
        <v>0</v>
      </c>
      <c r="AR522" s="311">
        <v>0</v>
      </c>
      <c r="AS522" s="312"/>
      <c r="AT522" s="313">
        <f t="shared" ref="AT522:AT585" si="205">(AR522*AS522)*0.8182</f>
        <v>0</v>
      </c>
      <c r="AU522" s="308">
        <v>0</v>
      </c>
      <c r="AV522" s="309">
        <v>0</v>
      </c>
      <c r="AW522" s="310">
        <f t="shared" ref="AW522:AW585" si="206">(AU522*AV522)*0.8182</f>
        <v>0</v>
      </c>
      <c r="AX522" s="311">
        <v>0</v>
      </c>
      <c r="AY522" s="312"/>
      <c r="AZ522" s="313">
        <f t="shared" ref="AZ522:AZ585" si="207">(AX522*AY522)*0.8182</f>
        <v>0</v>
      </c>
      <c r="BA522" s="308">
        <v>0</v>
      </c>
      <c r="BB522" s="309">
        <v>0</v>
      </c>
      <c r="BC522" s="310">
        <f t="shared" ref="BC522:BC585" si="208">(BA522*BB522)*0.8182</f>
        <v>0</v>
      </c>
      <c r="BD522" s="311">
        <v>0</v>
      </c>
      <c r="BE522" s="312"/>
      <c r="BF522" s="313">
        <f t="shared" ref="BF522:BF585" si="209">(BD522*BE522)*0.8182</f>
        <v>0</v>
      </c>
      <c r="BG522" s="308">
        <v>2</v>
      </c>
      <c r="BH522" s="309">
        <v>52253</v>
      </c>
      <c r="BI522" s="310">
        <f t="shared" ref="BI522:BI585" si="210">(BG522*BH522)*0.8182</f>
        <v>85506.809200000003</v>
      </c>
      <c r="BJ522" s="311">
        <v>2</v>
      </c>
      <c r="BK522" s="312">
        <v>52253</v>
      </c>
      <c r="BL522" s="313">
        <f t="shared" ref="BL522:BL585" si="211">(BJ522*BK522)*0.8182</f>
        <v>85506.809200000003</v>
      </c>
      <c r="BM522" s="308"/>
      <c r="BN522" s="309"/>
      <c r="BO522" s="310">
        <f t="shared" ref="BO522:BO585" si="212">(BM522*BN522)*0.8182</f>
        <v>0</v>
      </c>
      <c r="BP522" s="311"/>
      <c r="BQ522" s="312"/>
      <c r="BR522" s="313">
        <f t="shared" ref="BR522:BR585" si="213">(BP522*BQ522)*0.8182</f>
        <v>0</v>
      </c>
      <c r="BS522" s="308"/>
      <c r="BT522" s="309"/>
      <c r="BU522" s="310">
        <f t="shared" ref="BU522:BU585" si="214">(BS522*BT522)*0.8182</f>
        <v>0</v>
      </c>
      <c r="BV522" s="311"/>
      <c r="BW522" s="312"/>
      <c r="BX522" s="313">
        <f t="shared" ref="BX522:BX585" si="215">(BV522*BW522)*0.8182</f>
        <v>0</v>
      </c>
    </row>
    <row r="523" spans="1:76">
      <c r="A523" s="341" t="s">
        <v>409</v>
      </c>
      <c r="B523" s="342" t="s">
        <v>86</v>
      </c>
      <c r="C523" s="341">
        <v>221908</v>
      </c>
      <c r="D523" s="327">
        <v>9</v>
      </c>
      <c r="E523" s="308">
        <v>9</v>
      </c>
      <c r="F523" s="309">
        <v>51714.333333333336</v>
      </c>
      <c r="G523" s="310">
        <f t="shared" si="192"/>
        <v>465429</v>
      </c>
      <c r="H523" s="311">
        <v>9</v>
      </c>
      <c r="I523" s="312">
        <v>52055.777777777781</v>
      </c>
      <c r="J523" s="313">
        <f t="shared" si="193"/>
        <v>468502</v>
      </c>
      <c r="K523" s="308">
        <v>29</v>
      </c>
      <c r="L523" s="309">
        <v>46394.827586206899</v>
      </c>
      <c r="M523" s="310">
        <f t="shared" si="194"/>
        <v>1345450</v>
      </c>
      <c r="N523" s="312">
        <v>30</v>
      </c>
      <c r="O523" s="312">
        <v>45804.333333333336</v>
      </c>
      <c r="P523" s="313">
        <f t="shared" si="195"/>
        <v>1374130</v>
      </c>
      <c r="Q523" s="308">
        <v>24</v>
      </c>
      <c r="R523" s="309">
        <v>39504.541666666664</v>
      </c>
      <c r="S523" s="310">
        <f t="shared" si="196"/>
        <v>948109</v>
      </c>
      <c r="T523" s="312">
        <v>24</v>
      </c>
      <c r="U523" s="312">
        <v>39089.291666666664</v>
      </c>
      <c r="V523" s="313">
        <f t="shared" si="197"/>
        <v>938143</v>
      </c>
      <c r="W523" s="308">
        <v>31</v>
      </c>
      <c r="X523" s="309">
        <v>37040.193548387098</v>
      </c>
      <c r="Y523" s="310">
        <f t="shared" si="198"/>
        <v>1148246</v>
      </c>
      <c r="Z523" s="312">
        <v>33</v>
      </c>
      <c r="AA523" s="312">
        <v>37992.42424242424</v>
      </c>
      <c r="AB523" s="313">
        <f t="shared" si="199"/>
        <v>1253750</v>
      </c>
      <c r="AC523" s="308"/>
      <c r="AD523" s="309"/>
      <c r="AE523" s="310">
        <f t="shared" si="200"/>
        <v>0</v>
      </c>
      <c r="AF523" s="312"/>
      <c r="AG523" s="312"/>
      <c r="AH523" s="313">
        <f t="shared" si="201"/>
        <v>0</v>
      </c>
      <c r="AI523" s="308"/>
      <c r="AJ523" s="309"/>
      <c r="AK523" s="310">
        <f t="shared" si="202"/>
        <v>0</v>
      </c>
      <c r="AL523" s="311"/>
      <c r="AM523" s="312"/>
      <c r="AN523" s="313">
        <f t="shared" si="203"/>
        <v>0</v>
      </c>
      <c r="AO523" s="308">
        <v>1</v>
      </c>
      <c r="AP523" s="309">
        <v>70433</v>
      </c>
      <c r="AQ523" s="310">
        <f t="shared" si="204"/>
        <v>57628.280600000006</v>
      </c>
      <c r="AR523" s="312">
        <v>1</v>
      </c>
      <c r="AS523" s="312">
        <v>71680</v>
      </c>
      <c r="AT523" s="313">
        <f t="shared" si="205"/>
        <v>58648.576000000001</v>
      </c>
      <c r="AU523" s="308">
        <v>7</v>
      </c>
      <c r="AV523" s="309">
        <v>67247</v>
      </c>
      <c r="AW523" s="310">
        <f t="shared" si="206"/>
        <v>385150.46780000004</v>
      </c>
      <c r="AX523" s="312">
        <v>7</v>
      </c>
      <c r="AY523" s="312">
        <v>68388.142857142855</v>
      </c>
      <c r="AZ523" s="313">
        <f t="shared" si="207"/>
        <v>391686.24940000003</v>
      </c>
      <c r="BA523" s="308">
        <v>2</v>
      </c>
      <c r="BB523" s="309">
        <v>69873</v>
      </c>
      <c r="BC523" s="310">
        <f t="shared" si="208"/>
        <v>114340.17720000001</v>
      </c>
      <c r="BD523" s="312">
        <v>3</v>
      </c>
      <c r="BE523" s="312">
        <v>70145.666666666672</v>
      </c>
      <c r="BF523" s="313">
        <f t="shared" si="209"/>
        <v>172179.5534</v>
      </c>
      <c r="BG523" s="308">
        <v>1</v>
      </c>
      <c r="BH523" s="309">
        <v>47327</v>
      </c>
      <c r="BI523" s="310">
        <f t="shared" si="210"/>
        <v>38722.951400000005</v>
      </c>
      <c r="BJ523" s="312">
        <v>1</v>
      </c>
      <c r="BK523" s="312">
        <v>47327</v>
      </c>
      <c r="BL523" s="313">
        <f t="shared" si="211"/>
        <v>38722.951400000005</v>
      </c>
      <c r="BM523" s="308"/>
      <c r="BN523" s="309"/>
      <c r="BO523" s="310">
        <f t="shared" si="212"/>
        <v>0</v>
      </c>
      <c r="BP523" s="312"/>
      <c r="BQ523" s="312"/>
      <c r="BR523" s="313">
        <f t="shared" si="213"/>
        <v>0</v>
      </c>
      <c r="BS523" s="308"/>
      <c r="BT523" s="309"/>
      <c r="BU523" s="310">
        <f t="shared" si="214"/>
        <v>0</v>
      </c>
      <c r="BV523" s="311"/>
      <c r="BW523" s="312"/>
      <c r="BX523" s="313">
        <f t="shared" si="215"/>
        <v>0</v>
      </c>
    </row>
    <row r="524" spans="1:76">
      <c r="A524" s="341" t="s">
        <v>409</v>
      </c>
      <c r="B524" s="342" t="s">
        <v>87</v>
      </c>
      <c r="C524" s="341">
        <v>221397</v>
      </c>
      <c r="D524" s="327">
        <v>9</v>
      </c>
      <c r="E524" s="308">
        <v>13</v>
      </c>
      <c r="F524" s="309">
        <v>61520.461538461539</v>
      </c>
      <c r="G524" s="310">
        <f t="shared" si="192"/>
        <v>799766</v>
      </c>
      <c r="H524" s="311">
        <v>13</v>
      </c>
      <c r="I524" s="312">
        <v>59089.538461538461</v>
      </c>
      <c r="J524" s="313">
        <f t="shared" si="193"/>
        <v>768164</v>
      </c>
      <c r="K524" s="308">
        <v>69</v>
      </c>
      <c r="L524" s="309">
        <v>52526.028985507248</v>
      </c>
      <c r="M524" s="310">
        <f t="shared" si="194"/>
        <v>3624296</v>
      </c>
      <c r="N524" s="312">
        <v>64</v>
      </c>
      <c r="O524" s="312">
        <v>51109.984375</v>
      </c>
      <c r="P524" s="313">
        <f t="shared" si="195"/>
        <v>3271039</v>
      </c>
      <c r="Q524" s="308">
        <v>33</v>
      </c>
      <c r="R524" s="309">
        <v>42232.242424242424</v>
      </c>
      <c r="S524" s="310">
        <f t="shared" si="196"/>
        <v>1393664</v>
      </c>
      <c r="T524" s="312">
        <v>34</v>
      </c>
      <c r="U524" s="312">
        <v>41994.205882352944</v>
      </c>
      <c r="V524" s="313">
        <f t="shared" si="197"/>
        <v>1427803</v>
      </c>
      <c r="W524" s="308">
        <v>6</v>
      </c>
      <c r="X524" s="309">
        <v>41270.333333333336</v>
      </c>
      <c r="Y524" s="310">
        <f t="shared" si="198"/>
        <v>247622</v>
      </c>
      <c r="Z524" s="312">
        <v>12</v>
      </c>
      <c r="AA524" s="312">
        <v>40653.5</v>
      </c>
      <c r="AB524" s="313">
        <f t="shared" si="199"/>
        <v>487842</v>
      </c>
      <c r="AC524" s="308"/>
      <c r="AD524" s="309"/>
      <c r="AE524" s="310">
        <f t="shared" si="200"/>
        <v>0</v>
      </c>
      <c r="AF524" s="312"/>
      <c r="AG524" s="312"/>
      <c r="AH524" s="313">
        <f t="shared" si="201"/>
        <v>0</v>
      </c>
      <c r="AI524" s="308"/>
      <c r="AJ524" s="309"/>
      <c r="AK524" s="310">
        <f t="shared" si="202"/>
        <v>0</v>
      </c>
      <c r="AL524" s="311"/>
      <c r="AM524" s="312"/>
      <c r="AN524" s="313">
        <f t="shared" si="203"/>
        <v>0</v>
      </c>
      <c r="AO524" s="308">
        <v>4</v>
      </c>
      <c r="AP524" s="309">
        <v>79716.5</v>
      </c>
      <c r="AQ524" s="310">
        <f t="shared" si="204"/>
        <v>260896.1612</v>
      </c>
      <c r="AR524" s="312">
        <v>4</v>
      </c>
      <c r="AS524" s="312">
        <v>77769.5</v>
      </c>
      <c r="AT524" s="313">
        <f t="shared" si="205"/>
        <v>254524.0196</v>
      </c>
      <c r="AU524" s="308">
        <v>4</v>
      </c>
      <c r="AV524" s="309">
        <v>69547.25</v>
      </c>
      <c r="AW524" s="310">
        <f t="shared" si="206"/>
        <v>227614.23980000001</v>
      </c>
      <c r="AX524" s="312">
        <v>4</v>
      </c>
      <c r="AY524" s="312">
        <v>68448</v>
      </c>
      <c r="AZ524" s="313">
        <f t="shared" si="207"/>
        <v>224016.61440000002</v>
      </c>
      <c r="BA524" s="308">
        <v>5</v>
      </c>
      <c r="BB524" s="309">
        <v>56566</v>
      </c>
      <c r="BC524" s="310">
        <f t="shared" si="208"/>
        <v>231411.50600000002</v>
      </c>
      <c r="BD524" s="312">
        <v>5</v>
      </c>
      <c r="BE524" s="312">
        <v>51915.6</v>
      </c>
      <c r="BF524" s="313">
        <f t="shared" si="209"/>
        <v>212386.71960000001</v>
      </c>
      <c r="BG524" s="308">
        <v>2</v>
      </c>
      <c r="BH524" s="309">
        <v>47674.5</v>
      </c>
      <c r="BI524" s="310">
        <f t="shared" si="210"/>
        <v>78014.551800000001</v>
      </c>
      <c r="BJ524" s="312">
        <v>3</v>
      </c>
      <c r="BK524" s="312">
        <v>41950.333333333336</v>
      </c>
      <c r="BL524" s="313">
        <f t="shared" si="211"/>
        <v>102971.28820000001</v>
      </c>
      <c r="BM524" s="308"/>
      <c r="BN524" s="309"/>
      <c r="BO524" s="310">
        <f t="shared" si="212"/>
        <v>0</v>
      </c>
      <c r="BP524" s="312"/>
      <c r="BQ524" s="312"/>
      <c r="BR524" s="313">
        <f t="shared" si="213"/>
        <v>0</v>
      </c>
      <c r="BS524" s="308"/>
      <c r="BT524" s="309"/>
      <c r="BU524" s="310">
        <f t="shared" si="214"/>
        <v>0</v>
      </c>
      <c r="BV524" s="311"/>
      <c r="BW524" s="312"/>
      <c r="BX524" s="313">
        <f t="shared" si="215"/>
        <v>0</v>
      </c>
    </row>
    <row r="525" spans="1:76">
      <c r="A525" s="341" t="s">
        <v>409</v>
      </c>
      <c r="B525" s="342" t="s">
        <v>88</v>
      </c>
      <c r="C525" s="341">
        <v>222053</v>
      </c>
      <c r="D525" s="327">
        <v>9</v>
      </c>
      <c r="E525" s="308">
        <v>15</v>
      </c>
      <c r="F525" s="309">
        <v>56608.666666666664</v>
      </c>
      <c r="G525" s="310">
        <f t="shared" si="192"/>
        <v>849130</v>
      </c>
      <c r="H525" s="379">
        <v>17</v>
      </c>
      <c r="I525" s="312">
        <v>56105.529411764706</v>
      </c>
      <c r="J525" s="313">
        <f t="shared" si="193"/>
        <v>953794</v>
      </c>
      <c r="K525" s="308">
        <v>74</v>
      </c>
      <c r="L525" s="309">
        <v>48951.972972972973</v>
      </c>
      <c r="M525" s="310">
        <f t="shared" si="194"/>
        <v>3622446</v>
      </c>
      <c r="N525" s="312">
        <v>71</v>
      </c>
      <c r="O525" s="312">
        <v>48668.943661971833</v>
      </c>
      <c r="P525" s="313">
        <f t="shared" si="195"/>
        <v>3455495</v>
      </c>
      <c r="Q525" s="308">
        <v>14</v>
      </c>
      <c r="R525" s="309">
        <v>40820.5</v>
      </c>
      <c r="S525" s="310">
        <f t="shared" si="196"/>
        <v>571487</v>
      </c>
      <c r="T525" s="312">
        <v>16</v>
      </c>
      <c r="U525" s="312">
        <v>41486.25</v>
      </c>
      <c r="V525" s="313">
        <f t="shared" si="197"/>
        <v>663780</v>
      </c>
      <c r="W525" s="308">
        <v>18</v>
      </c>
      <c r="X525" s="309">
        <v>35160.277777777781</v>
      </c>
      <c r="Y525" s="310">
        <f t="shared" si="198"/>
        <v>632885</v>
      </c>
      <c r="Z525" s="312">
        <v>14</v>
      </c>
      <c r="AA525" s="312">
        <v>35009.642857142855</v>
      </c>
      <c r="AB525" s="313">
        <f t="shared" si="199"/>
        <v>490135</v>
      </c>
      <c r="AC525" s="308"/>
      <c r="AD525" s="309"/>
      <c r="AE525" s="310">
        <f t="shared" si="200"/>
        <v>0</v>
      </c>
      <c r="AF525" s="312"/>
      <c r="AG525" s="312"/>
      <c r="AH525" s="313">
        <f t="shared" si="201"/>
        <v>0</v>
      </c>
      <c r="AI525" s="308"/>
      <c r="AJ525" s="309"/>
      <c r="AK525" s="310">
        <f t="shared" si="202"/>
        <v>0</v>
      </c>
      <c r="AL525" s="311"/>
      <c r="AM525" s="312"/>
      <c r="AN525" s="313">
        <f t="shared" si="203"/>
        <v>0</v>
      </c>
      <c r="AO525" s="308">
        <v>1</v>
      </c>
      <c r="AP525" s="309">
        <v>77798</v>
      </c>
      <c r="AQ525" s="310">
        <f t="shared" si="204"/>
        <v>63654.323600000003</v>
      </c>
      <c r="AR525" s="312">
        <v>0</v>
      </c>
      <c r="AS525" s="312"/>
      <c r="AT525" s="313">
        <f t="shared" si="205"/>
        <v>0</v>
      </c>
      <c r="AU525" s="308">
        <v>12</v>
      </c>
      <c r="AV525" s="309">
        <v>64503.916666666664</v>
      </c>
      <c r="AW525" s="310">
        <f t="shared" si="206"/>
        <v>633325.25540000002</v>
      </c>
      <c r="AX525" s="312">
        <v>10</v>
      </c>
      <c r="AY525" s="312">
        <v>62770.6</v>
      </c>
      <c r="AZ525" s="313">
        <f t="shared" si="207"/>
        <v>513589.04920000001</v>
      </c>
      <c r="BA525" s="308">
        <v>6</v>
      </c>
      <c r="BB525" s="309">
        <v>56316.5</v>
      </c>
      <c r="BC525" s="310">
        <f t="shared" si="208"/>
        <v>276468.96179999999</v>
      </c>
      <c r="BD525" s="312">
        <v>4</v>
      </c>
      <c r="BE525" s="312">
        <v>53964.5</v>
      </c>
      <c r="BF525" s="313">
        <f t="shared" si="209"/>
        <v>176615.01560000001</v>
      </c>
      <c r="BG525" s="308">
        <v>7</v>
      </c>
      <c r="BH525" s="309">
        <v>52080.857142857145</v>
      </c>
      <c r="BI525" s="310">
        <f t="shared" si="210"/>
        <v>298287.90120000002</v>
      </c>
      <c r="BJ525" s="312">
        <v>11</v>
      </c>
      <c r="BK525" s="312">
        <v>51537.090909090912</v>
      </c>
      <c r="BL525" s="313">
        <f t="shared" si="211"/>
        <v>463844.12560000003</v>
      </c>
      <c r="BM525" s="308"/>
      <c r="BN525" s="309"/>
      <c r="BO525" s="310">
        <f t="shared" si="212"/>
        <v>0</v>
      </c>
      <c r="BP525" s="312"/>
      <c r="BQ525" s="312"/>
      <c r="BR525" s="313">
        <f t="shared" si="213"/>
        <v>0</v>
      </c>
      <c r="BS525" s="308"/>
      <c r="BT525" s="309"/>
      <c r="BU525" s="310">
        <f t="shared" si="214"/>
        <v>0</v>
      </c>
      <c r="BV525" s="311"/>
      <c r="BW525" s="312"/>
      <c r="BX525" s="313">
        <f t="shared" si="215"/>
        <v>0</v>
      </c>
    </row>
    <row r="526" spans="1:76">
      <c r="A526" s="341" t="s">
        <v>409</v>
      </c>
      <c r="B526" s="342" t="s">
        <v>89</v>
      </c>
      <c r="C526" s="341">
        <v>222062</v>
      </c>
      <c r="D526" s="327">
        <v>9</v>
      </c>
      <c r="E526" s="308">
        <v>15</v>
      </c>
      <c r="F526" s="309">
        <v>58604.666666666664</v>
      </c>
      <c r="G526" s="310">
        <f t="shared" si="192"/>
        <v>879070</v>
      </c>
      <c r="H526" s="379">
        <v>14</v>
      </c>
      <c r="I526" s="312">
        <v>60700.214285714283</v>
      </c>
      <c r="J526" s="313">
        <f t="shared" si="193"/>
        <v>849803</v>
      </c>
      <c r="K526" s="308">
        <v>60</v>
      </c>
      <c r="L526" s="309">
        <v>52196.95</v>
      </c>
      <c r="M526" s="310">
        <f t="shared" si="194"/>
        <v>3131817</v>
      </c>
      <c r="N526" s="312">
        <v>59</v>
      </c>
      <c r="O526" s="312">
        <v>51231.847457627118</v>
      </c>
      <c r="P526" s="313">
        <f t="shared" si="195"/>
        <v>3022679</v>
      </c>
      <c r="Q526" s="308">
        <v>27</v>
      </c>
      <c r="R526" s="309">
        <v>42329.925925925927</v>
      </c>
      <c r="S526" s="310">
        <f t="shared" si="196"/>
        <v>1142908</v>
      </c>
      <c r="T526" s="312">
        <v>27</v>
      </c>
      <c r="U526" s="312">
        <v>41777.925925925927</v>
      </c>
      <c r="V526" s="313">
        <f t="shared" si="197"/>
        <v>1128004</v>
      </c>
      <c r="W526" s="308">
        <v>11</v>
      </c>
      <c r="X526" s="309">
        <v>38173.454545454544</v>
      </c>
      <c r="Y526" s="310">
        <f t="shared" si="198"/>
        <v>419908</v>
      </c>
      <c r="Z526" s="312">
        <v>17</v>
      </c>
      <c r="AA526" s="312">
        <v>38497.529411764706</v>
      </c>
      <c r="AB526" s="313">
        <f t="shared" si="199"/>
        <v>654458</v>
      </c>
      <c r="AC526" s="308"/>
      <c r="AD526" s="309"/>
      <c r="AE526" s="310">
        <f t="shared" si="200"/>
        <v>0</v>
      </c>
      <c r="AF526" s="312"/>
      <c r="AG526" s="312"/>
      <c r="AH526" s="313">
        <f t="shared" si="201"/>
        <v>0</v>
      </c>
      <c r="AI526" s="308"/>
      <c r="AJ526" s="309"/>
      <c r="AK526" s="310">
        <f t="shared" si="202"/>
        <v>0</v>
      </c>
      <c r="AL526" s="311"/>
      <c r="AM526" s="312"/>
      <c r="AN526" s="313">
        <f t="shared" si="203"/>
        <v>0</v>
      </c>
      <c r="AO526" s="308">
        <v>4</v>
      </c>
      <c r="AP526" s="309">
        <v>87883.5</v>
      </c>
      <c r="AQ526" s="310">
        <f t="shared" si="204"/>
        <v>287625.1188</v>
      </c>
      <c r="AR526" s="312">
        <v>6</v>
      </c>
      <c r="AS526" s="312">
        <v>81059.333333333328</v>
      </c>
      <c r="AT526" s="313">
        <f t="shared" si="205"/>
        <v>397936.4792</v>
      </c>
      <c r="AU526" s="308">
        <v>13</v>
      </c>
      <c r="AV526" s="309">
        <v>66033.769230769234</v>
      </c>
      <c r="AW526" s="310">
        <f t="shared" si="206"/>
        <v>702374.78980000003</v>
      </c>
      <c r="AX526" s="312">
        <v>13</v>
      </c>
      <c r="AY526" s="312">
        <v>65256</v>
      </c>
      <c r="AZ526" s="313">
        <f t="shared" si="207"/>
        <v>694101.96960000007</v>
      </c>
      <c r="BA526" s="308">
        <v>7</v>
      </c>
      <c r="BB526" s="309">
        <v>55400.571428571428</v>
      </c>
      <c r="BC526" s="310">
        <f t="shared" si="208"/>
        <v>317301.2328</v>
      </c>
      <c r="BD526" s="312">
        <v>5</v>
      </c>
      <c r="BE526" s="312">
        <v>55635.6</v>
      </c>
      <c r="BF526" s="313">
        <f t="shared" si="209"/>
        <v>227605.2396</v>
      </c>
      <c r="BG526" s="308">
        <v>2</v>
      </c>
      <c r="BH526" s="309">
        <v>46249.5</v>
      </c>
      <c r="BI526" s="310">
        <f t="shared" si="210"/>
        <v>75682.681800000006</v>
      </c>
      <c r="BJ526" s="312">
        <v>4</v>
      </c>
      <c r="BK526" s="312">
        <v>49311.5</v>
      </c>
      <c r="BL526" s="313">
        <f t="shared" si="211"/>
        <v>161386.67720000001</v>
      </c>
      <c r="BM526" s="308"/>
      <c r="BN526" s="309"/>
      <c r="BO526" s="310">
        <f t="shared" si="212"/>
        <v>0</v>
      </c>
      <c r="BP526" s="312"/>
      <c r="BQ526" s="312"/>
      <c r="BR526" s="313">
        <f t="shared" si="213"/>
        <v>0</v>
      </c>
      <c r="BS526" s="308"/>
      <c r="BT526" s="309"/>
      <c r="BU526" s="310">
        <f t="shared" si="214"/>
        <v>0</v>
      </c>
      <c r="BV526" s="311"/>
      <c r="BW526" s="312"/>
      <c r="BX526" s="313">
        <f t="shared" si="215"/>
        <v>0</v>
      </c>
    </row>
    <row r="527" spans="1:76">
      <c r="A527" s="341" t="s">
        <v>409</v>
      </c>
      <c r="B527" s="342" t="s">
        <v>90</v>
      </c>
      <c r="C527" s="341">
        <v>220057</v>
      </c>
      <c r="D527" s="327">
        <v>10</v>
      </c>
      <c r="E527" s="308">
        <v>10</v>
      </c>
      <c r="F527" s="309">
        <v>50448.1</v>
      </c>
      <c r="G527" s="310">
        <f t="shared" si="192"/>
        <v>504481</v>
      </c>
      <c r="H527" s="379">
        <v>9</v>
      </c>
      <c r="I527" s="312">
        <v>56546.222222222219</v>
      </c>
      <c r="J527" s="313">
        <f t="shared" si="193"/>
        <v>508916</v>
      </c>
      <c r="K527" s="308">
        <v>18</v>
      </c>
      <c r="L527" s="309">
        <v>49045.722222222219</v>
      </c>
      <c r="M527" s="310">
        <f t="shared" si="194"/>
        <v>882823</v>
      </c>
      <c r="N527" s="312">
        <v>20</v>
      </c>
      <c r="O527" s="312">
        <v>47828.35</v>
      </c>
      <c r="P527" s="313">
        <f t="shared" si="195"/>
        <v>956567</v>
      </c>
      <c r="Q527" s="308">
        <v>7</v>
      </c>
      <c r="R527" s="309">
        <v>40824.142857142855</v>
      </c>
      <c r="S527" s="310">
        <f t="shared" si="196"/>
        <v>285769</v>
      </c>
      <c r="T527" s="312">
        <v>7</v>
      </c>
      <c r="U527" s="312">
        <v>39006.428571428572</v>
      </c>
      <c r="V527" s="313">
        <f t="shared" si="197"/>
        <v>273045</v>
      </c>
      <c r="W527" s="308">
        <v>15</v>
      </c>
      <c r="X527" s="309">
        <v>41014.800000000003</v>
      </c>
      <c r="Y527" s="310">
        <f t="shared" si="198"/>
        <v>615222</v>
      </c>
      <c r="Z527" s="312">
        <v>13</v>
      </c>
      <c r="AA527" s="312">
        <v>43211.461538461539</v>
      </c>
      <c r="AB527" s="313">
        <f t="shared" si="199"/>
        <v>561749</v>
      </c>
      <c r="AC527" s="308"/>
      <c r="AD527" s="309"/>
      <c r="AE527" s="310">
        <f t="shared" si="200"/>
        <v>0</v>
      </c>
      <c r="AF527" s="311"/>
      <c r="AG527" s="312"/>
      <c r="AH527" s="313">
        <f t="shared" si="201"/>
        <v>0</v>
      </c>
      <c r="AI527" s="308"/>
      <c r="AJ527" s="309"/>
      <c r="AK527" s="310">
        <f t="shared" si="202"/>
        <v>0</v>
      </c>
      <c r="AL527" s="311"/>
      <c r="AM527" s="312"/>
      <c r="AN527" s="313">
        <f t="shared" si="203"/>
        <v>0</v>
      </c>
      <c r="AO527" s="308">
        <v>2</v>
      </c>
      <c r="AP527" s="309">
        <v>74891</v>
      </c>
      <c r="AQ527" s="310">
        <f t="shared" si="204"/>
        <v>122551.6324</v>
      </c>
      <c r="AR527" s="312">
        <v>2</v>
      </c>
      <c r="AS527" s="312">
        <v>76142</v>
      </c>
      <c r="AT527" s="313">
        <f t="shared" si="205"/>
        <v>124598.76880000001</v>
      </c>
      <c r="AU527" s="308">
        <v>4</v>
      </c>
      <c r="AV527" s="309">
        <v>64799</v>
      </c>
      <c r="AW527" s="310">
        <f t="shared" si="206"/>
        <v>212074.1672</v>
      </c>
      <c r="AX527" s="312">
        <v>4</v>
      </c>
      <c r="AY527" s="312">
        <v>64799.25</v>
      </c>
      <c r="AZ527" s="313">
        <f t="shared" si="207"/>
        <v>212074.98540000001</v>
      </c>
      <c r="BA527" s="308">
        <v>0</v>
      </c>
      <c r="BB527" s="309">
        <v>0</v>
      </c>
      <c r="BC527" s="310">
        <f t="shared" si="208"/>
        <v>0</v>
      </c>
      <c r="BD527" s="312"/>
      <c r="BE527" s="312"/>
      <c r="BF527" s="313">
        <f t="shared" si="209"/>
        <v>0</v>
      </c>
      <c r="BG527" s="308">
        <v>2</v>
      </c>
      <c r="BH527" s="309">
        <v>50734.5</v>
      </c>
      <c r="BI527" s="310">
        <f t="shared" si="210"/>
        <v>83021.935800000007</v>
      </c>
      <c r="BJ527" s="312">
        <v>1</v>
      </c>
      <c r="BK527" s="312">
        <v>45205</v>
      </c>
      <c r="BL527" s="313">
        <f t="shared" si="211"/>
        <v>36986.731</v>
      </c>
      <c r="BM527" s="308"/>
      <c r="BN527" s="309"/>
      <c r="BO527" s="310">
        <f t="shared" si="212"/>
        <v>0</v>
      </c>
      <c r="BP527" s="311"/>
      <c r="BQ527" s="312"/>
      <c r="BR527" s="313">
        <f t="shared" si="213"/>
        <v>0</v>
      </c>
      <c r="BS527" s="308"/>
      <c r="BT527" s="309"/>
      <c r="BU527" s="310">
        <f t="shared" si="214"/>
        <v>0</v>
      </c>
      <c r="BV527" s="311"/>
      <c r="BW527" s="312"/>
      <c r="BX527" s="313">
        <f t="shared" si="215"/>
        <v>0</v>
      </c>
    </row>
    <row r="528" spans="1:76">
      <c r="A528" s="341" t="s">
        <v>409</v>
      </c>
      <c r="B528" s="342" t="s">
        <v>91</v>
      </c>
      <c r="C528" s="341">
        <v>219596</v>
      </c>
      <c r="D528" s="327">
        <v>13</v>
      </c>
      <c r="E528" s="308"/>
      <c r="F528" s="309"/>
      <c r="G528" s="310">
        <f t="shared" si="192"/>
        <v>0</v>
      </c>
      <c r="H528" s="311"/>
      <c r="I528" s="312"/>
      <c r="J528" s="313">
        <f t="shared" si="193"/>
        <v>0</v>
      </c>
      <c r="K528" s="308"/>
      <c r="L528" s="309"/>
      <c r="M528" s="310">
        <f t="shared" si="194"/>
        <v>0</v>
      </c>
      <c r="N528" s="311"/>
      <c r="O528" s="312"/>
      <c r="P528" s="313">
        <f t="shared" si="195"/>
        <v>0</v>
      </c>
      <c r="Q528" s="308"/>
      <c r="R528" s="309"/>
      <c r="S528" s="310">
        <f t="shared" si="196"/>
        <v>0</v>
      </c>
      <c r="T528" s="311"/>
      <c r="U528" s="312"/>
      <c r="V528" s="313">
        <f t="shared" si="197"/>
        <v>0</v>
      </c>
      <c r="W528" s="308"/>
      <c r="X528" s="309"/>
      <c r="Y528" s="310">
        <f t="shared" si="198"/>
        <v>0</v>
      </c>
      <c r="Z528" s="311"/>
      <c r="AA528" s="312"/>
      <c r="AB528" s="313">
        <f t="shared" si="199"/>
        <v>0</v>
      </c>
      <c r="AC528" s="308"/>
      <c r="AD528" s="309"/>
      <c r="AE528" s="310">
        <f t="shared" si="200"/>
        <v>0</v>
      </c>
      <c r="AF528" s="311"/>
      <c r="AG528" s="312"/>
      <c r="AH528" s="313">
        <f t="shared" si="201"/>
        <v>0</v>
      </c>
      <c r="AI528" s="308"/>
      <c r="AJ528" s="309"/>
      <c r="AK528" s="310">
        <f t="shared" si="202"/>
        <v>0</v>
      </c>
      <c r="AL528" s="311"/>
      <c r="AM528" s="312"/>
      <c r="AN528" s="313">
        <f t="shared" si="203"/>
        <v>0</v>
      </c>
      <c r="AO528" s="308"/>
      <c r="AP528" s="309"/>
      <c r="AQ528" s="310">
        <f t="shared" si="204"/>
        <v>0</v>
      </c>
      <c r="AR528" s="311"/>
      <c r="AS528" s="312"/>
      <c r="AT528" s="313">
        <f t="shared" si="205"/>
        <v>0</v>
      </c>
      <c r="AU528" s="308"/>
      <c r="AV528" s="309"/>
      <c r="AW528" s="310">
        <f t="shared" si="206"/>
        <v>0</v>
      </c>
      <c r="AX528" s="311"/>
      <c r="AY528" s="312"/>
      <c r="AZ528" s="313">
        <f t="shared" si="207"/>
        <v>0</v>
      </c>
      <c r="BA528" s="308"/>
      <c r="BB528" s="309"/>
      <c r="BC528" s="310">
        <f t="shared" si="208"/>
        <v>0</v>
      </c>
      <c r="BD528" s="311"/>
      <c r="BE528" s="312"/>
      <c r="BF528" s="313">
        <f t="shared" si="209"/>
        <v>0</v>
      </c>
      <c r="BG528" s="308"/>
      <c r="BH528" s="309"/>
      <c r="BI528" s="310">
        <f t="shared" si="210"/>
        <v>0</v>
      </c>
      <c r="BJ528" s="311"/>
      <c r="BK528" s="312"/>
      <c r="BL528" s="313">
        <f t="shared" si="211"/>
        <v>0</v>
      </c>
      <c r="BM528" s="308"/>
      <c r="BN528" s="309"/>
      <c r="BO528" s="310">
        <f t="shared" si="212"/>
        <v>0</v>
      </c>
      <c r="BP528" s="311"/>
      <c r="BQ528" s="312"/>
      <c r="BR528" s="313">
        <f t="shared" si="213"/>
        <v>0</v>
      </c>
      <c r="BS528" s="308">
        <v>11</v>
      </c>
      <c r="BT528" s="309">
        <v>45701.402890909085</v>
      </c>
      <c r="BU528" s="310">
        <f t="shared" si="214"/>
        <v>411321.76629875996</v>
      </c>
      <c r="BV528" s="311">
        <v>9</v>
      </c>
      <c r="BW528" s="312">
        <v>45340</v>
      </c>
      <c r="BX528" s="313">
        <f t="shared" si="215"/>
        <v>333874.69200000004</v>
      </c>
    </row>
    <row r="529" spans="1:76">
      <c r="A529" s="341" t="s">
        <v>409</v>
      </c>
      <c r="B529" s="342" t="s">
        <v>92</v>
      </c>
      <c r="C529" s="341" t="s">
        <v>93</v>
      </c>
      <c r="D529" s="327">
        <v>13</v>
      </c>
      <c r="E529" s="308"/>
      <c r="F529" s="309"/>
      <c r="G529" s="310">
        <f t="shared" si="192"/>
        <v>0</v>
      </c>
      <c r="H529" s="311"/>
      <c r="I529" s="312"/>
      <c r="J529" s="313">
        <f t="shared" si="193"/>
        <v>0</v>
      </c>
      <c r="K529" s="308"/>
      <c r="L529" s="309"/>
      <c r="M529" s="310">
        <f t="shared" si="194"/>
        <v>0</v>
      </c>
      <c r="N529" s="311"/>
      <c r="O529" s="312"/>
      <c r="P529" s="313">
        <f t="shared" si="195"/>
        <v>0</v>
      </c>
      <c r="Q529" s="308"/>
      <c r="R529" s="309"/>
      <c r="S529" s="310">
        <f t="shared" si="196"/>
        <v>0</v>
      </c>
      <c r="T529" s="311"/>
      <c r="U529" s="312"/>
      <c r="V529" s="313">
        <f t="shared" si="197"/>
        <v>0</v>
      </c>
      <c r="W529" s="308"/>
      <c r="X529" s="309"/>
      <c r="Y529" s="310">
        <f t="shared" si="198"/>
        <v>0</v>
      </c>
      <c r="Z529" s="311"/>
      <c r="AA529" s="312"/>
      <c r="AB529" s="313">
        <f t="shared" si="199"/>
        <v>0</v>
      </c>
      <c r="AC529" s="308"/>
      <c r="AD529" s="309"/>
      <c r="AE529" s="310">
        <f t="shared" si="200"/>
        <v>0</v>
      </c>
      <c r="AF529" s="311"/>
      <c r="AG529" s="312"/>
      <c r="AH529" s="313">
        <f t="shared" si="201"/>
        <v>0</v>
      </c>
      <c r="AI529" s="308"/>
      <c r="AJ529" s="309"/>
      <c r="AK529" s="310">
        <f t="shared" si="202"/>
        <v>0</v>
      </c>
      <c r="AL529" s="311"/>
      <c r="AM529" s="312"/>
      <c r="AN529" s="313">
        <f t="shared" si="203"/>
        <v>0</v>
      </c>
      <c r="AO529" s="308"/>
      <c r="AP529" s="309"/>
      <c r="AQ529" s="310">
        <f t="shared" si="204"/>
        <v>0</v>
      </c>
      <c r="AR529" s="311"/>
      <c r="AS529" s="312"/>
      <c r="AT529" s="313">
        <f t="shared" si="205"/>
        <v>0</v>
      </c>
      <c r="AU529" s="308"/>
      <c r="AV529" s="309"/>
      <c r="AW529" s="310">
        <f t="shared" si="206"/>
        <v>0</v>
      </c>
      <c r="AX529" s="311"/>
      <c r="AY529" s="312"/>
      <c r="AZ529" s="313">
        <f t="shared" si="207"/>
        <v>0</v>
      </c>
      <c r="BA529" s="308"/>
      <c r="BB529" s="309"/>
      <c r="BC529" s="310">
        <f t="shared" si="208"/>
        <v>0</v>
      </c>
      <c r="BD529" s="311"/>
      <c r="BE529" s="312"/>
      <c r="BF529" s="313">
        <f t="shared" si="209"/>
        <v>0</v>
      </c>
      <c r="BG529" s="308"/>
      <c r="BH529" s="309"/>
      <c r="BI529" s="310">
        <f t="shared" si="210"/>
        <v>0</v>
      </c>
      <c r="BJ529" s="311"/>
      <c r="BK529" s="312"/>
      <c r="BL529" s="313">
        <f t="shared" si="211"/>
        <v>0</v>
      </c>
      <c r="BM529" s="308"/>
      <c r="BN529" s="309"/>
      <c r="BO529" s="310">
        <f t="shared" si="212"/>
        <v>0</v>
      </c>
      <c r="BP529" s="311"/>
      <c r="BQ529" s="312"/>
      <c r="BR529" s="313">
        <f t="shared" si="213"/>
        <v>0</v>
      </c>
      <c r="BS529" s="308">
        <v>35</v>
      </c>
      <c r="BT529" s="309">
        <v>49069.401805714275</v>
      </c>
      <c r="BU529" s="310">
        <f t="shared" si="214"/>
        <v>1405200.4595102398</v>
      </c>
      <c r="BV529" s="311">
        <v>34</v>
      </c>
      <c r="BW529" s="312">
        <v>47801.76470588235</v>
      </c>
      <c r="BX529" s="313">
        <f t="shared" si="215"/>
        <v>1329787.7320000001</v>
      </c>
    </row>
    <row r="530" spans="1:76">
      <c r="A530" s="341" t="s">
        <v>409</v>
      </c>
      <c r="B530" s="342" t="s">
        <v>94</v>
      </c>
      <c r="C530" s="341">
        <v>219921</v>
      </c>
      <c r="D530" s="327">
        <v>13</v>
      </c>
      <c r="E530" s="308"/>
      <c r="F530" s="309"/>
      <c r="G530" s="310">
        <f t="shared" si="192"/>
        <v>0</v>
      </c>
      <c r="H530" s="311"/>
      <c r="I530" s="312"/>
      <c r="J530" s="313">
        <f t="shared" si="193"/>
        <v>0</v>
      </c>
      <c r="K530" s="308"/>
      <c r="L530" s="309"/>
      <c r="M530" s="310">
        <f t="shared" si="194"/>
        <v>0</v>
      </c>
      <c r="N530" s="311"/>
      <c r="O530" s="312"/>
      <c r="P530" s="313">
        <f t="shared" si="195"/>
        <v>0</v>
      </c>
      <c r="Q530" s="308"/>
      <c r="R530" s="309"/>
      <c r="S530" s="310">
        <f t="shared" si="196"/>
        <v>0</v>
      </c>
      <c r="T530" s="311"/>
      <c r="U530" s="312"/>
      <c r="V530" s="313">
        <f t="shared" si="197"/>
        <v>0</v>
      </c>
      <c r="W530" s="308"/>
      <c r="X530" s="309"/>
      <c r="Y530" s="310">
        <f t="shared" si="198"/>
        <v>0</v>
      </c>
      <c r="Z530" s="311"/>
      <c r="AA530" s="312"/>
      <c r="AB530" s="313">
        <f t="shared" si="199"/>
        <v>0</v>
      </c>
      <c r="AC530" s="308"/>
      <c r="AD530" s="309"/>
      <c r="AE530" s="310">
        <f t="shared" si="200"/>
        <v>0</v>
      </c>
      <c r="AF530" s="311"/>
      <c r="AG530" s="312"/>
      <c r="AH530" s="313">
        <f t="shared" si="201"/>
        <v>0</v>
      </c>
      <c r="AI530" s="308"/>
      <c r="AJ530" s="309"/>
      <c r="AK530" s="310">
        <f t="shared" si="202"/>
        <v>0</v>
      </c>
      <c r="AL530" s="311"/>
      <c r="AM530" s="312"/>
      <c r="AN530" s="313">
        <f t="shared" si="203"/>
        <v>0</v>
      </c>
      <c r="AO530" s="308"/>
      <c r="AP530" s="309"/>
      <c r="AQ530" s="310">
        <f t="shared" si="204"/>
        <v>0</v>
      </c>
      <c r="AR530" s="311"/>
      <c r="AS530" s="312"/>
      <c r="AT530" s="313">
        <f t="shared" si="205"/>
        <v>0</v>
      </c>
      <c r="AU530" s="308"/>
      <c r="AV530" s="309"/>
      <c r="AW530" s="310">
        <f t="shared" si="206"/>
        <v>0</v>
      </c>
      <c r="AX530" s="311"/>
      <c r="AY530" s="312"/>
      <c r="AZ530" s="313">
        <f t="shared" si="207"/>
        <v>0</v>
      </c>
      <c r="BA530" s="308"/>
      <c r="BB530" s="309"/>
      <c r="BC530" s="310">
        <f t="shared" si="208"/>
        <v>0</v>
      </c>
      <c r="BD530" s="311"/>
      <c r="BE530" s="312"/>
      <c r="BF530" s="313">
        <f t="shared" si="209"/>
        <v>0</v>
      </c>
      <c r="BG530" s="308"/>
      <c r="BH530" s="309"/>
      <c r="BI530" s="310">
        <f t="shared" si="210"/>
        <v>0</v>
      </c>
      <c r="BJ530" s="311"/>
      <c r="BK530" s="312"/>
      <c r="BL530" s="313">
        <f t="shared" si="211"/>
        <v>0</v>
      </c>
      <c r="BM530" s="308"/>
      <c r="BN530" s="309"/>
      <c r="BO530" s="310">
        <f t="shared" si="212"/>
        <v>0</v>
      </c>
      <c r="BP530" s="311"/>
      <c r="BQ530" s="312"/>
      <c r="BR530" s="313">
        <f t="shared" si="213"/>
        <v>0</v>
      </c>
      <c r="BS530" s="308">
        <v>10</v>
      </c>
      <c r="BT530" s="309">
        <v>43262.518409999997</v>
      </c>
      <c r="BU530" s="310">
        <f t="shared" si="214"/>
        <v>353973.92563061998</v>
      </c>
      <c r="BV530" s="311">
        <v>5</v>
      </c>
      <c r="BW530" s="312">
        <v>44158.8</v>
      </c>
      <c r="BX530" s="313">
        <f t="shared" si="215"/>
        <v>180653.6508</v>
      </c>
    </row>
    <row r="531" spans="1:76">
      <c r="A531" s="341" t="s">
        <v>409</v>
      </c>
      <c r="B531" s="342" t="s">
        <v>95</v>
      </c>
      <c r="C531" s="341">
        <v>221591</v>
      </c>
      <c r="D531" s="327">
        <v>13</v>
      </c>
      <c r="E531" s="308"/>
      <c r="F531" s="309"/>
      <c r="G531" s="310">
        <f t="shared" si="192"/>
        <v>0</v>
      </c>
      <c r="H531" s="311"/>
      <c r="I531" s="312"/>
      <c r="J531" s="313">
        <f t="shared" si="193"/>
        <v>0</v>
      </c>
      <c r="K531" s="308"/>
      <c r="L531" s="309"/>
      <c r="M531" s="310">
        <f t="shared" si="194"/>
        <v>0</v>
      </c>
      <c r="N531" s="311"/>
      <c r="O531" s="312"/>
      <c r="P531" s="313">
        <f t="shared" si="195"/>
        <v>0</v>
      </c>
      <c r="Q531" s="308"/>
      <c r="R531" s="309"/>
      <c r="S531" s="310">
        <f t="shared" si="196"/>
        <v>0</v>
      </c>
      <c r="T531" s="311"/>
      <c r="U531" s="312"/>
      <c r="V531" s="313">
        <f t="shared" si="197"/>
        <v>0</v>
      </c>
      <c r="W531" s="308"/>
      <c r="X531" s="309"/>
      <c r="Y531" s="310">
        <f t="shared" si="198"/>
        <v>0</v>
      </c>
      <c r="Z531" s="311"/>
      <c r="AA531" s="312"/>
      <c r="AB531" s="313">
        <f t="shared" si="199"/>
        <v>0</v>
      </c>
      <c r="AC531" s="308"/>
      <c r="AD531" s="309"/>
      <c r="AE531" s="310">
        <f t="shared" si="200"/>
        <v>0</v>
      </c>
      <c r="AF531" s="311"/>
      <c r="AG531" s="312"/>
      <c r="AH531" s="313">
        <f t="shared" si="201"/>
        <v>0</v>
      </c>
      <c r="AI531" s="308"/>
      <c r="AJ531" s="309"/>
      <c r="AK531" s="310">
        <f t="shared" si="202"/>
        <v>0</v>
      </c>
      <c r="AL531" s="311"/>
      <c r="AM531" s="312"/>
      <c r="AN531" s="313">
        <f t="shared" si="203"/>
        <v>0</v>
      </c>
      <c r="AO531" s="308"/>
      <c r="AP531" s="309"/>
      <c r="AQ531" s="310">
        <f t="shared" si="204"/>
        <v>0</v>
      </c>
      <c r="AR531" s="311"/>
      <c r="AS531" s="312"/>
      <c r="AT531" s="313">
        <f t="shared" si="205"/>
        <v>0</v>
      </c>
      <c r="AU531" s="308"/>
      <c r="AV531" s="309"/>
      <c r="AW531" s="310">
        <f t="shared" si="206"/>
        <v>0</v>
      </c>
      <c r="AX531" s="311"/>
      <c r="AY531" s="312"/>
      <c r="AZ531" s="313">
        <f t="shared" si="207"/>
        <v>0</v>
      </c>
      <c r="BA531" s="308"/>
      <c r="BB531" s="309"/>
      <c r="BC531" s="310">
        <f t="shared" si="208"/>
        <v>0</v>
      </c>
      <c r="BD531" s="311"/>
      <c r="BE531" s="312"/>
      <c r="BF531" s="313">
        <f t="shared" si="209"/>
        <v>0</v>
      </c>
      <c r="BG531" s="308"/>
      <c r="BH531" s="309"/>
      <c r="BI531" s="310">
        <f t="shared" si="210"/>
        <v>0</v>
      </c>
      <c r="BJ531" s="311"/>
      <c r="BK531" s="312"/>
      <c r="BL531" s="313">
        <f t="shared" si="211"/>
        <v>0</v>
      </c>
      <c r="BM531" s="308"/>
      <c r="BN531" s="309"/>
      <c r="BO531" s="310">
        <f t="shared" si="212"/>
        <v>0</v>
      </c>
      <c r="BP531" s="311"/>
      <c r="BQ531" s="312"/>
      <c r="BR531" s="313">
        <f t="shared" si="213"/>
        <v>0</v>
      </c>
      <c r="BS531" s="308">
        <v>21</v>
      </c>
      <c r="BT531" s="309">
        <v>46184.496152380947</v>
      </c>
      <c r="BU531" s="310">
        <f t="shared" si="214"/>
        <v>793551.24978943996</v>
      </c>
      <c r="BV531" s="311">
        <v>19</v>
      </c>
      <c r="BW531" s="312">
        <v>45791.789473684214</v>
      </c>
      <c r="BX531" s="313">
        <f t="shared" si="215"/>
        <v>711870.00080000004</v>
      </c>
    </row>
    <row r="532" spans="1:76">
      <c r="A532" s="341" t="s">
        <v>409</v>
      </c>
      <c r="B532" s="342" t="s">
        <v>96</v>
      </c>
      <c r="C532" s="341">
        <v>221430</v>
      </c>
      <c r="D532" s="327">
        <v>13</v>
      </c>
      <c r="E532" s="308"/>
      <c r="F532" s="309"/>
      <c r="G532" s="310">
        <f t="shared" si="192"/>
        <v>0</v>
      </c>
      <c r="H532" s="311"/>
      <c r="I532" s="312"/>
      <c r="J532" s="313">
        <f t="shared" si="193"/>
        <v>0</v>
      </c>
      <c r="K532" s="308"/>
      <c r="L532" s="309"/>
      <c r="M532" s="310">
        <f t="shared" si="194"/>
        <v>0</v>
      </c>
      <c r="N532" s="311"/>
      <c r="O532" s="312"/>
      <c r="P532" s="313">
        <f t="shared" si="195"/>
        <v>0</v>
      </c>
      <c r="Q532" s="308"/>
      <c r="R532" s="309"/>
      <c r="S532" s="310">
        <f t="shared" si="196"/>
        <v>0</v>
      </c>
      <c r="T532" s="311"/>
      <c r="U532" s="312"/>
      <c r="V532" s="313">
        <f t="shared" si="197"/>
        <v>0</v>
      </c>
      <c r="W532" s="308"/>
      <c r="X532" s="309"/>
      <c r="Y532" s="310">
        <f t="shared" si="198"/>
        <v>0</v>
      </c>
      <c r="Z532" s="311"/>
      <c r="AA532" s="312"/>
      <c r="AB532" s="313">
        <f t="shared" si="199"/>
        <v>0</v>
      </c>
      <c r="AC532" s="308"/>
      <c r="AD532" s="309"/>
      <c r="AE532" s="310">
        <f t="shared" si="200"/>
        <v>0</v>
      </c>
      <c r="AF532" s="311"/>
      <c r="AG532" s="312"/>
      <c r="AH532" s="313">
        <f t="shared" si="201"/>
        <v>0</v>
      </c>
      <c r="AI532" s="308"/>
      <c r="AJ532" s="309"/>
      <c r="AK532" s="310">
        <f t="shared" si="202"/>
        <v>0</v>
      </c>
      <c r="AL532" s="311"/>
      <c r="AM532" s="312"/>
      <c r="AN532" s="313">
        <f t="shared" si="203"/>
        <v>0</v>
      </c>
      <c r="AO532" s="308"/>
      <c r="AP532" s="309"/>
      <c r="AQ532" s="310">
        <f t="shared" si="204"/>
        <v>0</v>
      </c>
      <c r="AR532" s="311"/>
      <c r="AS532" s="312"/>
      <c r="AT532" s="313">
        <f t="shared" si="205"/>
        <v>0</v>
      </c>
      <c r="AU532" s="308"/>
      <c r="AV532" s="309"/>
      <c r="AW532" s="310">
        <f t="shared" si="206"/>
        <v>0</v>
      </c>
      <c r="AX532" s="311"/>
      <c r="AY532" s="312"/>
      <c r="AZ532" s="313">
        <f t="shared" si="207"/>
        <v>0</v>
      </c>
      <c r="BA532" s="308"/>
      <c r="BB532" s="309"/>
      <c r="BC532" s="310">
        <f t="shared" si="208"/>
        <v>0</v>
      </c>
      <c r="BD532" s="311"/>
      <c r="BE532" s="312"/>
      <c r="BF532" s="313">
        <f t="shared" si="209"/>
        <v>0</v>
      </c>
      <c r="BG532" s="308"/>
      <c r="BH532" s="309"/>
      <c r="BI532" s="310">
        <f t="shared" si="210"/>
        <v>0</v>
      </c>
      <c r="BJ532" s="311"/>
      <c r="BK532" s="312"/>
      <c r="BL532" s="313">
        <f t="shared" si="211"/>
        <v>0</v>
      </c>
      <c r="BM532" s="308"/>
      <c r="BN532" s="309"/>
      <c r="BO532" s="310">
        <f t="shared" si="212"/>
        <v>0</v>
      </c>
      <c r="BP532" s="311"/>
      <c r="BQ532" s="312"/>
      <c r="BR532" s="313">
        <f t="shared" si="213"/>
        <v>0</v>
      </c>
      <c r="BS532" s="308">
        <v>14</v>
      </c>
      <c r="BT532" s="309">
        <v>46478.742764285715</v>
      </c>
      <c r="BU532" s="310">
        <f t="shared" si="214"/>
        <v>532404.70261634002</v>
      </c>
      <c r="BV532" s="311">
        <v>8</v>
      </c>
      <c r="BW532" s="312">
        <v>49423.25</v>
      </c>
      <c r="BX532" s="313">
        <f t="shared" si="215"/>
        <v>323504.82520000002</v>
      </c>
    </row>
    <row r="533" spans="1:76">
      <c r="A533" s="341" t="s">
        <v>409</v>
      </c>
      <c r="B533" s="342" t="s">
        <v>97</v>
      </c>
      <c r="C533" s="341">
        <v>219994</v>
      </c>
      <c r="D533" s="327">
        <v>13</v>
      </c>
      <c r="E533" s="308"/>
      <c r="F533" s="309"/>
      <c r="G533" s="310">
        <f t="shared" si="192"/>
        <v>0</v>
      </c>
      <c r="H533" s="311"/>
      <c r="I533" s="312"/>
      <c r="J533" s="313">
        <f t="shared" si="193"/>
        <v>0</v>
      </c>
      <c r="K533" s="308"/>
      <c r="L533" s="309"/>
      <c r="M533" s="310">
        <f t="shared" si="194"/>
        <v>0</v>
      </c>
      <c r="N533" s="311"/>
      <c r="O533" s="312"/>
      <c r="P533" s="313">
        <f t="shared" si="195"/>
        <v>0</v>
      </c>
      <c r="Q533" s="308"/>
      <c r="R533" s="309"/>
      <c r="S533" s="310">
        <f t="shared" si="196"/>
        <v>0</v>
      </c>
      <c r="T533" s="311"/>
      <c r="U533" s="312"/>
      <c r="V533" s="313">
        <f t="shared" si="197"/>
        <v>0</v>
      </c>
      <c r="W533" s="308"/>
      <c r="X533" s="309"/>
      <c r="Y533" s="310">
        <f t="shared" si="198"/>
        <v>0</v>
      </c>
      <c r="Z533" s="311"/>
      <c r="AA533" s="312"/>
      <c r="AB533" s="313">
        <f t="shared" si="199"/>
        <v>0</v>
      </c>
      <c r="AC533" s="308"/>
      <c r="AD533" s="309"/>
      <c r="AE533" s="310">
        <f t="shared" si="200"/>
        <v>0</v>
      </c>
      <c r="AF533" s="311"/>
      <c r="AG533" s="312"/>
      <c r="AH533" s="313">
        <f t="shared" si="201"/>
        <v>0</v>
      </c>
      <c r="AI533" s="308"/>
      <c r="AJ533" s="309"/>
      <c r="AK533" s="310">
        <f t="shared" si="202"/>
        <v>0</v>
      </c>
      <c r="AL533" s="311"/>
      <c r="AM533" s="312"/>
      <c r="AN533" s="313">
        <f t="shared" si="203"/>
        <v>0</v>
      </c>
      <c r="AO533" s="308"/>
      <c r="AP533" s="309"/>
      <c r="AQ533" s="310">
        <f t="shared" si="204"/>
        <v>0</v>
      </c>
      <c r="AR533" s="311"/>
      <c r="AS533" s="312"/>
      <c r="AT533" s="313">
        <f t="shared" si="205"/>
        <v>0</v>
      </c>
      <c r="AU533" s="308"/>
      <c r="AV533" s="309"/>
      <c r="AW533" s="310">
        <f t="shared" si="206"/>
        <v>0</v>
      </c>
      <c r="AX533" s="311"/>
      <c r="AY533" s="312"/>
      <c r="AZ533" s="313">
        <f t="shared" si="207"/>
        <v>0</v>
      </c>
      <c r="BA533" s="308"/>
      <c r="BB533" s="309"/>
      <c r="BC533" s="310">
        <f t="shared" si="208"/>
        <v>0</v>
      </c>
      <c r="BD533" s="311"/>
      <c r="BE533" s="312"/>
      <c r="BF533" s="313">
        <f t="shared" si="209"/>
        <v>0</v>
      </c>
      <c r="BG533" s="308"/>
      <c r="BH533" s="309"/>
      <c r="BI533" s="310">
        <f t="shared" si="210"/>
        <v>0</v>
      </c>
      <c r="BJ533" s="311"/>
      <c r="BK533" s="312"/>
      <c r="BL533" s="313">
        <f t="shared" si="211"/>
        <v>0</v>
      </c>
      <c r="BM533" s="308"/>
      <c r="BN533" s="309"/>
      <c r="BO533" s="310">
        <f t="shared" si="212"/>
        <v>0</v>
      </c>
      <c r="BP533" s="311"/>
      <c r="BQ533" s="312"/>
      <c r="BR533" s="313">
        <f t="shared" si="213"/>
        <v>0</v>
      </c>
      <c r="BS533" s="308">
        <v>24</v>
      </c>
      <c r="BT533" s="309">
        <v>45106.650083333334</v>
      </c>
      <c r="BU533" s="310">
        <f t="shared" si="214"/>
        <v>885750.26635639998</v>
      </c>
      <c r="BV533" s="311">
        <v>14</v>
      </c>
      <c r="BW533" s="312">
        <v>47277</v>
      </c>
      <c r="BX533" s="313">
        <f t="shared" si="215"/>
        <v>541548.57960000006</v>
      </c>
    </row>
    <row r="534" spans="1:76">
      <c r="A534" s="341" t="s">
        <v>409</v>
      </c>
      <c r="B534" s="342" t="s">
        <v>98</v>
      </c>
      <c r="C534" s="341">
        <v>220127</v>
      </c>
      <c r="D534" s="327">
        <v>13</v>
      </c>
      <c r="E534" s="308"/>
      <c r="F534" s="309"/>
      <c r="G534" s="310">
        <f t="shared" si="192"/>
        <v>0</v>
      </c>
      <c r="H534" s="311"/>
      <c r="I534" s="312"/>
      <c r="J534" s="313">
        <f t="shared" si="193"/>
        <v>0</v>
      </c>
      <c r="K534" s="308"/>
      <c r="L534" s="309"/>
      <c r="M534" s="310">
        <f t="shared" si="194"/>
        <v>0</v>
      </c>
      <c r="N534" s="311"/>
      <c r="O534" s="312"/>
      <c r="P534" s="313">
        <f t="shared" si="195"/>
        <v>0</v>
      </c>
      <c r="Q534" s="308"/>
      <c r="R534" s="309"/>
      <c r="S534" s="310">
        <f t="shared" si="196"/>
        <v>0</v>
      </c>
      <c r="T534" s="311"/>
      <c r="U534" s="312"/>
      <c r="V534" s="313">
        <f t="shared" si="197"/>
        <v>0</v>
      </c>
      <c r="W534" s="308"/>
      <c r="X534" s="309"/>
      <c r="Y534" s="310">
        <f t="shared" si="198"/>
        <v>0</v>
      </c>
      <c r="Z534" s="311"/>
      <c r="AA534" s="312"/>
      <c r="AB534" s="313">
        <f t="shared" si="199"/>
        <v>0</v>
      </c>
      <c r="AC534" s="308"/>
      <c r="AD534" s="309"/>
      <c r="AE534" s="310">
        <f t="shared" si="200"/>
        <v>0</v>
      </c>
      <c r="AF534" s="311"/>
      <c r="AG534" s="312"/>
      <c r="AH534" s="313">
        <f t="shared" si="201"/>
        <v>0</v>
      </c>
      <c r="AI534" s="308"/>
      <c r="AJ534" s="309"/>
      <c r="AK534" s="310">
        <f t="shared" si="202"/>
        <v>0</v>
      </c>
      <c r="AL534" s="311"/>
      <c r="AM534" s="312"/>
      <c r="AN534" s="313">
        <f t="shared" si="203"/>
        <v>0</v>
      </c>
      <c r="AO534" s="308"/>
      <c r="AP534" s="309"/>
      <c r="AQ534" s="310">
        <f t="shared" si="204"/>
        <v>0</v>
      </c>
      <c r="AR534" s="311"/>
      <c r="AS534" s="312"/>
      <c r="AT534" s="313">
        <f t="shared" si="205"/>
        <v>0</v>
      </c>
      <c r="AU534" s="308"/>
      <c r="AV534" s="309"/>
      <c r="AW534" s="310">
        <f t="shared" si="206"/>
        <v>0</v>
      </c>
      <c r="AX534" s="311"/>
      <c r="AY534" s="312"/>
      <c r="AZ534" s="313">
        <f t="shared" si="207"/>
        <v>0</v>
      </c>
      <c r="BA534" s="308"/>
      <c r="BB534" s="309"/>
      <c r="BC534" s="310">
        <f t="shared" si="208"/>
        <v>0</v>
      </c>
      <c r="BD534" s="311"/>
      <c r="BE534" s="312"/>
      <c r="BF534" s="313">
        <f t="shared" si="209"/>
        <v>0</v>
      </c>
      <c r="BG534" s="308"/>
      <c r="BH534" s="309"/>
      <c r="BI534" s="310">
        <f t="shared" si="210"/>
        <v>0</v>
      </c>
      <c r="BJ534" s="311"/>
      <c r="BK534" s="312"/>
      <c r="BL534" s="313">
        <f t="shared" si="211"/>
        <v>0</v>
      </c>
      <c r="BM534" s="308"/>
      <c r="BN534" s="309"/>
      <c r="BO534" s="310">
        <f t="shared" si="212"/>
        <v>0</v>
      </c>
      <c r="BP534" s="311"/>
      <c r="BQ534" s="312"/>
      <c r="BR534" s="313">
        <f t="shared" si="213"/>
        <v>0</v>
      </c>
      <c r="BS534" s="308">
        <v>15</v>
      </c>
      <c r="BT534" s="309">
        <v>46120.269186666665</v>
      </c>
      <c r="BU534" s="310">
        <f t="shared" si="214"/>
        <v>566034.06372795999</v>
      </c>
      <c r="BV534" s="311">
        <v>15</v>
      </c>
      <c r="BW534" s="312">
        <v>45240.933333333334</v>
      </c>
      <c r="BX534" s="313">
        <f t="shared" si="215"/>
        <v>555241.97480000008</v>
      </c>
    </row>
    <row r="535" spans="1:76">
      <c r="A535" s="341" t="s">
        <v>409</v>
      </c>
      <c r="B535" s="342" t="s">
        <v>99</v>
      </c>
      <c r="C535" s="341">
        <v>220251</v>
      </c>
      <c r="D535" s="327">
        <v>13</v>
      </c>
      <c r="E535" s="308"/>
      <c r="F535" s="309"/>
      <c r="G535" s="310">
        <f t="shared" si="192"/>
        <v>0</v>
      </c>
      <c r="H535" s="311"/>
      <c r="I535" s="312"/>
      <c r="J535" s="313">
        <f t="shared" si="193"/>
        <v>0</v>
      </c>
      <c r="K535" s="308"/>
      <c r="L535" s="309"/>
      <c r="M535" s="310">
        <f t="shared" si="194"/>
        <v>0</v>
      </c>
      <c r="N535" s="311"/>
      <c r="O535" s="312"/>
      <c r="P535" s="313">
        <f t="shared" si="195"/>
        <v>0</v>
      </c>
      <c r="Q535" s="308"/>
      <c r="R535" s="309"/>
      <c r="S535" s="310">
        <f t="shared" si="196"/>
        <v>0</v>
      </c>
      <c r="T535" s="311"/>
      <c r="U535" s="312"/>
      <c r="V535" s="313">
        <f t="shared" si="197"/>
        <v>0</v>
      </c>
      <c r="W535" s="308"/>
      <c r="X535" s="309"/>
      <c r="Y535" s="310">
        <f t="shared" si="198"/>
        <v>0</v>
      </c>
      <c r="Z535" s="311"/>
      <c r="AA535" s="312"/>
      <c r="AB535" s="313">
        <f t="shared" si="199"/>
        <v>0</v>
      </c>
      <c r="AC535" s="308"/>
      <c r="AD535" s="309"/>
      <c r="AE535" s="310">
        <f t="shared" si="200"/>
        <v>0</v>
      </c>
      <c r="AF535" s="311"/>
      <c r="AG535" s="312"/>
      <c r="AH535" s="313">
        <f t="shared" si="201"/>
        <v>0</v>
      </c>
      <c r="AI535" s="308"/>
      <c r="AJ535" s="309"/>
      <c r="AK535" s="310">
        <f t="shared" si="202"/>
        <v>0</v>
      </c>
      <c r="AL535" s="311"/>
      <c r="AM535" s="312"/>
      <c r="AN535" s="313">
        <f t="shared" si="203"/>
        <v>0</v>
      </c>
      <c r="AO535" s="308"/>
      <c r="AP535" s="309"/>
      <c r="AQ535" s="310">
        <f t="shared" si="204"/>
        <v>0</v>
      </c>
      <c r="AR535" s="311"/>
      <c r="AS535" s="312"/>
      <c r="AT535" s="313">
        <f t="shared" si="205"/>
        <v>0</v>
      </c>
      <c r="AU535" s="308"/>
      <c r="AV535" s="309"/>
      <c r="AW535" s="310">
        <f t="shared" si="206"/>
        <v>0</v>
      </c>
      <c r="AX535" s="311"/>
      <c r="AY535" s="312"/>
      <c r="AZ535" s="313">
        <f t="shared" si="207"/>
        <v>0</v>
      </c>
      <c r="BA535" s="308"/>
      <c r="BB535" s="309"/>
      <c r="BC535" s="310">
        <f t="shared" si="208"/>
        <v>0</v>
      </c>
      <c r="BD535" s="311"/>
      <c r="BE535" s="312"/>
      <c r="BF535" s="313">
        <f t="shared" si="209"/>
        <v>0</v>
      </c>
      <c r="BG535" s="308"/>
      <c r="BH535" s="309"/>
      <c r="BI535" s="310">
        <f t="shared" si="210"/>
        <v>0</v>
      </c>
      <c r="BJ535" s="311"/>
      <c r="BK535" s="312"/>
      <c r="BL535" s="313">
        <f t="shared" si="211"/>
        <v>0</v>
      </c>
      <c r="BM535" s="308"/>
      <c r="BN535" s="309"/>
      <c r="BO535" s="310">
        <f t="shared" si="212"/>
        <v>0</v>
      </c>
      <c r="BP535" s="311"/>
      <c r="BQ535" s="312"/>
      <c r="BR535" s="313">
        <f t="shared" si="213"/>
        <v>0</v>
      </c>
      <c r="BS535" s="308">
        <v>11</v>
      </c>
      <c r="BT535" s="309">
        <v>40355.597145454543</v>
      </c>
      <c r="BU535" s="310">
        <f t="shared" si="214"/>
        <v>363208.44542852003</v>
      </c>
      <c r="BV535" s="311">
        <v>11</v>
      </c>
      <c r="BW535" s="312">
        <v>39924.818181818184</v>
      </c>
      <c r="BX535" s="313">
        <f t="shared" si="215"/>
        <v>359331.34860000003</v>
      </c>
    </row>
    <row r="536" spans="1:76">
      <c r="A536" s="341" t="s">
        <v>409</v>
      </c>
      <c r="B536" s="342" t="s">
        <v>100</v>
      </c>
      <c r="C536" s="341">
        <v>220279</v>
      </c>
      <c r="D536" s="327">
        <v>13</v>
      </c>
      <c r="E536" s="308"/>
      <c r="F536" s="309"/>
      <c r="G536" s="310">
        <f t="shared" si="192"/>
        <v>0</v>
      </c>
      <c r="H536" s="311"/>
      <c r="I536" s="312"/>
      <c r="J536" s="313">
        <f t="shared" si="193"/>
        <v>0</v>
      </c>
      <c r="K536" s="308"/>
      <c r="L536" s="309"/>
      <c r="M536" s="310">
        <f t="shared" si="194"/>
        <v>0</v>
      </c>
      <c r="N536" s="311"/>
      <c r="O536" s="312"/>
      <c r="P536" s="313">
        <f t="shared" si="195"/>
        <v>0</v>
      </c>
      <c r="Q536" s="308"/>
      <c r="R536" s="309"/>
      <c r="S536" s="310">
        <f t="shared" si="196"/>
        <v>0</v>
      </c>
      <c r="T536" s="311"/>
      <c r="U536" s="312"/>
      <c r="V536" s="313">
        <f t="shared" si="197"/>
        <v>0</v>
      </c>
      <c r="W536" s="308"/>
      <c r="X536" s="309"/>
      <c r="Y536" s="310">
        <f t="shared" si="198"/>
        <v>0</v>
      </c>
      <c r="Z536" s="311"/>
      <c r="AA536" s="312"/>
      <c r="AB536" s="313">
        <f t="shared" si="199"/>
        <v>0</v>
      </c>
      <c r="AC536" s="308"/>
      <c r="AD536" s="309"/>
      <c r="AE536" s="310">
        <f t="shared" si="200"/>
        <v>0</v>
      </c>
      <c r="AF536" s="311"/>
      <c r="AG536" s="312"/>
      <c r="AH536" s="313">
        <f t="shared" si="201"/>
        <v>0</v>
      </c>
      <c r="AI536" s="308"/>
      <c r="AJ536" s="309"/>
      <c r="AK536" s="310">
        <f t="shared" si="202"/>
        <v>0</v>
      </c>
      <c r="AL536" s="311"/>
      <c r="AM536" s="312"/>
      <c r="AN536" s="313">
        <f t="shared" si="203"/>
        <v>0</v>
      </c>
      <c r="AO536" s="308"/>
      <c r="AP536" s="309"/>
      <c r="AQ536" s="310">
        <f t="shared" si="204"/>
        <v>0</v>
      </c>
      <c r="AR536" s="311"/>
      <c r="AS536" s="312"/>
      <c r="AT536" s="313">
        <f t="shared" si="205"/>
        <v>0</v>
      </c>
      <c r="AU536" s="308"/>
      <c r="AV536" s="309"/>
      <c r="AW536" s="310">
        <f t="shared" si="206"/>
        <v>0</v>
      </c>
      <c r="AX536" s="311"/>
      <c r="AY536" s="312"/>
      <c r="AZ536" s="313">
        <f t="shared" si="207"/>
        <v>0</v>
      </c>
      <c r="BA536" s="308"/>
      <c r="BB536" s="309"/>
      <c r="BC536" s="310">
        <f t="shared" si="208"/>
        <v>0</v>
      </c>
      <c r="BD536" s="311"/>
      <c r="BE536" s="312"/>
      <c r="BF536" s="313">
        <f t="shared" si="209"/>
        <v>0</v>
      </c>
      <c r="BG536" s="308"/>
      <c r="BH536" s="309"/>
      <c r="BI536" s="310">
        <f t="shared" si="210"/>
        <v>0</v>
      </c>
      <c r="BJ536" s="311"/>
      <c r="BK536" s="312"/>
      <c r="BL536" s="313">
        <f t="shared" si="211"/>
        <v>0</v>
      </c>
      <c r="BM536" s="308"/>
      <c r="BN536" s="309"/>
      <c r="BO536" s="310">
        <f t="shared" si="212"/>
        <v>0</v>
      </c>
      <c r="BP536" s="311"/>
      <c r="BQ536" s="312"/>
      <c r="BR536" s="313">
        <f t="shared" si="213"/>
        <v>0</v>
      </c>
      <c r="BS536" s="308">
        <v>10</v>
      </c>
      <c r="BT536" s="309">
        <v>45938.051519999994</v>
      </c>
      <c r="BU536" s="310">
        <f t="shared" si="214"/>
        <v>375865.13753663993</v>
      </c>
      <c r="BV536" s="311">
        <v>11</v>
      </c>
      <c r="BW536" s="312">
        <v>44207.272727272728</v>
      </c>
      <c r="BX536" s="313">
        <f t="shared" si="215"/>
        <v>397874.29600000003</v>
      </c>
    </row>
    <row r="537" spans="1:76">
      <c r="A537" s="341" t="s">
        <v>409</v>
      </c>
      <c r="B537" s="342" t="s">
        <v>101</v>
      </c>
      <c r="C537" s="341">
        <v>220321</v>
      </c>
      <c r="D537" s="327">
        <v>13</v>
      </c>
      <c r="E537" s="308"/>
      <c r="F537" s="309"/>
      <c r="G537" s="310">
        <f t="shared" si="192"/>
        <v>0</v>
      </c>
      <c r="H537" s="311"/>
      <c r="I537" s="312"/>
      <c r="J537" s="313">
        <f t="shared" si="193"/>
        <v>0</v>
      </c>
      <c r="K537" s="308"/>
      <c r="L537" s="309"/>
      <c r="M537" s="310">
        <f t="shared" si="194"/>
        <v>0</v>
      </c>
      <c r="N537" s="311"/>
      <c r="O537" s="312"/>
      <c r="P537" s="313">
        <f t="shared" si="195"/>
        <v>0</v>
      </c>
      <c r="Q537" s="308"/>
      <c r="R537" s="309"/>
      <c r="S537" s="310">
        <f t="shared" si="196"/>
        <v>0</v>
      </c>
      <c r="T537" s="311"/>
      <c r="U537" s="312"/>
      <c r="V537" s="313">
        <f t="shared" si="197"/>
        <v>0</v>
      </c>
      <c r="W537" s="308"/>
      <c r="X537" s="309"/>
      <c r="Y537" s="310">
        <f t="shared" si="198"/>
        <v>0</v>
      </c>
      <c r="Z537" s="311"/>
      <c r="AA537" s="312"/>
      <c r="AB537" s="313">
        <f t="shared" si="199"/>
        <v>0</v>
      </c>
      <c r="AC537" s="308"/>
      <c r="AD537" s="309"/>
      <c r="AE537" s="310">
        <f t="shared" si="200"/>
        <v>0</v>
      </c>
      <c r="AF537" s="311"/>
      <c r="AG537" s="312"/>
      <c r="AH537" s="313">
        <f t="shared" si="201"/>
        <v>0</v>
      </c>
      <c r="AI537" s="308"/>
      <c r="AJ537" s="309"/>
      <c r="AK537" s="310">
        <f t="shared" si="202"/>
        <v>0</v>
      </c>
      <c r="AL537" s="311"/>
      <c r="AM537" s="312"/>
      <c r="AN537" s="313">
        <f t="shared" si="203"/>
        <v>0</v>
      </c>
      <c r="AO537" s="308"/>
      <c r="AP537" s="309"/>
      <c r="AQ537" s="310">
        <f t="shared" si="204"/>
        <v>0</v>
      </c>
      <c r="AR537" s="311"/>
      <c r="AS537" s="312"/>
      <c r="AT537" s="313">
        <f t="shared" si="205"/>
        <v>0</v>
      </c>
      <c r="AU537" s="308"/>
      <c r="AV537" s="309"/>
      <c r="AW537" s="310">
        <f t="shared" si="206"/>
        <v>0</v>
      </c>
      <c r="AX537" s="311"/>
      <c r="AY537" s="312"/>
      <c r="AZ537" s="313">
        <f t="shared" si="207"/>
        <v>0</v>
      </c>
      <c r="BA537" s="308"/>
      <c r="BB537" s="309"/>
      <c r="BC537" s="310">
        <f t="shared" si="208"/>
        <v>0</v>
      </c>
      <c r="BD537" s="311"/>
      <c r="BE537" s="312"/>
      <c r="BF537" s="313">
        <f t="shared" si="209"/>
        <v>0</v>
      </c>
      <c r="BG537" s="308"/>
      <c r="BH537" s="309"/>
      <c r="BI537" s="310">
        <f t="shared" si="210"/>
        <v>0</v>
      </c>
      <c r="BJ537" s="311"/>
      <c r="BK537" s="312"/>
      <c r="BL537" s="313">
        <f t="shared" si="211"/>
        <v>0</v>
      </c>
      <c r="BM537" s="308"/>
      <c r="BN537" s="309"/>
      <c r="BO537" s="310">
        <f t="shared" si="212"/>
        <v>0</v>
      </c>
      <c r="BP537" s="311"/>
      <c r="BQ537" s="312"/>
      <c r="BR537" s="313">
        <f t="shared" si="213"/>
        <v>0</v>
      </c>
      <c r="BS537" s="308">
        <v>19</v>
      </c>
      <c r="BT537" s="309">
        <v>42323.292768421059</v>
      </c>
      <c r="BU537" s="310">
        <f t="shared" si="214"/>
        <v>657949.44471932005</v>
      </c>
      <c r="BV537" s="311">
        <v>19</v>
      </c>
      <c r="BW537" s="312">
        <v>41803.368421052633</v>
      </c>
      <c r="BX537" s="313">
        <f t="shared" si="215"/>
        <v>649866.80480000004</v>
      </c>
    </row>
    <row r="538" spans="1:76">
      <c r="A538" s="341" t="s">
        <v>409</v>
      </c>
      <c r="B538" s="342" t="s">
        <v>102</v>
      </c>
      <c r="C538" s="341">
        <v>220394</v>
      </c>
      <c r="D538" s="327">
        <v>13</v>
      </c>
      <c r="E538" s="308"/>
      <c r="F538" s="309"/>
      <c r="G538" s="310">
        <f t="shared" si="192"/>
        <v>0</v>
      </c>
      <c r="H538" s="311"/>
      <c r="I538" s="312"/>
      <c r="J538" s="313">
        <f t="shared" si="193"/>
        <v>0</v>
      </c>
      <c r="K538" s="308"/>
      <c r="L538" s="309"/>
      <c r="M538" s="310">
        <f t="shared" si="194"/>
        <v>0</v>
      </c>
      <c r="N538" s="311"/>
      <c r="O538" s="312"/>
      <c r="P538" s="313">
        <f t="shared" si="195"/>
        <v>0</v>
      </c>
      <c r="Q538" s="308"/>
      <c r="R538" s="309"/>
      <c r="S538" s="310">
        <f t="shared" si="196"/>
        <v>0</v>
      </c>
      <c r="T538" s="311"/>
      <c r="U538" s="312"/>
      <c r="V538" s="313">
        <f t="shared" si="197"/>
        <v>0</v>
      </c>
      <c r="W538" s="308"/>
      <c r="X538" s="309"/>
      <c r="Y538" s="310">
        <f t="shared" si="198"/>
        <v>0</v>
      </c>
      <c r="Z538" s="311"/>
      <c r="AA538" s="312"/>
      <c r="AB538" s="313">
        <f t="shared" si="199"/>
        <v>0</v>
      </c>
      <c r="AC538" s="308"/>
      <c r="AD538" s="309"/>
      <c r="AE538" s="310">
        <f t="shared" si="200"/>
        <v>0</v>
      </c>
      <c r="AF538" s="311"/>
      <c r="AG538" s="312"/>
      <c r="AH538" s="313">
        <f t="shared" si="201"/>
        <v>0</v>
      </c>
      <c r="AI538" s="308"/>
      <c r="AJ538" s="309"/>
      <c r="AK538" s="310">
        <f t="shared" si="202"/>
        <v>0</v>
      </c>
      <c r="AL538" s="311"/>
      <c r="AM538" s="312"/>
      <c r="AN538" s="313">
        <f t="shared" si="203"/>
        <v>0</v>
      </c>
      <c r="AO538" s="308"/>
      <c r="AP538" s="309"/>
      <c r="AQ538" s="310">
        <f t="shared" si="204"/>
        <v>0</v>
      </c>
      <c r="AR538" s="311"/>
      <c r="AS538" s="312"/>
      <c r="AT538" s="313">
        <f t="shared" si="205"/>
        <v>0</v>
      </c>
      <c r="AU538" s="308"/>
      <c r="AV538" s="309"/>
      <c r="AW538" s="310">
        <f t="shared" si="206"/>
        <v>0</v>
      </c>
      <c r="AX538" s="311"/>
      <c r="AY538" s="312"/>
      <c r="AZ538" s="313">
        <f t="shared" si="207"/>
        <v>0</v>
      </c>
      <c r="BA538" s="308"/>
      <c r="BB538" s="309"/>
      <c r="BC538" s="310">
        <f t="shared" si="208"/>
        <v>0</v>
      </c>
      <c r="BD538" s="311"/>
      <c r="BE538" s="312"/>
      <c r="BF538" s="313">
        <f t="shared" si="209"/>
        <v>0</v>
      </c>
      <c r="BG538" s="308"/>
      <c r="BH538" s="309"/>
      <c r="BI538" s="310">
        <f t="shared" si="210"/>
        <v>0</v>
      </c>
      <c r="BJ538" s="311"/>
      <c r="BK538" s="312"/>
      <c r="BL538" s="313">
        <f t="shared" si="211"/>
        <v>0</v>
      </c>
      <c r="BM538" s="308"/>
      <c r="BN538" s="309"/>
      <c r="BO538" s="310">
        <f t="shared" si="212"/>
        <v>0</v>
      </c>
      <c r="BP538" s="311"/>
      <c r="BQ538" s="312"/>
      <c r="BR538" s="313">
        <f t="shared" si="213"/>
        <v>0</v>
      </c>
      <c r="BS538" s="308">
        <v>9</v>
      </c>
      <c r="BT538" s="309">
        <v>46997.491699999999</v>
      </c>
      <c r="BU538" s="310">
        <f t="shared" si="214"/>
        <v>346080.12938046001</v>
      </c>
      <c r="BV538" s="311">
        <v>9</v>
      </c>
      <c r="BW538" s="312">
        <v>46821.111111111109</v>
      </c>
      <c r="BX538" s="313">
        <f t="shared" si="215"/>
        <v>344781.29800000001</v>
      </c>
    </row>
    <row r="539" spans="1:76">
      <c r="A539" s="341" t="s">
        <v>409</v>
      </c>
      <c r="B539" s="342" t="s">
        <v>103</v>
      </c>
      <c r="C539" s="341">
        <v>221616</v>
      </c>
      <c r="D539" s="327">
        <v>13</v>
      </c>
      <c r="E539" s="308"/>
      <c r="F539" s="309"/>
      <c r="G539" s="310">
        <f t="shared" si="192"/>
        <v>0</v>
      </c>
      <c r="H539" s="311"/>
      <c r="I539" s="312"/>
      <c r="J539" s="313">
        <f t="shared" si="193"/>
        <v>0</v>
      </c>
      <c r="K539" s="308"/>
      <c r="L539" s="309"/>
      <c r="M539" s="310">
        <f t="shared" si="194"/>
        <v>0</v>
      </c>
      <c r="N539" s="311"/>
      <c r="O539" s="312"/>
      <c r="P539" s="313">
        <f t="shared" si="195"/>
        <v>0</v>
      </c>
      <c r="Q539" s="308"/>
      <c r="R539" s="309"/>
      <c r="S539" s="310">
        <f t="shared" si="196"/>
        <v>0</v>
      </c>
      <c r="T539" s="311"/>
      <c r="U539" s="312"/>
      <c r="V539" s="313">
        <f t="shared" si="197"/>
        <v>0</v>
      </c>
      <c r="W539" s="308"/>
      <c r="X539" s="309"/>
      <c r="Y539" s="310">
        <f t="shared" si="198"/>
        <v>0</v>
      </c>
      <c r="Z539" s="311"/>
      <c r="AA539" s="312"/>
      <c r="AB539" s="313">
        <f t="shared" si="199"/>
        <v>0</v>
      </c>
      <c r="AC539" s="308"/>
      <c r="AD539" s="309"/>
      <c r="AE539" s="310">
        <f t="shared" si="200"/>
        <v>0</v>
      </c>
      <c r="AF539" s="311"/>
      <c r="AG539" s="312"/>
      <c r="AH539" s="313">
        <f t="shared" si="201"/>
        <v>0</v>
      </c>
      <c r="AI539" s="308"/>
      <c r="AJ539" s="309"/>
      <c r="AK539" s="310">
        <f t="shared" si="202"/>
        <v>0</v>
      </c>
      <c r="AL539" s="311"/>
      <c r="AM539" s="312"/>
      <c r="AN539" s="313">
        <f t="shared" si="203"/>
        <v>0</v>
      </c>
      <c r="AO539" s="308"/>
      <c r="AP539" s="309"/>
      <c r="AQ539" s="310">
        <f t="shared" si="204"/>
        <v>0</v>
      </c>
      <c r="AR539" s="311"/>
      <c r="AS539" s="312"/>
      <c r="AT539" s="313">
        <f t="shared" si="205"/>
        <v>0</v>
      </c>
      <c r="AU539" s="308"/>
      <c r="AV539" s="309"/>
      <c r="AW539" s="310">
        <f t="shared" si="206"/>
        <v>0</v>
      </c>
      <c r="AX539" s="311"/>
      <c r="AY539" s="312"/>
      <c r="AZ539" s="313">
        <f t="shared" si="207"/>
        <v>0</v>
      </c>
      <c r="BA539" s="308"/>
      <c r="BB539" s="309"/>
      <c r="BC539" s="310">
        <f t="shared" si="208"/>
        <v>0</v>
      </c>
      <c r="BD539" s="311"/>
      <c r="BE539" s="312"/>
      <c r="BF539" s="313">
        <f t="shared" si="209"/>
        <v>0</v>
      </c>
      <c r="BG539" s="308"/>
      <c r="BH539" s="309"/>
      <c r="BI539" s="310">
        <f t="shared" si="210"/>
        <v>0</v>
      </c>
      <c r="BJ539" s="311"/>
      <c r="BK539" s="312"/>
      <c r="BL539" s="313">
        <f t="shared" si="211"/>
        <v>0</v>
      </c>
      <c r="BM539" s="308"/>
      <c r="BN539" s="309"/>
      <c r="BO539" s="310">
        <f t="shared" si="212"/>
        <v>0</v>
      </c>
      <c r="BP539" s="311"/>
      <c r="BQ539" s="312"/>
      <c r="BR539" s="313">
        <f t="shared" si="213"/>
        <v>0</v>
      </c>
      <c r="BS539" s="308">
        <v>23</v>
      </c>
      <c r="BT539" s="309">
        <v>47696.778565217384</v>
      </c>
      <c r="BU539" s="310">
        <f t="shared" si="214"/>
        <v>897586.59710739995</v>
      </c>
      <c r="BV539" s="311">
        <v>16</v>
      </c>
      <c r="BW539" s="312">
        <v>48021</v>
      </c>
      <c r="BX539" s="313">
        <f t="shared" si="215"/>
        <v>628652.51520000002</v>
      </c>
    </row>
    <row r="540" spans="1:76">
      <c r="A540" s="341" t="s">
        <v>409</v>
      </c>
      <c r="B540" s="342" t="s">
        <v>104</v>
      </c>
      <c r="C540" s="341">
        <v>221625</v>
      </c>
      <c r="D540" s="327">
        <v>13</v>
      </c>
      <c r="E540" s="308"/>
      <c r="F540" s="309"/>
      <c r="G540" s="310">
        <f t="shared" si="192"/>
        <v>0</v>
      </c>
      <c r="H540" s="311"/>
      <c r="I540" s="312"/>
      <c r="J540" s="313">
        <f t="shared" si="193"/>
        <v>0</v>
      </c>
      <c r="K540" s="308"/>
      <c r="L540" s="309"/>
      <c r="M540" s="310">
        <f t="shared" si="194"/>
        <v>0</v>
      </c>
      <c r="N540" s="311"/>
      <c r="O540" s="312"/>
      <c r="P540" s="313">
        <f t="shared" si="195"/>
        <v>0</v>
      </c>
      <c r="Q540" s="308"/>
      <c r="R540" s="309"/>
      <c r="S540" s="310">
        <f t="shared" si="196"/>
        <v>0</v>
      </c>
      <c r="T540" s="311"/>
      <c r="U540" s="312"/>
      <c r="V540" s="313">
        <f t="shared" si="197"/>
        <v>0</v>
      </c>
      <c r="W540" s="308"/>
      <c r="X540" s="309"/>
      <c r="Y540" s="310">
        <f t="shared" si="198"/>
        <v>0</v>
      </c>
      <c r="Z540" s="311"/>
      <c r="AA540" s="312"/>
      <c r="AB540" s="313">
        <f t="shared" si="199"/>
        <v>0</v>
      </c>
      <c r="AC540" s="308"/>
      <c r="AD540" s="309"/>
      <c r="AE540" s="310">
        <f t="shared" si="200"/>
        <v>0</v>
      </c>
      <c r="AF540" s="311"/>
      <c r="AG540" s="312"/>
      <c r="AH540" s="313">
        <f t="shared" si="201"/>
        <v>0</v>
      </c>
      <c r="AI540" s="308"/>
      <c r="AJ540" s="309"/>
      <c r="AK540" s="310">
        <f t="shared" si="202"/>
        <v>0</v>
      </c>
      <c r="AL540" s="311"/>
      <c r="AM540" s="312"/>
      <c r="AN540" s="313">
        <f t="shared" si="203"/>
        <v>0</v>
      </c>
      <c r="AO540" s="308"/>
      <c r="AP540" s="309"/>
      <c r="AQ540" s="310">
        <f t="shared" si="204"/>
        <v>0</v>
      </c>
      <c r="AR540" s="311"/>
      <c r="AS540" s="312"/>
      <c r="AT540" s="313">
        <f t="shared" si="205"/>
        <v>0</v>
      </c>
      <c r="AU540" s="308"/>
      <c r="AV540" s="309"/>
      <c r="AW540" s="310">
        <f t="shared" si="206"/>
        <v>0</v>
      </c>
      <c r="AX540" s="311"/>
      <c r="AY540" s="312"/>
      <c r="AZ540" s="313">
        <f t="shared" si="207"/>
        <v>0</v>
      </c>
      <c r="BA540" s="308"/>
      <c r="BB540" s="309"/>
      <c r="BC540" s="310">
        <f t="shared" si="208"/>
        <v>0</v>
      </c>
      <c r="BD540" s="311"/>
      <c r="BE540" s="312"/>
      <c r="BF540" s="313">
        <f t="shared" si="209"/>
        <v>0</v>
      </c>
      <c r="BG540" s="308"/>
      <c r="BH540" s="309"/>
      <c r="BI540" s="310">
        <f t="shared" si="210"/>
        <v>0</v>
      </c>
      <c r="BJ540" s="311"/>
      <c r="BK540" s="312"/>
      <c r="BL540" s="313">
        <f t="shared" si="211"/>
        <v>0</v>
      </c>
      <c r="BM540" s="308"/>
      <c r="BN540" s="309"/>
      <c r="BO540" s="310">
        <f t="shared" si="212"/>
        <v>0</v>
      </c>
      <c r="BP540" s="311"/>
      <c r="BQ540" s="312"/>
      <c r="BR540" s="313">
        <f t="shared" si="213"/>
        <v>0</v>
      </c>
      <c r="BS540" s="308">
        <v>28</v>
      </c>
      <c r="BT540" s="309">
        <v>46131.370496428572</v>
      </c>
      <c r="BU540" s="310">
        <f t="shared" si="214"/>
        <v>1056851.2455249801</v>
      </c>
      <c r="BV540" s="311">
        <v>28</v>
      </c>
      <c r="BW540" s="312">
        <v>46072</v>
      </c>
      <c r="BX540" s="313">
        <f t="shared" si="215"/>
        <v>1055491.0912000001</v>
      </c>
    </row>
    <row r="541" spans="1:76">
      <c r="A541" s="341" t="s">
        <v>409</v>
      </c>
      <c r="B541" s="342" t="s">
        <v>105</v>
      </c>
      <c r="C541" s="341">
        <v>220640</v>
      </c>
      <c r="D541" s="327">
        <v>13</v>
      </c>
      <c r="E541" s="308"/>
      <c r="F541" s="309"/>
      <c r="G541" s="310">
        <f t="shared" si="192"/>
        <v>0</v>
      </c>
      <c r="H541" s="311"/>
      <c r="I541" s="312"/>
      <c r="J541" s="313">
        <f t="shared" si="193"/>
        <v>0</v>
      </c>
      <c r="K541" s="308"/>
      <c r="L541" s="309"/>
      <c r="M541" s="310">
        <f t="shared" si="194"/>
        <v>0</v>
      </c>
      <c r="N541" s="311"/>
      <c r="O541" s="312"/>
      <c r="P541" s="313">
        <f t="shared" si="195"/>
        <v>0</v>
      </c>
      <c r="Q541" s="308"/>
      <c r="R541" s="309"/>
      <c r="S541" s="310">
        <f t="shared" si="196"/>
        <v>0</v>
      </c>
      <c r="T541" s="311"/>
      <c r="U541" s="312"/>
      <c r="V541" s="313">
        <f t="shared" si="197"/>
        <v>0</v>
      </c>
      <c r="W541" s="308"/>
      <c r="X541" s="309"/>
      <c r="Y541" s="310">
        <f t="shared" si="198"/>
        <v>0</v>
      </c>
      <c r="Z541" s="311"/>
      <c r="AA541" s="312"/>
      <c r="AB541" s="313">
        <f t="shared" si="199"/>
        <v>0</v>
      </c>
      <c r="AC541" s="308"/>
      <c r="AD541" s="309"/>
      <c r="AE541" s="310">
        <f t="shared" si="200"/>
        <v>0</v>
      </c>
      <c r="AF541" s="311"/>
      <c r="AG541" s="312"/>
      <c r="AH541" s="313">
        <f t="shared" si="201"/>
        <v>0</v>
      </c>
      <c r="AI541" s="308"/>
      <c r="AJ541" s="309"/>
      <c r="AK541" s="310">
        <f t="shared" si="202"/>
        <v>0</v>
      </c>
      <c r="AL541" s="311"/>
      <c r="AM541" s="312"/>
      <c r="AN541" s="313">
        <f t="shared" si="203"/>
        <v>0</v>
      </c>
      <c r="AO541" s="308"/>
      <c r="AP541" s="309"/>
      <c r="AQ541" s="310">
        <f t="shared" si="204"/>
        <v>0</v>
      </c>
      <c r="AR541" s="311"/>
      <c r="AS541" s="312"/>
      <c r="AT541" s="313">
        <f t="shared" si="205"/>
        <v>0</v>
      </c>
      <c r="AU541" s="308"/>
      <c r="AV541" s="309"/>
      <c r="AW541" s="310">
        <f t="shared" si="206"/>
        <v>0</v>
      </c>
      <c r="AX541" s="311"/>
      <c r="AY541" s="312"/>
      <c r="AZ541" s="313">
        <f t="shared" si="207"/>
        <v>0</v>
      </c>
      <c r="BA541" s="308"/>
      <c r="BB541" s="309"/>
      <c r="BC541" s="310">
        <f t="shared" si="208"/>
        <v>0</v>
      </c>
      <c r="BD541" s="311"/>
      <c r="BE541" s="312"/>
      <c r="BF541" s="313">
        <f t="shared" si="209"/>
        <v>0</v>
      </c>
      <c r="BG541" s="308"/>
      <c r="BH541" s="309"/>
      <c r="BI541" s="310">
        <f t="shared" si="210"/>
        <v>0</v>
      </c>
      <c r="BJ541" s="311"/>
      <c r="BK541" s="312"/>
      <c r="BL541" s="313">
        <f t="shared" si="211"/>
        <v>0</v>
      </c>
      <c r="BM541" s="308"/>
      <c r="BN541" s="309"/>
      <c r="BO541" s="310">
        <f t="shared" si="212"/>
        <v>0</v>
      </c>
      <c r="BP541" s="311"/>
      <c r="BQ541" s="312"/>
      <c r="BR541" s="313">
        <f t="shared" si="213"/>
        <v>0</v>
      </c>
      <c r="BS541" s="308">
        <v>20</v>
      </c>
      <c r="BT541" s="309">
        <v>45049.807059999992</v>
      </c>
      <c r="BU541" s="310">
        <f t="shared" si="214"/>
        <v>737195.04272983992</v>
      </c>
      <c r="BV541" s="311">
        <v>17</v>
      </c>
      <c r="BW541" s="312">
        <v>44174.294117647056</v>
      </c>
      <c r="BX541" s="313">
        <f t="shared" si="215"/>
        <v>614437.92660000001</v>
      </c>
    </row>
    <row r="542" spans="1:76">
      <c r="A542" s="341" t="s">
        <v>409</v>
      </c>
      <c r="B542" s="342" t="s">
        <v>106</v>
      </c>
      <c r="C542" s="341">
        <v>220756</v>
      </c>
      <c r="D542" s="327">
        <v>13</v>
      </c>
      <c r="E542" s="308"/>
      <c r="F542" s="309"/>
      <c r="G542" s="310">
        <f t="shared" si="192"/>
        <v>0</v>
      </c>
      <c r="H542" s="311"/>
      <c r="I542" s="312"/>
      <c r="J542" s="313">
        <f t="shared" si="193"/>
        <v>0</v>
      </c>
      <c r="K542" s="308"/>
      <c r="L542" s="309"/>
      <c r="M542" s="310">
        <f t="shared" si="194"/>
        <v>0</v>
      </c>
      <c r="N542" s="311"/>
      <c r="O542" s="312"/>
      <c r="P542" s="313">
        <f t="shared" si="195"/>
        <v>0</v>
      </c>
      <c r="Q542" s="308"/>
      <c r="R542" s="309"/>
      <c r="S542" s="310">
        <f t="shared" si="196"/>
        <v>0</v>
      </c>
      <c r="T542" s="311"/>
      <c r="U542" s="312"/>
      <c r="V542" s="313">
        <f t="shared" si="197"/>
        <v>0</v>
      </c>
      <c r="W542" s="308"/>
      <c r="X542" s="309"/>
      <c r="Y542" s="310">
        <f t="shared" si="198"/>
        <v>0</v>
      </c>
      <c r="Z542" s="311"/>
      <c r="AA542" s="312"/>
      <c r="AB542" s="313">
        <f t="shared" si="199"/>
        <v>0</v>
      </c>
      <c r="AC542" s="308"/>
      <c r="AD542" s="309"/>
      <c r="AE542" s="310">
        <f t="shared" si="200"/>
        <v>0</v>
      </c>
      <c r="AF542" s="311"/>
      <c r="AG542" s="312"/>
      <c r="AH542" s="313">
        <f t="shared" si="201"/>
        <v>0</v>
      </c>
      <c r="AI542" s="308"/>
      <c r="AJ542" s="309"/>
      <c r="AK542" s="310">
        <f t="shared" si="202"/>
        <v>0</v>
      </c>
      <c r="AL542" s="311"/>
      <c r="AM542" s="312"/>
      <c r="AN542" s="313">
        <f t="shared" si="203"/>
        <v>0</v>
      </c>
      <c r="AO542" s="308"/>
      <c r="AP542" s="309"/>
      <c r="AQ542" s="310">
        <f t="shared" si="204"/>
        <v>0</v>
      </c>
      <c r="AR542" s="311"/>
      <c r="AS542" s="312"/>
      <c r="AT542" s="313">
        <f t="shared" si="205"/>
        <v>0</v>
      </c>
      <c r="AU542" s="308"/>
      <c r="AV542" s="309"/>
      <c r="AW542" s="310">
        <f t="shared" si="206"/>
        <v>0</v>
      </c>
      <c r="AX542" s="311"/>
      <c r="AY542" s="312"/>
      <c r="AZ542" s="313">
        <f t="shared" si="207"/>
        <v>0</v>
      </c>
      <c r="BA542" s="308"/>
      <c r="BB542" s="309"/>
      <c r="BC542" s="310">
        <f t="shared" si="208"/>
        <v>0</v>
      </c>
      <c r="BD542" s="311"/>
      <c r="BE542" s="312"/>
      <c r="BF542" s="313">
        <f t="shared" si="209"/>
        <v>0</v>
      </c>
      <c r="BG542" s="308"/>
      <c r="BH542" s="309"/>
      <c r="BI542" s="310">
        <f t="shared" si="210"/>
        <v>0</v>
      </c>
      <c r="BJ542" s="311"/>
      <c r="BK542" s="312"/>
      <c r="BL542" s="313">
        <f t="shared" si="211"/>
        <v>0</v>
      </c>
      <c r="BM542" s="308"/>
      <c r="BN542" s="309"/>
      <c r="BO542" s="310">
        <f t="shared" si="212"/>
        <v>0</v>
      </c>
      <c r="BP542" s="311"/>
      <c r="BQ542" s="312"/>
      <c r="BR542" s="313">
        <f t="shared" si="213"/>
        <v>0</v>
      </c>
      <c r="BS542" s="308">
        <v>11</v>
      </c>
      <c r="BT542" s="309">
        <v>43236.13119090908</v>
      </c>
      <c r="BU542" s="310">
        <f t="shared" si="214"/>
        <v>389133.82794441993</v>
      </c>
      <c r="BV542" s="311">
        <v>12</v>
      </c>
      <c r="BW542" s="312">
        <v>43031</v>
      </c>
      <c r="BX542" s="313">
        <f t="shared" si="215"/>
        <v>422495.57040000003</v>
      </c>
    </row>
    <row r="543" spans="1:76">
      <c r="A543" s="341" t="s">
        <v>409</v>
      </c>
      <c r="B543" s="342" t="s">
        <v>107</v>
      </c>
      <c r="C543" s="341">
        <v>221607</v>
      </c>
      <c r="D543" s="327">
        <v>13</v>
      </c>
      <c r="E543" s="308"/>
      <c r="F543" s="309"/>
      <c r="G543" s="310">
        <f t="shared" si="192"/>
        <v>0</v>
      </c>
      <c r="H543" s="311"/>
      <c r="I543" s="312"/>
      <c r="J543" s="313">
        <f t="shared" si="193"/>
        <v>0</v>
      </c>
      <c r="K543" s="308"/>
      <c r="L543" s="309"/>
      <c r="M543" s="310">
        <f t="shared" si="194"/>
        <v>0</v>
      </c>
      <c r="N543" s="311"/>
      <c r="O543" s="312"/>
      <c r="P543" s="313">
        <f t="shared" si="195"/>
        <v>0</v>
      </c>
      <c r="Q543" s="308"/>
      <c r="R543" s="309"/>
      <c r="S543" s="310">
        <f t="shared" si="196"/>
        <v>0</v>
      </c>
      <c r="T543" s="311"/>
      <c r="U543" s="312"/>
      <c r="V543" s="313">
        <f t="shared" si="197"/>
        <v>0</v>
      </c>
      <c r="W543" s="308"/>
      <c r="X543" s="309"/>
      <c r="Y543" s="310">
        <f t="shared" si="198"/>
        <v>0</v>
      </c>
      <c r="Z543" s="311"/>
      <c r="AA543" s="312"/>
      <c r="AB543" s="313">
        <f t="shared" si="199"/>
        <v>0</v>
      </c>
      <c r="AC543" s="308"/>
      <c r="AD543" s="309"/>
      <c r="AE543" s="310">
        <f t="shared" si="200"/>
        <v>0</v>
      </c>
      <c r="AF543" s="311"/>
      <c r="AG543" s="312"/>
      <c r="AH543" s="313">
        <f t="shared" si="201"/>
        <v>0</v>
      </c>
      <c r="AI543" s="308"/>
      <c r="AJ543" s="309"/>
      <c r="AK543" s="310">
        <f t="shared" si="202"/>
        <v>0</v>
      </c>
      <c r="AL543" s="311"/>
      <c r="AM543" s="312"/>
      <c r="AN543" s="313">
        <f t="shared" si="203"/>
        <v>0</v>
      </c>
      <c r="AO543" s="308"/>
      <c r="AP543" s="309"/>
      <c r="AQ543" s="310">
        <f t="shared" si="204"/>
        <v>0</v>
      </c>
      <c r="AR543" s="311"/>
      <c r="AS543" s="312"/>
      <c r="AT543" s="313">
        <f t="shared" si="205"/>
        <v>0</v>
      </c>
      <c r="AU543" s="308"/>
      <c r="AV543" s="309"/>
      <c r="AW543" s="310">
        <f t="shared" si="206"/>
        <v>0</v>
      </c>
      <c r="AX543" s="311"/>
      <c r="AY543" s="312"/>
      <c r="AZ543" s="313">
        <f t="shared" si="207"/>
        <v>0</v>
      </c>
      <c r="BA543" s="308"/>
      <c r="BB543" s="309"/>
      <c r="BC543" s="310">
        <f t="shared" si="208"/>
        <v>0</v>
      </c>
      <c r="BD543" s="311"/>
      <c r="BE543" s="312"/>
      <c r="BF543" s="313">
        <f t="shared" si="209"/>
        <v>0</v>
      </c>
      <c r="BG543" s="308"/>
      <c r="BH543" s="309"/>
      <c r="BI543" s="310">
        <f t="shared" si="210"/>
        <v>0</v>
      </c>
      <c r="BJ543" s="311"/>
      <c r="BK543" s="312"/>
      <c r="BL543" s="313">
        <f t="shared" si="211"/>
        <v>0</v>
      </c>
      <c r="BM543" s="308"/>
      <c r="BN543" s="309"/>
      <c r="BO543" s="310">
        <f t="shared" si="212"/>
        <v>0</v>
      </c>
      <c r="BP543" s="311"/>
      <c r="BQ543" s="312"/>
      <c r="BR543" s="313">
        <f t="shared" si="213"/>
        <v>0</v>
      </c>
      <c r="BS543" s="308">
        <v>12</v>
      </c>
      <c r="BT543" s="309">
        <v>45290.089941666665</v>
      </c>
      <c r="BU543" s="310">
        <f t="shared" si="214"/>
        <v>444676.21908325999</v>
      </c>
      <c r="BV543" s="311">
        <v>13</v>
      </c>
      <c r="BW543" s="312">
        <v>46132.538461538461</v>
      </c>
      <c r="BX543" s="313">
        <f t="shared" si="215"/>
        <v>490693.35860000004</v>
      </c>
    </row>
    <row r="544" spans="1:76">
      <c r="A544" s="341" t="s">
        <v>409</v>
      </c>
      <c r="B544" s="326" t="s">
        <v>108</v>
      </c>
      <c r="C544" s="341">
        <v>220853</v>
      </c>
      <c r="D544" s="327">
        <v>13</v>
      </c>
      <c r="E544" s="308"/>
      <c r="F544" s="309"/>
      <c r="G544" s="310">
        <f t="shared" si="192"/>
        <v>0</v>
      </c>
      <c r="H544" s="311"/>
      <c r="I544" s="312"/>
      <c r="J544" s="313">
        <f t="shared" si="193"/>
        <v>0</v>
      </c>
      <c r="K544" s="308"/>
      <c r="L544" s="309"/>
      <c r="M544" s="310">
        <f t="shared" si="194"/>
        <v>0</v>
      </c>
      <c r="N544" s="311"/>
      <c r="O544" s="312"/>
      <c r="P544" s="313">
        <f t="shared" si="195"/>
        <v>0</v>
      </c>
      <c r="Q544" s="308"/>
      <c r="R544" s="309"/>
      <c r="S544" s="310">
        <f t="shared" si="196"/>
        <v>0</v>
      </c>
      <c r="T544" s="311"/>
      <c r="U544" s="312"/>
      <c r="V544" s="313">
        <f t="shared" si="197"/>
        <v>0</v>
      </c>
      <c r="W544" s="308"/>
      <c r="X544" s="309"/>
      <c r="Y544" s="310">
        <f t="shared" si="198"/>
        <v>0</v>
      </c>
      <c r="Z544" s="311"/>
      <c r="AA544" s="312"/>
      <c r="AB544" s="313">
        <f t="shared" si="199"/>
        <v>0</v>
      </c>
      <c r="AC544" s="308"/>
      <c r="AD544" s="309"/>
      <c r="AE544" s="310">
        <f t="shared" si="200"/>
        <v>0</v>
      </c>
      <c r="AF544" s="311"/>
      <c r="AG544" s="312"/>
      <c r="AH544" s="313">
        <f t="shared" si="201"/>
        <v>0</v>
      </c>
      <c r="AI544" s="308"/>
      <c r="AJ544" s="309"/>
      <c r="AK544" s="310">
        <f t="shared" si="202"/>
        <v>0</v>
      </c>
      <c r="AL544" s="311"/>
      <c r="AM544" s="312"/>
      <c r="AN544" s="313">
        <f t="shared" si="203"/>
        <v>0</v>
      </c>
      <c r="AO544" s="308"/>
      <c r="AP544" s="309"/>
      <c r="AQ544" s="310">
        <f t="shared" si="204"/>
        <v>0</v>
      </c>
      <c r="AR544" s="311"/>
      <c r="AS544" s="312"/>
      <c r="AT544" s="313">
        <f t="shared" si="205"/>
        <v>0</v>
      </c>
      <c r="AU544" s="308"/>
      <c r="AV544" s="309"/>
      <c r="AW544" s="310">
        <f t="shared" si="206"/>
        <v>0</v>
      </c>
      <c r="AX544" s="311"/>
      <c r="AY544" s="312"/>
      <c r="AZ544" s="313">
        <f t="shared" si="207"/>
        <v>0</v>
      </c>
      <c r="BA544" s="308"/>
      <c r="BB544" s="309"/>
      <c r="BC544" s="310">
        <f t="shared" si="208"/>
        <v>0</v>
      </c>
      <c r="BD544" s="311"/>
      <c r="BE544" s="312"/>
      <c r="BF544" s="313">
        <f t="shared" si="209"/>
        <v>0</v>
      </c>
      <c r="BG544" s="308"/>
      <c r="BH544" s="309"/>
      <c r="BI544" s="310">
        <f t="shared" si="210"/>
        <v>0</v>
      </c>
      <c r="BJ544" s="311"/>
      <c r="BK544" s="312"/>
      <c r="BL544" s="313">
        <f t="shared" si="211"/>
        <v>0</v>
      </c>
      <c r="BM544" s="308"/>
      <c r="BN544" s="309"/>
      <c r="BO544" s="310">
        <f t="shared" si="212"/>
        <v>0</v>
      </c>
      <c r="BP544" s="311"/>
      <c r="BQ544" s="312"/>
      <c r="BR544" s="313">
        <f t="shared" si="213"/>
        <v>0</v>
      </c>
      <c r="BS544" s="308">
        <v>41</v>
      </c>
      <c r="BT544" s="309">
        <v>45523.122056097556</v>
      </c>
      <c r="BU544" s="310">
        <f t="shared" si="214"/>
        <v>1527127.75711826</v>
      </c>
      <c r="BV544" s="311">
        <v>38</v>
      </c>
      <c r="BW544" s="312">
        <v>46110.15789473684</v>
      </c>
      <c r="BX544" s="313">
        <f t="shared" si="215"/>
        <v>1433638.5852000001</v>
      </c>
    </row>
    <row r="545" spans="1:77">
      <c r="A545" s="341" t="s">
        <v>409</v>
      </c>
      <c r="B545" s="342" t="s">
        <v>109</v>
      </c>
      <c r="C545" s="341">
        <v>221050</v>
      </c>
      <c r="D545" s="327">
        <v>13</v>
      </c>
      <c r="E545" s="308"/>
      <c r="F545" s="309"/>
      <c r="G545" s="310">
        <f t="shared" si="192"/>
        <v>0</v>
      </c>
      <c r="H545" s="311"/>
      <c r="I545" s="312"/>
      <c r="J545" s="313">
        <f t="shared" si="193"/>
        <v>0</v>
      </c>
      <c r="K545" s="308"/>
      <c r="L545" s="309"/>
      <c r="M545" s="310">
        <f t="shared" si="194"/>
        <v>0</v>
      </c>
      <c r="N545" s="311"/>
      <c r="O545" s="312"/>
      <c r="P545" s="313">
        <f t="shared" si="195"/>
        <v>0</v>
      </c>
      <c r="Q545" s="308"/>
      <c r="R545" s="309"/>
      <c r="S545" s="310">
        <f t="shared" si="196"/>
        <v>0</v>
      </c>
      <c r="T545" s="311"/>
      <c r="U545" s="312"/>
      <c r="V545" s="313">
        <f t="shared" si="197"/>
        <v>0</v>
      </c>
      <c r="W545" s="308"/>
      <c r="X545" s="309"/>
      <c r="Y545" s="310">
        <f t="shared" si="198"/>
        <v>0</v>
      </c>
      <c r="Z545" s="311"/>
      <c r="AA545" s="312"/>
      <c r="AB545" s="313">
        <f t="shared" si="199"/>
        <v>0</v>
      </c>
      <c r="AC545" s="308"/>
      <c r="AD545" s="309"/>
      <c r="AE545" s="310">
        <f t="shared" si="200"/>
        <v>0</v>
      </c>
      <c r="AF545" s="311"/>
      <c r="AG545" s="312"/>
      <c r="AH545" s="313">
        <f t="shared" si="201"/>
        <v>0</v>
      </c>
      <c r="AI545" s="308"/>
      <c r="AJ545" s="309"/>
      <c r="AK545" s="310">
        <f t="shared" si="202"/>
        <v>0</v>
      </c>
      <c r="AL545" s="311"/>
      <c r="AM545" s="312"/>
      <c r="AN545" s="313">
        <f t="shared" si="203"/>
        <v>0</v>
      </c>
      <c r="AO545" s="308"/>
      <c r="AP545" s="309"/>
      <c r="AQ545" s="310">
        <f t="shared" si="204"/>
        <v>0</v>
      </c>
      <c r="AR545" s="311"/>
      <c r="AS545" s="312"/>
      <c r="AT545" s="313">
        <f t="shared" si="205"/>
        <v>0</v>
      </c>
      <c r="AU545" s="308"/>
      <c r="AV545" s="309"/>
      <c r="AW545" s="310">
        <f t="shared" si="206"/>
        <v>0</v>
      </c>
      <c r="AX545" s="311"/>
      <c r="AY545" s="312"/>
      <c r="AZ545" s="313">
        <f t="shared" si="207"/>
        <v>0</v>
      </c>
      <c r="BA545" s="308"/>
      <c r="BB545" s="309"/>
      <c r="BC545" s="310">
        <f t="shared" si="208"/>
        <v>0</v>
      </c>
      <c r="BD545" s="311"/>
      <c r="BE545" s="312"/>
      <c r="BF545" s="313">
        <f t="shared" si="209"/>
        <v>0</v>
      </c>
      <c r="BG545" s="308"/>
      <c r="BH545" s="309"/>
      <c r="BI545" s="310">
        <f t="shared" si="210"/>
        <v>0</v>
      </c>
      <c r="BJ545" s="311"/>
      <c r="BK545" s="312"/>
      <c r="BL545" s="313">
        <f t="shared" si="211"/>
        <v>0</v>
      </c>
      <c r="BM545" s="308"/>
      <c r="BN545" s="309"/>
      <c r="BO545" s="310">
        <f t="shared" si="212"/>
        <v>0</v>
      </c>
      <c r="BP545" s="311"/>
      <c r="BQ545" s="312"/>
      <c r="BR545" s="313">
        <f t="shared" si="213"/>
        <v>0</v>
      </c>
      <c r="BS545" s="308">
        <v>35</v>
      </c>
      <c r="BT545" s="309">
        <v>48799.351414285709</v>
      </c>
      <c r="BU545" s="310">
        <f t="shared" si="214"/>
        <v>1397467.0264508999</v>
      </c>
      <c r="BV545" s="311">
        <v>34</v>
      </c>
      <c r="BW545" s="312">
        <v>48997.352941176468</v>
      </c>
      <c r="BX545" s="313">
        <f t="shared" si="215"/>
        <v>1363047.5620000002</v>
      </c>
    </row>
    <row r="546" spans="1:77">
      <c r="A546" s="341" t="s">
        <v>409</v>
      </c>
      <c r="B546" s="342" t="s">
        <v>110</v>
      </c>
      <c r="C546" s="341">
        <v>221102</v>
      </c>
      <c r="D546" s="327">
        <v>13</v>
      </c>
      <c r="E546" s="308"/>
      <c r="F546" s="309"/>
      <c r="G546" s="310">
        <f t="shared" si="192"/>
        <v>0</v>
      </c>
      <c r="H546" s="311"/>
      <c r="I546" s="312"/>
      <c r="J546" s="313">
        <f t="shared" si="193"/>
        <v>0</v>
      </c>
      <c r="K546" s="308"/>
      <c r="L546" s="309"/>
      <c r="M546" s="310">
        <f t="shared" si="194"/>
        <v>0</v>
      </c>
      <c r="N546" s="311"/>
      <c r="O546" s="312"/>
      <c r="P546" s="313">
        <f t="shared" si="195"/>
        <v>0</v>
      </c>
      <c r="Q546" s="308"/>
      <c r="R546" s="309"/>
      <c r="S546" s="310">
        <f t="shared" si="196"/>
        <v>0</v>
      </c>
      <c r="T546" s="311"/>
      <c r="U546" s="312"/>
      <c r="V546" s="313">
        <f t="shared" si="197"/>
        <v>0</v>
      </c>
      <c r="W546" s="308"/>
      <c r="X546" s="309"/>
      <c r="Y546" s="310">
        <f t="shared" si="198"/>
        <v>0</v>
      </c>
      <c r="Z546" s="311"/>
      <c r="AA546" s="312"/>
      <c r="AB546" s="313">
        <f t="shared" si="199"/>
        <v>0</v>
      </c>
      <c r="AC546" s="308"/>
      <c r="AD546" s="309"/>
      <c r="AE546" s="310">
        <f t="shared" si="200"/>
        <v>0</v>
      </c>
      <c r="AF546" s="311"/>
      <c r="AG546" s="312"/>
      <c r="AH546" s="313">
        <f t="shared" si="201"/>
        <v>0</v>
      </c>
      <c r="AI546" s="308"/>
      <c r="AJ546" s="309"/>
      <c r="AK546" s="310">
        <f t="shared" si="202"/>
        <v>0</v>
      </c>
      <c r="AL546" s="311"/>
      <c r="AM546" s="312"/>
      <c r="AN546" s="313">
        <f t="shared" si="203"/>
        <v>0</v>
      </c>
      <c r="AO546" s="308"/>
      <c r="AP546" s="309"/>
      <c r="AQ546" s="310">
        <f t="shared" si="204"/>
        <v>0</v>
      </c>
      <c r="AR546" s="311"/>
      <c r="AS546" s="312"/>
      <c r="AT546" s="313">
        <f t="shared" si="205"/>
        <v>0</v>
      </c>
      <c r="AU546" s="308"/>
      <c r="AV546" s="309"/>
      <c r="AW546" s="310">
        <f t="shared" si="206"/>
        <v>0</v>
      </c>
      <c r="AX546" s="311"/>
      <c r="AY546" s="312"/>
      <c r="AZ546" s="313">
        <f t="shared" si="207"/>
        <v>0</v>
      </c>
      <c r="BA546" s="308"/>
      <c r="BB546" s="309"/>
      <c r="BC546" s="310">
        <f t="shared" si="208"/>
        <v>0</v>
      </c>
      <c r="BD546" s="311"/>
      <c r="BE546" s="312"/>
      <c r="BF546" s="313">
        <f t="shared" si="209"/>
        <v>0</v>
      </c>
      <c r="BG546" s="308"/>
      <c r="BH546" s="309"/>
      <c r="BI546" s="310">
        <f t="shared" si="210"/>
        <v>0</v>
      </c>
      <c r="BJ546" s="311"/>
      <c r="BK546" s="312"/>
      <c r="BL546" s="313">
        <f t="shared" si="211"/>
        <v>0</v>
      </c>
      <c r="BM546" s="308"/>
      <c r="BN546" s="309"/>
      <c r="BO546" s="310">
        <f t="shared" si="212"/>
        <v>0</v>
      </c>
      <c r="BP546" s="311"/>
      <c r="BQ546" s="312"/>
      <c r="BR546" s="313">
        <f t="shared" si="213"/>
        <v>0</v>
      </c>
      <c r="BS546" s="308">
        <v>20</v>
      </c>
      <c r="BT546" s="309">
        <v>45410.998029999995</v>
      </c>
      <c r="BU546" s="310">
        <f t="shared" si="214"/>
        <v>743105.57176291989</v>
      </c>
      <c r="BV546" s="311">
        <v>19</v>
      </c>
      <c r="BW546" s="312">
        <v>49028.894736842107</v>
      </c>
      <c r="BX546" s="313">
        <f t="shared" si="215"/>
        <v>762193.39179999998</v>
      </c>
    </row>
    <row r="547" spans="1:77">
      <c r="A547" s="341" t="s">
        <v>409</v>
      </c>
      <c r="B547" s="342" t="s">
        <v>111</v>
      </c>
      <c r="C547" s="341">
        <v>248925</v>
      </c>
      <c r="D547" s="327">
        <v>13</v>
      </c>
      <c r="E547" s="308"/>
      <c r="F547" s="309"/>
      <c r="G547" s="310">
        <f t="shared" si="192"/>
        <v>0</v>
      </c>
      <c r="H547" s="311"/>
      <c r="I547" s="312"/>
      <c r="J547" s="313">
        <f t="shared" si="193"/>
        <v>0</v>
      </c>
      <c r="K547" s="308"/>
      <c r="L547" s="309"/>
      <c r="M547" s="310">
        <f t="shared" si="194"/>
        <v>0</v>
      </c>
      <c r="N547" s="311"/>
      <c r="O547" s="312"/>
      <c r="P547" s="313">
        <f t="shared" si="195"/>
        <v>0</v>
      </c>
      <c r="Q547" s="308"/>
      <c r="R547" s="309"/>
      <c r="S547" s="310">
        <f t="shared" si="196"/>
        <v>0</v>
      </c>
      <c r="T547" s="311"/>
      <c r="U547" s="312"/>
      <c r="V547" s="313">
        <f t="shared" si="197"/>
        <v>0</v>
      </c>
      <c r="W547" s="308"/>
      <c r="X547" s="309"/>
      <c r="Y547" s="310">
        <f t="shared" si="198"/>
        <v>0</v>
      </c>
      <c r="Z547" s="311"/>
      <c r="AA547" s="312"/>
      <c r="AB547" s="313">
        <f t="shared" si="199"/>
        <v>0</v>
      </c>
      <c r="AC547" s="308"/>
      <c r="AD547" s="309"/>
      <c r="AE547" s="310">
        <f t="shared" si="200"/>
        <v>0</v>
      </c>
      <c r="AF547" s="311"/>
      <c r="AG547" s="312"/>
      <c r="AH547" s="313">
        <f t="shared" si="201"/>
        <v>0</v>
      </c>
      <c r="AI547" s="308"/>
      <c r="AJ547" s="309"/>
      <c r="AK547" s="310">
        <f t="shared" si="202"/>
        <v>0</v>
      </c>
      <c r="AL547" s="311"/>
      <c r="AM547" s="312"/>
      <c r="AN547" s="313">
        <f t="shared" si="203"/>
        <v>0</v>
      </c>
      <c r="AO547" s="308"/>
      <c r="AP547" s="309"/>
      <c r="AQ547" s="310">
        <f t="shared" si="204"/>
        <v>0</v>
      </c>
      <c r="AR547" s="311"/>
      <c r="AS547" s="312"/>
      <c r="AT547" s="313">
        <f t="shared" si="205"/>
        <v>0</v>
      </c>
      <c r="AU547" s="308"/>
      <c r="AV547" s="309"/>
      <c r="AW547" s="310">
        <f t="shared" si="206"/>
        <v>0</v>
      </c>
      <c r="AX547" s="311"/>
      <c r="AY547" s="312"/>
      <c r="AZ547" s="313">
        <f t="shared" si="207"/>
        <v>0</v>
      </c>
      <c r="BA547" s="308"/>
      <c r="BB547" s="309"/>
      <c r="BC547" s="310">
        <f t="shared" si="208"/>
        <v>0</v>
      </c>
      <c r="BD547" s="311"/>
      <c r="BE547" s="312"/>
      <c r="BF547" s="313">
        <f t="shared" si="209"/>
        <v>0</v>
      </c>
      <c r="BG547" s="308"/>
      <c r="BH547" s="309"/>
      <c r="BI547" s="310">
        <f t="shared" si="210"/>
        <v>0</v>
      </c>
      <c r="BJ547" s="311"/>
      <c r="BK547" s="312"/>
      <c r="BL547" s="313">
        <f t="shared" si="211"/>
        <v>0</v>
      </c>
      <c r="BM547" s="308"/>
      <c r="BN547" s="309"/>
      <c r="BO547" s="310">
        <f t="shared" si="212"/>
        <v>0</v>
      </c>
      <c r="BP547" s="311"/>
      <c r="BQ547" s="312"/>
      <c r="BR547" s="313">
        <f t="shared" si="213"/>
        <v>0</v>
      </c>
      <c r="BS547" s="308">
        <v>30</v>
      </c>
      <c r="BT547" s="309">
        <v>43046.479366666666</v>
      </c>
      <c r="BU547" s="310">
        <f t="shared" si="214"/>
        <v>1056618.8825342001</v>
      </c>
      <c r="BV547" s="311">
        <v>18</v>
      </c>
      <c r="BW547" s="312">
        <v>46716.388888888891</v>
      </c>
      <c r="BX547" s="313">
        <f t="shared" si="215"/>
        <v>688020.28899999999</v>
      </c>
    </row>
    <row r="548" spans="1:77">
      <c r="A548" s="341" t="s">
        <v>409</v>
      </c>
      <c r="B548" s="342" t="s">
        <v>112</v>
      </c>
      <c r="C548" s="341">
        <v>221236</v>
      </c>
      <c r="D548" s="327">
        <v>13</v>
      </c>
      <c r="E548" s="308"/>
      <c r="F548" s="309"/>
      <c r="G548" s="310">
        <f t="shared" si="192"/>
        <v>0</v>
      </c>
      <c r="H548" s="311"/>
      <c r="I548" s="312"/>
      <c r="J548" s="313">
        <f t="shared" si="193"/>
        <v>0</v>
      </c>
      <c r="K548" s="308"/>
      <c r="L548" s="309"/>
      <c r="M548" s="310">
        <f t="shared" si="194"/>
        <v>0</v>
      </c>
      <c r="N548" s="311"/>
      <c r="O548" s="312"/>
      <c r="P548" s="313">
        <f t="shared" si="195"/>
        <v>0</v>
      </c>
      <c r="Q548" s="308"/>
      <c r="R548" s="309"/>
      <c r="S548" s="310">
        <f t="shared" si="196"/>
        <v>0</v>
      </c>
      <c r="T548" s="311"/>
      <c r="U548" s="312"/>
      <c r="V548" s="313">
        <f t="shared" si="197"/>
        <v>0</v>
      </c>
      <c r="W548" s="308"/>
      <c r="X548" s="309"/>
      <c r="Y548" s="310">
        <f t="shared" si="198"/>
        <v>0</v>
      </c>
      <c r="Z548" s="311"/>
      <c r="AA548" s="312"/>
      <c r="AB548" s="313">
        <f t="shared" si="199"/>
        <v>0</v>
      </c>
      <c r="AC548" s="308"/>
      <c r="AD548" s="309"/>
      <c r="AE548" s="310">
        <f t="shared" si="200"/>
        <v>0</v>
      </c>
      <c r="AF548" s="311"/>
      <c r="AG548" s="312"/>
      <c r="AH548" s="313">
        <f t="shared" si="201"/>
        <v>0</v>
      </c>
      <c r="AI548" s="308"/>
      <c r="AJ548" s="309"/>
      <c r="AK548" s="310">
        <f t="shared" si="202"/>
        <v>0</v>
      </c>
      <c r="AL548" s="311"/>
      <c r="AM548" s="312"/>
      <c r="AN548" s="313">
        <f t="shared" si="203"/>
        <v>0</v>
      </c>
      <c r="AO548" s="308"/>
      <c r="AP548" s="309"/>
      <c r="AQ548" s="310">
        <f t="shared" si="204"/>
        <v>0</v>
      </c>
      <c r="AR548" s="311"/>
      <c r="AS548" s="312"/>
      <c r="AT548" s="313">
        <f t="shared" si="205"/>
        <v>0</v>
      </c>
      <c r="AU548" s="308"/>
      <c r="AV548" s="309"/>
      <c r="AW548" s="310">
        <f t="shared" si="206"/>
        <v>0</v>
      </c>
      <c r="AX548" s="311"/>
      <c r="AY548" s="312"/>
      <c r="AZ548" s="313">
        <f t="shared" si="207"/>
        <v>0</v>
      </c>
      <c r="BA548" s="308"/>
      <c r="BB548" s="309"/>
      <c r="BC548" s="310">
        <f t="shared" si="208"/>
        <v>0</v>
      </c>
      <c r="BD548" s="311"/>
      <c r="BE548" s="312"/>
      <c r="BF548" s="313">
        <f t="shared" si="209"/>
        <v>0</v>
      </c>
      <c r="BG548" s="308"/>
      <c r="BH548" s="309"/>
      <c r="BI548" s="310">
        <f t="shared" si="210"/>
        <v>0</v>
      </c>
      <c r="BJ548" s="311"/>
      <c r="BK548" s="312"/>
      <c r="BL548" s="313">
        <f t="shared" si="211"/>
        <v>0</v>
      </c>
      <c r="BM548" s="308"/>
      <c r="BN548" s="309"/>
      <c r="BO548" s="310">
        <f t="shared" si="212"/>
        <v>0</v>
      </c>
      <c r="BP548" s="311"/>
      <c r="BQ548" s="312"/>
      <c r="BR548" s="313">
        <f t="shared" si="213"/>
        <v>0</v>
      </c>
      <c r="BS548" s="308">
        <v>12</v>
      </c>
      <c r="BT548" s="309">
        <v>42087.392233333339</v>
      </c>
      <c r="BU548" s="310">
        <f t="shared" si="214"/>
        <v>413230.85190376005</v>
      </c>
      <c r="BV548" s="311">
        <v>7</v>
      </c>
      <c r="BW548" s="312">
        <v>41574.285714285717</v>
      </c>
      <c r="BX548" s="313">
        <f t="shared" si="215"/>
        <v>238112.56400000001</v>
      </c>
    </row>
    <row r="549" spans="1:77">
      <c r="A549" s="341" t="s">
        <v>409</v>
      </c>
      <c r="B549" s="342" t="s">
        <v>113</v>
      </c>
      <c r="C549" s="341">
        <v>221582</v>
      </c>
      <c r="D549" s="327">
        <v>13</v>
      </c>
      <c r="E549" s="308"/>
      <c r="F549" s="309"/>
      <c r="G549" s="310">
        <f t="shared" si="192"/>
        <v>0</v>
      </c>
      <c r="H549" s="311"/>
      <c r="I549" s="312"/>
      <c r="J549" s="313">
        <f t="shared" si="193"/>
        <v>0</v>
      </c>
      <c r="K549" s="308"/>
      <c r="L549" s="309"/>
      <c r="M549" s="310">
        <f t="shared" si="194"/>
        <v>0</v>
      </c>
      <c r="N549" s="311"/>
      <c r="O549" s="312"/>
      <c r="P549" s="313">
        <f t="shared" si="195"/>
        <v>0</v>
      </c>
      <c r="Q549" s="308"/>
      <c r="R549" s="309"/>
      <c r="S549" s="310">
        <f t="shared" si="196"/>
        <v>0</v>
      </c>
      <c r="T549" s="311"/>
      <c r="U549" s="312"/>
      <c r="V549" s="313">
        <f t="shared" si="197"/>
        <v>0</v>
      </c>
      <c r="W549" s="308"/>
      <c r="X549" s="309"/>
      <c r="Y549" s="310">
        <f t="shared" si="198"/>
        <v>0</v>
      </c>
      <c r="Z549" s="311"/>
      <c r="AA549" s="312"/>
      <c r="AB549" s="313">
        <f t="shared" si="199"/>
        <v>0</v>
      </c>
      <c r="AC549" s="308"/>
      <c r="AD549" s="309"/>
      <c r="AE549" s="310">
        <f t="shared" si="200"/>
        <v>0</v>
      </c>
      <c r="AF549" s="311"/>
      <c r="AG549" s="312"/>
      <c r="AH549" s="313">
        <f t="shared" si="201"/>
        <v>0</v>
      </c>
      <c r="AI549" s="308"/>
      <c r="AJ549" s="309"/>
      <c r="AK549" s="310">
        <f t="shared" si="202"/>
        <v>0</v>
      </c>
      <c r="AL549" s="311"/>
      <c r="AM549" s="312"/>
      <c r="AN549" s="313">
        <f t="shared" si="203"/>
        <v>0</v>
      </c>
      <c r="AO549" s="308"/>
      <c r="AP549" s="309"/>
      <c r="AQ549" s="310">
        <f t="shared" si="204"/>
        <v>0</v>
      </c>
      <c r="AR549" s="311"/>
      <c r="AS549" s="312"/>
      <c r="AT549" s="313">
        <f t="shared" si="205"/>
        <v>0</v>
      </c>
      <c r="AU549" s="308"/>
      <c r="AV549" s="309"/>
      <c r="AW549" s="310">
        <f t="shared" si="206"/>
        <v>0</v>
      </c>
      <c r="AX549" s="311"/>
      <c r="AY549" s="312"/>
      <c r="AZ549" s="313">
        <f t="shared" si="207"/>
        <v>0</v>
      </c>
      <c r="BA549" s="308"/>
      <c r="BB549" s="309"/>
      <c r="BC549" s="310">
        <f t="shared" si="208"/>
        <v>0</v>
      </c>
      <c r="BD549" s="311"/>
      <c r="BE549" s="312"/>
      <c r="BF549" s="313">
        <f t="shared" si="209"/>
        <v>0</v>
      </c>
      <c r="BG549" s="308"/>
      <c r="BH549" s="309"/>
      <c r="BI549" s="310">
        <f t="shared" si="210"/>
        <v>0</v>
      </c>
      <c r="BJ549" s="311"/>
      <c r="BK549" s="312"/>
      <c r="BL549" s="313">
        <f t="shared" si="211"/>
        <v>0</v>
      </c>
      <c r="BM549" s="308"/>
      <c r="BN549" s="309"/>
      <c r="BO549" s="310">
        <f t="shared" si="212"/>
        <v>0</v>
      </c>
      <c r="BP549" s="311"/>
      <c r="BQ549" s="312"/>
      <c r="BR549" s="313">
        <f t="shared" si="213"/>
        <v>0</v>
      </c>
      <c r="BS549" s="308">
        <v>13</v>
      </c>
      <c r="BT549" s="309">
        <v>41860.081676923081</v>
      </c>
      <c r="BU549" s="310">
        <f t="shared" si="214"/>
        <v>445248.94476476003</v>
      </c>
      <c r="BV549" s="311">
        <v>13</v>
      </c>
      <c r="BW549" s="312">
        <v>42588.923076923078</v>
      </c>
      <c r="BX549" s="313">
        <f t="shared" si="215"/>
        <v>453001.33920000005</v>
      </c>
    </row>
    <row r="550" spans="1:77">
      <c r="A550" s="341" t="s">
        <v>409</v>
      </c>
      <c r="B550" s="342" t="s">
        <v>114</v>
      </c>
      <c r="C550" s="341">
        <v>221281</v>
      </c>
      <c r="D550" s="327">
        <v>13</v>
      </c>
      <c r="E550" s="308"/>
      <c r="F550" s="309"/>
      <c r="G550" s="310">
        <f t="shared" si="192"/>
        <v>0</v>
      </c>
      <c r="H550" s="311"/>
      <c r="I550" s="312"/>
      <c r="J550" s="313">
        <f t="shared" si="193"/>
        <v>0</v>
      </c>
      <c r="K550" s="308"/>
      <c r="L550" s="309"/>
      <c r="M550" s="310">
        <f t="shared" si="194"/>
        <v>0</v>
      </c>
      <c r="N550" s="311"/>
      <c r="O550" s="312"/>
      <c r="P550" s="313">
        <f t="shared" si="195"/>
        <v>0</v>
      </c>
      <c r="Q550" s="308"/>
      <c r="R550" s="309"/>
      <c r="S550" s="310">
        <f t="shared" si="196"/>
        <v>0</v>
      </c>
      <c r="T550" s="311"/>
      <c r="U550" s="312"/>
      <c r="V550" s="313">
        <f t="shared" si="197"/>
        <v>0</v>
      </c>
      <c r="W550" s="308"/>
      <c r="X550" s="309"/>
      <c r="Y550" s="310">
        <f t="shared" si="198"/>
        <v>0</v>
      </c>
      <c r="Z550" s="311"/>
      <c r="AA550" s="312"/>
      <c r="AB550" s="313">
        <f t="shared" si="199"/>
        <v>0</v>
      </c>
      <c r="AC550" s="308"/>
      <c r="AD550" s="309"/>
      <c r="AE550" s="310">
        <f t="shared" si="200"/>
        <v>0</v>
      </c>
      <c r="AF550" s="311"/>
      <c r="AG550" s="312"/>
      <c r="AH550" s="313">
        <f t="shared" si="201"/>
        <v>0</v>
      </c>
      <c r="AI550" s="308"/>
      <c r="AJ550" s="309"/>
      <c r="AK550" s="310">
        <f t="shared" si="202"/>
        <v>0</v>
      </c>
      <c r="AL550" s="311"/>
      <c r="AM550" s="312"/>
      <c r="AN550" s="313">
        <f t="shared" si="203"/>
        <v>0</v>
      </c>
      <c r="AO550" s="308"/>
      <c r="AP550" s="309"/>
      <c r="AQ550" s="310">
        <f t="shared" si="204"/>
        <v>0</v>
      </c>
      <c r="AR550" s="311"/>
      <c r="AS550" s="312"/>
      <c r="AT550" s="313">
        <f t="shared" si="205"/>
        <v>0</v>
      </c>
      <c r="AU550" s="308"/>
      <c r="AV550" s="309"/>
      <c r="AW550" s="310">
        <f t="shared" si="206"/>
        <v>0</v>
      </c>
      <c r="AX550" s="311"/>
      <c r="AY550" s="312"/>
      <c r="AZ550" s="313">
        <f t="shared" si="207"/>
        <v>0</v>
      </c>
      <c r="BA550" s="308"/>
      <c r="BB550" s="309"/>
      <c r="BC550" s="310">
        <f t="shared" si="208"/>
        <v>0</v>
      </c>
      <c r="BD550" s="311"/>
      <c r="BE550" s="312"/>
      <c r="BF550" s="313">
        <f t="shared" si="209"/>
        <v>0</v>
      </c>
      <c r="BG550" s="308"/>
      <c r="BH550" s="309"/>
      <c r="BI550" s="310">
        <f t="shared" si="210"/>
        <v>0</v>
      </c>
      <c r="BJ550" s="311"/>
      <c r="BK550" s="312"/>
      <c r="BL550" s="313">
        <f t="shared" si="211"/>
        <v>0</v>
      </c>
      <c r="BM550" s="308"/>
      <c r="BN550" s="309"/>
      <c r="BO550" s="310">
        <f t="shared" si="212"/>
        <v>0</v>
      </c>
      <c r="BP550" s="311"/>
      <c r="BQ550" s="312"/>
      <c r="BR550" s="313">
        <f t="shared" si="213"/>
        <v>0</v>
      </c>
      <c r="BS550" s="308">
        <v>20</v>
      </c>
      <c r="BT550" s="309">
        <v>44072.831484999995</v>
      </c>
      <c r="BU550" s="310">
        <f t="shared" si="214"/>
        <v>721207.81442054</v>
      </c>
      <c r="BV550" s="311">
        <v>11</v>
      </c>
      <c r="BW550" s="312">
        <v>44514.36363636364</v>
      </c>
      <c r="BX550" s="313">
        <f t="shared" si="215"/>
        <v>400638.17560000008</v>
      </c>
    </row>
    <row r="551" spans="1:77">
      <c r="A551" s="341" t="s">
        <v>409</v>
      </c>
      <c r="B551" s="342" t="s">
        <v>115</v>
      </c>
      <c r="C551" s="341">
        <v>221333</v>
      </c>
      <c r="D551" s="327">
        <v>13</v>
      </c>
      <c r="E551" s="308"/>
      <c r="F551" s="309"/>
      <c r="G551" s="310">
        <f t="shared" si="192"/>
        <v>0</v>
      </c>
      <c r="H551" s="311"/>
      <c r="I551" s="312"/>
      <c r="J551" s="313">
        <f t="shared" si="193"/>
        <v>0</v>
      </c>
      <c r="K551" s="308"/>
      <c r="L551" s="309"/>
      <c r="M551" s="310">
        <f t="shared" si="194"/>
        <v>0</v>
      </c>
      <c r="N551" s="311"/>
      <c r="O551" s="312"/>
      <c r="P551" s="313">
        <f t="shared" si="195"/>
        <v>0</v>
      </c>
      <c r="Q551" s="308"/>
      <c r="R551" s="309"/>
      <c r="S551" s="310">
        <f t="shared" si="196"/>
        <v>0</v>
      </c>
      <c r="T551" s="311"/>
      <c r="U551" s="312"/>
      <c r="V551" s="313">
        <f t="shared" si="197"/>
        <v>0</v>
      </c>
      <c r="W551" s="308"/>
      <c r="X551" s="309"/>
      <c r="Y551" s="310">
        <f t="shared" si="198"/>
        <v>0</v>
      </c>
      <c r="Z551" s="311"/>
      <c r="AA551" s="312"/>
      <c r="AB551" s="313">
        <f t="shared" si="199"/>
        <v>0</v>
      </c>
      <c r="AC551" s="308"/>
      <c r="AD551" s="309"/>
      <c r="AE551" s="310">
        <f t="shared" si="200"/>
        <v>0</v>
      </c>
      <c r="AF551" s="311"/>
      <c r="AG551" s="312"/>
      <c r="AH551" s="313">
        <f t="shared" si="201"/>
        <v>0</v>
      </c>
      <c r="AI551" s="308"/>
      <c r="AJ551" s="309"/>
      <c r="AK551" s="310">
        <f t="shared" si="202"/>
        <v>0</v>
      </c>
      <c r="AL551" s="311"/>
      <c r="AM551" s="312"/>
      <c r="AN551" s="313">
        <f t="shared" si="203"/>
        <v>0</v>
      </c>
      <c r="AO551" s="308"/>
      <c r="AP551" s="309"/>
      <c r="AQ551" s="310">
        <f t="shared" si="204"/>
        <v>0</v>
      </c>
      <c r="AR551" s="311"/>
      <c r="AS551" s="312"/>
      <c r="AT551" s="313">
        <f t="shared" si="205"/>
        <v>0</v>
      </c>
      <c r="AU551" s="308"/>
      <c r="AV551" s="309"/>
      <c r="AW551" s="310">
        <f t="shared" si="206"/>
        <v>0</v>
      </c>
      <c r="AX551" s="311"/>
      <c r="AY551" s="312"/>
      <c r="AZ551" s="313">
        <f t="shared" si="207"/>
        <v>0</v>
      </c>
      <c r="BA551" s="308"/>
      <c r="BB551" s="309"/>
      <c r="BC551" s="310">
        <f t="shared" si="208"/>
        <v>0</v>
      </c>
      <c r="BD551" s="311"/>
      <c r="BE551" s="312"/>
      <c r="BF551" s="313">
        <f t="shared" si="209"/>
        <v>0</v>
      </c>
      <c r="BG551" s="308"/>
      <c r="BH551" s="309"/>
      <c r="BI551" s="310">
        <f t="shared" si="210"/>
        <v>0</v>
      </c>
      <c r="BJ551" s="311"/>
      <c r="BK551" s="312"/>
      <c r="BL551" s="313">
        <f t="shared" si="211"/>
        <v>0</v>
      </c>
      <c r="BM551" s="308"/>
      <c r="BN551" s="309"/>
      <c r="BO551" s="310">
        <f t="shared" si="212"/>
        <v>0</v>
      </c>
      <c r="BP551" s="311"/>
      <c r="BQ551" s="312"/>
      <c r="BR551" s="313">
        <f t="shared" si="213"/>
        <v>0</v>
      </c>
      <c r="BS551" s="308">
        <v>15</v>
      </c>
      <c r="BT551" s="309">
        <v>47542.278079999996</v>
      </c>
      <c r="BU551" s="310">
        <f t="shared" si="214"/>
        <v>583486.37887583999</v>
      </c>
      <c r="BV551" s="311">
        <v>16</v>
      </c>
      <c r="BW551" s="312">
        <v>47962.375</v>
      </c>
      <c r="BX551" s="313">
        <f t="shared" si="215"/>
        <v>627885.04359999998</v>
      </c>
    </row>
    <row r="552" spans="1:77">
      <c r="A552" s="341" t="s">
        <v>409</v>
      </c>
      <c r="B552" s="342" t="s">
        <v>116</v>
      </c>
      <c r="C552" s="341">
        <v>221388</v>
      </c>
      <c r="D552" s="327">
        <v>13</v>
      </c>
      <c r="E552" s="308"/>
      <c r="F552" s="309"/>
      <c r="G552" s="310">
        <f t="shared" si="192"/>
        <v>0</v>
      </c>
      <c r="H552" s="311"/>
      <c r="I552" s="312"/>
      <c r="J552" s="313">
        <f t="shared" si="193"/>
        <v>0</v>
      </c>
      <c r="K552" s="308"/>
      <c r="L552" s="309"/>
      <c r="M552" s="310">
        <f t="shared" si="194"/>
        <v>0</v>
      </c>
      <c r="N552" s="311"/>
      <c r="O552" s="312"/>
      <c r="P552" s="313">
        <f t="shared" si="195"/>
        <v>0</v>
      </c>
      <c r="Q552" s="308"/>
      <c r="R552" s="309"/>
      <c r="S552" s="310">
        <f t="shared" si="196"/>
        <v>0</v>
      </c>
      <c r="T552" s="311"/>
      <c r="U552" s="312"/>
      <c r="V552" s="313">
        <f t="shared" si="197"/>
        <v>0</v>
      </c>
      <c r="W552" s="308"/>
      <c r="X552" s="309"/>
      <c r="Y552" s="310">
        <f t="shared" si="198"/>
        <v>0</v>
      </c>
      <c r="Z552" s="311"/>
      <c r="AA552" s="312"/>
      <c r="AB552" s="313">
        <f t="shared" si="199"/>
        <v>0</v>
      </c>
      <c r="AC552" s="308"/>
      <c r="AD552" s="309"/>
      <c r="AE552" s="310">
        <f t="shared" si="200"/>
        <v>0</v>
      </c>
      <c r="AF552" s="311"/>
      <c r="AG552" s="312"/>
      <c r="AH552" s="313">
        <f t="shared" si="201"/>
        <v>0</v>
      </c>
      <c r="AI552" s="308"/>
      <c r="AJ552" s="309"/>
      <c r="AK552" s="310">
        <f t="shared" si="202"/>
        <v>0</v>
      </c>
      <c r="AL552" s="311"/>
      <c r="AM552" s="312"/>
      <c r="AN552" s="313">
        <f t="shared" si="203"/>
        <v>0</v>
      </c>
      <c r="AO552" s="308"/>
      <c r="AP552" s="309"/>
      <c r="AQ552" s="310">
        <f t="shared" si="204"/>
        <v>0</v>
      </c>
      <c r="AR552" s="311"/>
      <c r="AS552" s="312"/>
      <c r="AT552" s="313">
        <f t="shared" si="205"/>
        <v>0</v>
      </c>
      <c r="AU552" s="308"/>
      <c r="AV552" s="309"/>
      <c r="AW552" s="310">
        <f t="shared" si="206"/>
        <v>0</v>
      </c>
      <c r="AX552" s="311"/>
      <c r="AY552" s="312"/>
      <c r="AZ552" s="313">
        <f t="shared" si="207"/>
        <v>0</v>
      </c>
      <c r="BA552" s="308"/>
      <c r="BB552" s="309"/>
      <c r="BC552" s="310">
        <f t="shared" si="208"/>
        <v>0</v>
      </c>
      <c r="BD552" s="311"/>
      <c r="BE552" s="312"/>
      <c r="BF552" s="313">
        <f t="shared" si="209"/>
        <v>0</v>
      </c>
      <c r="BG552" s="308"/>
      <c r="BH552" s="309"/>
      <c r="BI552" s="310">
        <f t="shared" si="210"/>
        <v>0</v>
      </c>
      <c r="BJ552" s="311"/>
      <c r="BK552" s="312"/>
      <c r="BL552" s="313">
        <f t="shared" si="211"/>
        <v>0</v>
      </c>
      <c r="BM552" s="308"/>
      <c r="BN552" s="309"/>
      <c r="BO552" s="310">
        <f t="shared" si="212"/>
        <v>0</v>
      </c>
      <c r="BP552" s="311"/>
      <c r="BQ552" s="312"/>
      <c r="BR552" s="313">
        <f t="shared" si="213"/>
        <v>0</v>
      </c>
      <c r="BS552" s="308">
        <v>12</v>
      </c>
      <c r="BT552" s="309">
        <v>42192.500716666669</v>
      </c>
      <c r="BU552" s="310">
        <f t="shared" si="214"/>
        <v>414262.84903652006</v>
      </c>
      <c r="BV552" s="311">
        <v>9</v>
      </c>
      <c r="BW552" s="312">
        <v>42538.444444444445</v>
      </c>
      <c r="BX552" s="313">
        <f t="shared" si="215"/>
        <v>313244.59720000002</v>
      </c>
    </row>
    <row r="553" spans="1:77">
      <c r="A553" s="341" t="s">
        <v>409</v>
      </c>
      <c r="B553" s="342" t="s">
        <v>117</v>
      </c>
      <c r="C553" s="341">
        <v>221494</v>
      </c>
      <c r="D553" s="327">
        <v>13</v>
      </c>
      <c r="E553" s="308"/>
      <c r="F553" s="309"/>
      <c r="G553" s="310">
        <f t="shared" si="192"/>
        <v>0</v>
      </c>
      <c r="H553" s="311"/>
      <c r="I553" s="312"/>
      <c r="J553" s="313">
        <f t="shared" si="193"/>
        <v>0</v>
      </c>
      <c r="K553" s="308"/>
      <c r="L553" s="309"/>
      <c r="M553" s="310">
        <f t="shared" si="194"/>
        <v>0</v>
      </c>
      <c r="N553" s="311"/>
      <c r="O553" s="312"/>
      <c r="P553" s="313">
        <f t="shared" si="195"/>
        <v>0</v>
      </c>
      <c r="Q553" s="308"/>
      <c r="R553" s="309"/>
      <c r="S553" s="310">
        <f t="shared" si="196"/>
        <v>0</v>
      </c>
      <c r="T553" s="311"/>
      <c r="U553" s="312"/>
      <c r="V553" s="313">
        <f t="shared" si="197"/>
        <v>0</v>
      </c>
      <c r="W553" s="308"/>
      <c r="X553" s="309"/>
      <c r="Y553" s="310">
        <f t="shared" si="198"/>
        <v>0</v>
      </c>
      <c r="Z553" s="311"/>
      <c r="AA553" s="312"/>
      <c r="AB553" s="313">
        <f t="shared" si="199"/>
        <v>0</v>
      </c>
      <c r="AC553" s="308"/>
      <c r="AD553" s="309"/>
      <c r="AE553" s="310">
        <f t="shared" si="200"/>
        <v>0</v>
      </c>
      <c r="AF553" s="311"/>
      <c r="AG553" s="312"/>
      <c r="AH553" s="313">
        <f t="shared" si="201"/>
        <v>0</v>
      </c>
      <c r="AI553" s="308"/>
      <c r="AJ553" s="309"/>
      <c r="AK553" s="310">
        <f t="shared" si="202"/>
        <v>0</v>
      </c>
      <c r="AL553" s="311"/>
      <c r="AM553" s="312"/>
      <c r="AN553" s="313">
        <f t="shared" si="203"/>
        <v>0</v>
      </c>
      <c r="AO553" s="308"/>
      <c r="AP553" s="309"/>
      <c r="AQ553" s="310">
        <f t="shared" si="204"/>
        <v>0</v>
      </c>
      <c r="AR553" s="311"/>
      <c r="AS553" s="312"/>
      <c r="AT553" s="313">
        <f t="shared" si="205"/>
        <v>0</v>
      </c>
      <c r="AU553" s="308"/>
      <c r="AV553" s="309"/>
      <c r="AW553" s="310">
        <f t="shared" si="206"/>
        <v>0</v>
      </c>
      <c r="AX553" s="311"/>
      <c r="AY553" s="312"/>
      <c r="AZ553" s="313">
        <f t="shared" si="207"/>
        <v>0</v>
      </c>
      <c r="BA553" s="308"/>
      <c r="BB553" s="309"/>
      <c r="BC553" s="310">
        <f t="shared" si="208"/>
        <v>0</v>
      </c>
      <c r="BD553" s="311"/>
      <c r="BE553" s="312"/>
      <c r="BF553" s="313">
        <f t="shared" si="209"/>
        <v>0</v>
      </c>
      <c r="BG553" s="308"/>
      <c r="BH553" s="309"/>
      <c r="BI553" s="310">
        <f t="shared" si="210"/>
        <v>0</v>
      </c>
      <c r="BJ553" s="311"/>
      <c r="BK553" s="312"/>
      <c r="BL553" s="313">
        <f t="shared" si="211"/>
        <v>0</v>
      </c>
      <c r="BM553" s="308"/>
      <c r="BN553" s="309"/>
      <c r="BO553" s="310">
        <f t="shared" si="212"/>
        <v>0</v>
      </c>
      <c r="BP553" s="311"/>
      <c r="BQ553" s="312"/>
      <c r="BR553" s="313">
        <f t="shared" si="213"/>
        <v>0</v>
      </c>
      <c r="BS553" s="308">
        <v>19</v>
      </c>
      <c r="BT553" s="309">
        <v>46850.407657894735</v>
      </c>
      <c r="BU553" s="310">
        <f t="shared" si="214"/>
        <v>728327.06736810005</v>
      </c>
      <c r="BV553" s="311">
        <v>20</v>
      </c>
      <c r="BW553" s="312">
        <v>47588.95</v>
      </c>
      <c r="BX553" s="313">
        <f t="shared" si="215"/>
        <v>778745.57780000009</v>
      </c>
    </row>
    <row r="554" spans="1:77">
      <c r="A554" s="341" t="s">
        <v>409</v>
      </c>
      <c r="B554" s="342" t="s">
        <v>118</v>
      </c>
      <c r="C554" s="341">
        <v>221634</v>
      </c>
      <c r="D554" s="327">
        <v>13</v>
      </c>
      <c r="E554" s="308"/>
      <c r="F554" s="309"/>
      <c r="G554" s="310">
        <f t="shared" si="192"/>
        <v>0</v>
      </c>
      <c r="H554" s="311"/>
      <c r="I554" s="312"/>
      <c r="J554" s="313">
        <f t="shared" si="193"/>
        <v>0</v>
      </c>
      <c r="K554" s="308"/>
      <c r="L554" s="309"/>
      <c r="M554" s="310">
        <f t="shared" si="194"/>
        <v>0</v>
      </c>
      <c r="N554" s="311"/>
      <c r="O554" s="312"/>
      <c r="P554" s="313">
        <f t="shared" si="195"/>
        <v>0</v>
      </c>
      <c r="Q554" s="308"/>
      <c r="R554" s="309"/>
      <c r="S554" s="310">
        <f t="shared" si="196"/>
        <v>0</v>
      </c>
      <c r="T554" s="311"/>
      <c r="U554" s="312"/>
      <c r="V554" s="313">
        <f t="shared" si="197"/>
        <v>0</v>
      </c>
      <c r="W554" s="308"/>
      <c r="X554" s="309"/>
      <c r="Y554" s="310">
        <f t="shared" si="198"/>
        <v>0</v>
      </c>
      <c r="Z554" s="311"/>
      <c r="AA554" s="312"/>
      <c r="AB554" s="313">
        <f t="shared" si="199"/>
        <v>0</v>
      </c>
      <c r="AC554" s="308"/>
      <c r="AD554" s="309"/>
      <c r="AE554" s="310">
        <f t="shared" si="200"/>
        <v>0</v>
      </c>
      <c r="AF554" s="311"/>
      <c r="AG554" s="312"/>
      <c r="AH554" s="313">
        <f t="shared" si="201"/>
        <v>0</v>
      </c>
      <c r="AI554" s="308"/>
      <c r="AJ554" s="309"/>
      <c r="AK554" s="310">
        <f t="shared" si="202"/>
        <v>0</v>
      </c>
      <c r="AL554" s="311"/>
      <c r="AM554" s="312"/>
      <c r="AN554" s="313">
        <f t="shared" si="203"/>
        <v>0</v>
      </c>
      <c r="AO554" s="308"/>
      <c r="AP554" s="309"/>
      <c r="AQ554" s="310">
        <f t="shared" si="204"/>
        <v>0</v>
      </c>
      <c r="AR554" s="311"/>
      <c r="AS554" s="312"/>
      <c r="AT554" s="313">
        <f t="shared" si="205"/>
        <v>0</v>
      </c>
      <c r="AU554" s="308"/>
      <c r="AV554" s="309"/>
      <c r="AW554" s="310">
        <f t="shared" si="206"/>
        <v>0</v>
      </c>
      <c r="AX554" s="311"/>
      <c r="AY554" s="312"/>
      <c r="AZ554" s="313">
        <f t="shared" si="207"/>
        <v>0</v>
      </c>
      <c r="BA554" s="308"/>
      <c r="BB554" s="309"/>
      <c r="BC554" s="310">
        <f t="shared" si="208"/>
        <v>0</v>
      </c>
      <c r="BD554" s="311"/>
      <c r="BE554" s="312"/>
      <c r="BF554" s="313">
        <f t="shared" si="209"/>
        <v>0</v>
      </c>
      <c r="BG554" s="308"/>
      <c r="BH554" s="309"/>
      <c r="BI554" s="310">
        <f t="shared" si="210"/>
        <v>0</v>
      </c>
      <c r="BJ554" s="311"/>
      <c r="BK554" s="312"/>
      <c r="BL554" s="313">
        <f t="shared" si="211"/>
        <v>0</v>
      </c>
      <c r="BM554" s="308"/>
      <c r="BN554" s="309"/>
      <c r="BO554" s="310">
        <f t="shared" si="212"/>
        <v>0</v>
      </c>
      <c r="BP554" s="311"/>
      <c r="BQ554" s="312"/>
      <c r="BR554" s="313">
        <f t="shared" si="213"/>
        <v>0</v>
      </c>
      <c r="BS554" s="308">
        <v>10</v>
      </c>
      <c r="BT554" s="309">
        <v>47692.940979999999</v>
      </c>
      <c r="BU554" s="310">
        <f t="shared" si="214"/>
        <v>390223.64309836004</v>
      </c>
      <c r="BV554" s="311">
        <v>8</v>
      </c>
      <c r="BW554" s="312">
        <v>48842.125</v>
      </c>
      <c r="BX554" s="313">
        <f t="shared" si="215"/>
        <v>319701.0134</v>
      </c>
    </row>
    <row r="555" spans="1:77">
      <c r="A555" s="346" t="s">
        <v>408</v>
      </c>
      <c r="B555" s="347" t="s">
        <v>119</v>
      </c>
      <c r="C555" s="348">
        <v>228723</v>
      </c>
      <c r="D555" s="349">
        <v>1</v>
      </c>
      <c r="E555" s="308">
        <v>828</v>
      </c>
      <c r="F555" s="309">
        <v>110143</v>
      </c>
      <c r="G555" s="310">
        <f t="shared" si="192"/>
        <v>91198404</v>
      </c>
      <c r="H555" s="350">
        <v>913</v>
      </c>
      <c r="I555" s="351">
        <v>118024.88280394305</v>
      </c>
      <c r="J555" s="313">
        <f t="shared" si="193"/>
        <v>107756718</v>
      </c>
      <c r="K555" s="308">
        <v>473</v>
      </c>
      <c r="L555" s="309">
        <v>76285</v>
      </c>
      <c r="M555" s="310">
        <f t="shared" si="194"/>
        <v>36082805</v>
      </c>
      <c r="N555" s="350">
        <v>573</v>
      </c>
      <c r="O555" s="351">
        <v>78681.568935427567</v>
      </c>
      <c r="P555" s="313">
        <f t="shared" si="195"/>
        <v>45084538.999999993</v>
      </c>
      <c r="Q555" s="308">
        <v>567</v>
      </c>
      <c r="R555" s="309">
        <v>68634</v>
      </c>
      <c r="S555" s="310">
        <f t="shared" si="196"/>
        <v>38915478</v>
      </c>
      <c r="T555" s="350">
        <v>664</v>
      </c>
      <c r="U555" s="351">
        <v>68371.272590361448</v>
      </c>
      <c r="V555" s="313">
        <f t="shared" si="197"/>
        <v>45398525</v>
      </c>
      <c r="W555" s="308"/>
      <c r="X555" s="309"/>
      <c r="Y555" s="310">
        <f t="shared" si="198"/>
        <v>0</v>
      </c>
      <c r="Z555" s="350">
        <v>38</v>
      </c>
      <c r="AA555" s="351">
        <v>30895.42105263158</v>
      </c>
      <c r="AB555" s="313">
        <f t="shared" si="199"/>
        <v>1174026</v>
      </c>
      <c r="AC555" s="308">
        <v>311</v>
      </c>
      <c r="AD555" s="309">
        <v>43166</v>
      </c>
      <c r="AE555" s="310">
        <f t="shared" si="200"/>
        <v>13424626</v>
      </c>
      <c r="AF555" s="350">
        <v>460</v>
      </c>
      <c r="AG555" s="351">
        <v>51604.513043478262</v>
      </c>
      <c r="AH555" s="313">
        <f t="shared" si="201"/>
        <v>23738076</v>
      </c>
      <c r="AI555" s="308"/>
      <c r="AJ555" s="309"/>
      <c r="AK555" s="310">
        <f t="shared" si="202"/>
        <v>0</v>
      </c>
      <c r="AL555" s="350"/>
      <c r="AM555" s="351"/>
      <c r="AN555" s="313">
        <f t="shared" si="203"/>
        <v>0</v>
      </c>
      <c r="AO555" s="308"/>
      <c r="AP555" s="309"/>
      <c r="AQ555" s="310">
        <f t="shared" si="204"/>
        <v>0</v>
      </c>
      <c r="AR555" s="350"/>
      <c r="AS555" s="351"/>
      <c r="AT555" s="313">
        <f t="shared" si="205"/>
        <v>0</v>
      </c>
      <c r="AU555" s="308"/>
      <c r="AV555" s="309"/>
      <c r="AW555" s="310">
        <f t="shared" si="206"/>
        <v>0</v>
      </c>
      <c r="AX555" s="350"/>
      <c r="AY555" s="351"/>
      <c r="AZ555" s="313">
        <f t="shared" si="207"/>
        <v>0</v>
      </c>
      <c r="BA555" s="308"/>
      <c r="BB555" s="309"/>
      <c r="BC555" s="310">
        <f t="shared" si="208"/>
        <v>0</v>
      </c>
      <c r="BD555" s="350"/>
      <c r="BE555" s="351"/>
      <c r="BF555" s="313">
        <f t="shared" si="209"/>
        <v>0</v>
      </c>
      <c r="BG555" s="308"/>
      <c r="BH555" s="309"/>
      <c r="BI555" s="310">
        <f t="shared" si="210"/>
        <v>0</v>
      </c>
      <c r="BJ555" s="350"/>
      <c r="BK555" s="351"/>
      <c r="BL555" s="313">
        <f t="shared" si="211"/>
        <v>0</v>
      </c>
      <c r="BM555" s="308"/>
      <c r="BN555" s="309"/>
      <c r="BO555" s="310">
        <f t="shared" si="212"/>
        <v>0</v>
      </c>
      <c r="BP555" s="350"/>
      <c r="BQ555" s="351"/>
      <c r="BR555" s="313">
        <f t="shared" si="213"/>
        <v>0</v>
      </c>
      <c r="BS555" s="308"/>
      <c r="BT555" s="309"/>
      <c r="BU555" s="310">
        <f t="shared" si="214"/>
        <v>0</v>
      </c>
      <c r="BV555" s="350"/>
      <c r="BW555" s="351"/>
      <c r="BX555" s="313">
        <f t="shared" si="215"/>
        <v>0</v>
      </c>
    </row>
    <row r="556" spans="1:77">
      <c r="A556" s="346" t="s">
        <v>408</v>
      </c>
      <c r="B556" s="347" t="s">
        <v>120</v>
      </c>
      <c r="C556" s="348">
        <v>229115</v>
      </c>
      <c r="D556" s="349">
        <v>1</v>
      </c>
      <c r="E556" s="308">
        <v>258</v>
      </c>
      <c r="F556" s="309">
        <v>99345</v>
      </c>
      <c r="G556" s="310">
        <f t="shared" si="192"/>
        <v>25631010</v>
      </c>
      <c r="H556" s="350">
        <v>252</v>
      </c>
      <c r="I556" s="351">
        <v>102130.10714285714</v>
      </c>
      <c r="J556" s="313">
        <f t="shared" si="193"/>
        <v>25736787</v>
      </c>
      <c r="K556" s="308">
        <v>316</v>
      </c>
      <c r="L556" s="309">
        <v>70518</v>
      </c>
      <c r="M556" s="310">
        <f t="shared" si="194"/>
        <v>22283688</v>
      </c>
      <c r="N556" s="350">
        <v>347</v>
      </c>
      <c r="O556" s="351">
        <v>72031.90489913545</v>
      </c>
      <c r="P556" s="313">
        <f t="shared" si="195"/>
        <v>24995071</v>
      </c>
      <c r="Q556" s="308">
        <v>308</v>
      </c>
      <c r="R556" s="309">
        <v>61142</v>
      </c>
      <c r="S556" s="310">
        <f t="shared" si="196"/>
        <v>18831736</v>
      </c>
      <c r="T556" s="350">
        <v>298</v>
      </c>
      <c r="U556" s="351">
        <v>62002.322147651008</v>
      </c>
      <c r="V556" s="313">
        <f t="shared" si="197"/>
        <v>18476692</v>
      </c>
      <c r="W556" s="308">
        <v>146</v>
      </c>
      <c r="X556" s="309">
        <v>39158</v>
      </c>
      <c r="Y556" s="310">
        <f t="shared" si="198"/>
        <v>5717068</v>
      </c>
      <c r="Z556" s="350">
        <v>141</v>
      </c>
      <c r="AA556" s="351">
        <v>42012.829787234041</v>
      </c>
      <c r="AB556" s="313">
        <f t="shared" si="199"/>
        <v>5923809</v>
      </c>
      <c r="AC556" s="308"/>
      <c r="AD556" s="309"/>
      <c r="AE556" s="310">
        <f t="shared" si="200"/>
        <v>0</v>
      </c>
      <c r="AF556" s="350">
        <v>1</v>
      </c>
      <c r="AG556" s="351">
        <v>67000</v>
      </c>
      <c r="AH556" s="313">
        <f t="shared" si="201"/>
        <v>67000</v>
      </c>
      <c r="AI556" s="308"/>
      <c r="AJ556" s="309"/>
      <c r="AK556" s="310">
        <f t="shared" si="202"/>
        <v>0</v>
      </c>
      <c r="AL556" s="350"/>
      <c r="AM556" s="351"/>
      <c r="AN556" s="313">
        <f t="shared" si="203"/>
        <v>0</v>
      </c>
      <c r="AO556" s="308">
        <v>18</v>
      </c>
      <c r="AP556" s="309">
        <v>143329</v>
      </c>
      <c r="AQ556" s="310">
        <f t="shared" si="204"/>
        <v>2110892.1804</v>
      </c>
      <c r="AR556" s="350">
        <v>20</v>
      </c>
      <c r="AS556" s="351">
        <v>132258.04999999999</v>
      </c>
      <c r="AT556" s="313">
        <f t="shared" si="205"/>
        <v>2164270.7302000001</v>
      </c>
      <c r="AU556" s="308">
        <v>7</v>
      </c>
      <c r="AV556" s="309">
        <v>100843</v>
      </c>
      <c r="AW556" s="310">
        <f t="shared" si="206"/>
        <v>577568.19819999998</v>
      </c>
      <c r="AX556" s="350">
        <v>8</v>
      </c>
      <c r="AY556" s="351">
        <v>93566.875</v>
      </c>
      <c r="AZ556" s="313">
        <f t="shared" si="207"/>
        <v>612451.33700000006</v>
      </c>
      <c r="BA556" s="308">
        <v>11</v>
      </c>
      <c r="BB556" s="309">
        <v>72969</v>
      </c>
      <c r="BC556" s="310">
        <f t="shared" si="208"/>
        <v>656735.59380000003</v>
      </c>
      <c r="BD556" s="350">
        <v>11</v>
      </c>
      <c r="BE556" s="351">
        <v>87248.363636363632</v>
      </c>
      <c r="BF556" s="313">
        <f t="shared" si="209"/>
        <v>785252.72240000009</v>
      </c>
      <c r="BG556" s="308">
        <v>14</v>
      </c>
      <c r="BH556" s="309">
        <v>58007</v>
      </c>
      <c r="BI556" s="310">
        <f t="shared" si="210"/>
        <v>664458.58360000001</v>
      </c>
      <c r="BJ556" s="350">
        <v>21</v>
      </c>
      <c r="BK556" s="351">
        <v>45811.523809523809</v>
      </c>
      <c r="BL556" s="313">
        <f t="shared" si="211"/>
        <v>787142.76439999999</v>
      </c>
      <c r="BM556" s="308"/>
      <c r="BN556" s="309"/>
      <c r="BO556" s="310">
        <f t="shared" si="212"/>
        <v>0</v>
      </c>
      <c r="BP556" s="350"/>
      <c r="BQ556" s="351"/>
      <c r="BR556" s="313">
        <f t="shared" si="213"/>
        <v>0</v>
      </c>
      <c r="BS556" s="308"/>
      <c r="BT556" s="309"/>
      <c r="BU556" s="310">
        <f t="shared" si="214"/>
        <v>0</v>
      </c>
      <c r="BV556" s="350"/>
      <c r="BW556" s="351"/>
      <c r="BX556" s="313">
        <f t="shared" si="215"/>
        <v>0</v>
      </c>
      <c r="BY556" s="290"/>
    </row>
    <row r="557" spans="1:77">
      <c r="A557" s="346" t="s">
        <v>408</v>
      </c>
      <c r="B557" s="347" t="s">
        <v>121</v>
      </c>
      <c r="C557" s="348">
        <v>225511</v>
      </c>
      <c r="D557" s="349">
        <v>1</v>
      </c>
      <c r="E557" s="308">
        <v>355</v>
      </c>
      <c r="F557" s="309">
        <v>111621</v>
      </c>
      <c r="G557" s="310">
        <f t="shared" si="192"/>
        <v>39625455</v>
      </c>
      <c r="H557" s="350">
        <v>359</v>
      </c>
      <c r="I557" s="351">
        <v>117493.91364902507</v>
      </c>
      <c r="J557" s="313">
        <f t="shared" si="193"/>
        <v>42180315</v>
      </c>
      <c r="K557" s="308">
        <v>284</v>
      </c>
      <c r="L557" s="309">
        <v>74244</v>
      </c>
      <c r="M557" s="310">
        <f t="shared" si="194"/>
        <v>21085296</v>
      </c>
      <c r="N557" s="350">
        <v>270</v>
      </c>
      <c r="O557" s="351">
        <v>77499.622222222228</v>
      </c>
      <c r="P557" s="313">
        <f t="shared" si="195"/>
        <v>20924898</v>
      </c>
      <c r="Q557" s="308">
        <v>165</v>
      </c>
      <c r="R557" s="309">
        <v>75238</v>
      </c>
      <c r="S557" s="310">
        <f t="shared" si="196"/>
        <v>12414270</v>
      </c>
      <c r="T557" s="350">
        <v>188</v>
      </c>
      <c r="U557" s="351">
        <v>77193.335106382976</v>
      </c>
      <c r="V557" s="313">
        <f t="shared" si="197"/>
        <v>14512347</v>
      </c>
      <c r="W557" s="308"/>
      <c r="X557" s="309"/>
      <c r="Y557" s="310">
        <f t="shared" si="198"/>
        <v>0</v>
      </c>
      <c r="Z557" s="350"/>
      <c r="AA557" s="351"/>
      <c r="AB557" s="313">
        <f t="shared" si="199"/>
        <v>0</v>
      </c>
      <c r="AC557" s="308">
        <v>200</v>
      </c>
      <c r="AD557" s="309">
        <v>52760</v>
      </c>
      <c r="AE557" s="310">
        <f t="shared" si="200"/>
        <v>10552000</v>
      </c>
      <c r="AF557" s="350">
        <v>209</v>
      </c>
      <c r="AG557" s="351">
        <v>53459.133971291863</v>
      </c>
      <c r="AH557" s="313">
        <f t="shared" si="201"/>
        <v>11172959</v>
      </c>
      <c r="AI557" s="308"/>
      <c r="AJ557" s="309"/>
      <c r="AK557" s="310">
        <f t="shared" si="202"/>
        <v>0</v>
      </c>
      <c r="AL557" s="350"/>
      <c r="AM557" s="351"/>
      <c r="AN557" s="313">
        <f t="shared" si="203"/>
        <v>0</v>
      </c>
      <c r="AO557" s="308">
        <v>15</v>
      </c>
      <c r="AP557" s="309">
        <v>136725</v>
      </c>
      <c r="AQ557" s="310">
        <f t="shared" si="204"/>
        <v>1678025.925</v>
      </c>
      <c r="AR557" s="350">
        <v>19</v>
      </c>
      <c r="AS557" s="351">
        <v>153799.10526315789</v>
      </c>
      <c r="AT557" s="313">
        <f t="shared" si="205"/>
        <v>2390930.1306000003</v>
      </c>
      <c r="AU557" s="308">
        <v>14</v>
      </c>
      <c r="AV557" s="309">
        <v>95974</v>
      </c>
      <c r="AW557" s="310">
        <f t="shared" si="206"/>
        <v>1099362.9752</v>
      </c>
      <c r="AX557" s="350">
        <v>14</v>
      </c>
      <c r="AY557" s="351">
        <v>102772.42857142857</v>
      </c>
      <c r="AZ557" s="313">
        <f t="shared" si="207"/>
        <v>1177237.6148000001</v>
      </c>
      <c r="BA557" s="308">
        <v>8</v>
      </c>
      <c r="BB557" s="309">
        <v>90491</v>
      </c>
      <c r="BC557" s="310">
        <f t="shared" si="208"/>
        <v>592317.88959999999</v>
      </c>
      <c r="BD557" s="350">
        <v>9</v>
      </c>
      <c r="BE557" s="351">
        <v>88667.777777777781</v>
      </c>
      <c r="BF557" s="313">
        <f t="shared" si="209"/>
        <v>652931.78200000001</v>
      </c>
      <c r="BG557" s="308"/>
      <c r="BH557" s="309"/>
      <c r="BI557" s="310">
        <f t="shared" si="210"/>
        <v>0</v>
      </c>
      <c r="BJ557" s="350"/>
      <c r="BK557" s="351"/>
      <c r="BL557" s="313">
        <f t="shared" si="211"/>
        <v>0</v>
      </c>
      <c r="BM557" s="308">
        <v>48</v>
      </c>
      <c r="BN557" s="309">
        <v>76884</v>
      </c>
      <c r="BO557" s="310">
        <f t="shared" si="212"/>
        <v>3019511.4624000001</v>
      </c>
      <c r="BP557" s="350">
        <v>6</v>
      </c>
      <c r="BQ557" s="351">
        <v>87563.833333333328</v>
      </c>
      <c r="BR557" s="313">
        <f t="shared" si="213"/>
        <v>429868.37060000002</v>
      </c>
      <c r="BS557" s="308"/>
      <c r="BT557" s="309"/>
      <c r="BU557" s="310">
        <f t="shared" si="214"/>
        <v>0</v>
      </c>
      <c r="BV557" s="350"/>
      <c r="BW557" s="351"/>
      <c r="BX557" s="313">
        <f t="shared" si="215"/>
        <v>0</v>
      </c>
      <c r="BY557" s="290"/>
    </row>
    <row r="558" spans="1:77">
      <c r="A558" s="346" t="s">
        <v>408</v>
      </c>
      <c r="B558" s="347" t="s">
        <v>122</v>
      </c>
      <c r="C558" s="348">
        <v>227216</v>
      </c>
      <c r="D558" s="349">
        <v>1</v>
      </c>
      <c r="E558" s="308">
        <v>230</v>
      </c>
      <c r="F558" s="309">
        <v>96663</v>
      </c>
      <c r="G558" s="310">
        <f t="shared" si="192"/>
        <v>22232490</v>
      </c>
      <c r="H558" s="350">
        <v>225</v>
      </c>
      <c r="I558" s="351">
        <v>102394.36444444445</v>
      </c>
      <c r="J558" s="313">
        <f t="shared" si="193"/>
        <v>23038732</v>
      </c>
      <c r="K558" s="308">
        <v>237</v>
      </c>
      <c r="L558" s="309">
        <v>73995</v>
      </c>
      <c r="M558" s="310">
        <f t="shared" si="194"/>
        <v>17536815</v>
      </c>
      <c r="N558" s="350">
        <v>252</v>
      </c>
      <c r="O558" s="351">
        <v>78386.960317460311</v>
      </c>
      <c r="P558" s="313">
        <f t="shared" si="195"/>
        <v>19753514</v>
      </c>
      <c r="Q558" s="308">
        <v>220</v>
      </c>
      <c r="R558" s="309">
        <v>62262</v>
      </c>
      <c r="S558" s="310">
        <f t="shared" si="196"/>
        <v>13697640</v>
      </c>
      <c r="T558" s="350">
        <v>219</v>
      </c>
      <c r="U558" s="351">
        <v>65758.251141552508</v>
      </c>
      <c r="V558" s="313">
        <f t="shared" si="197"/>
        <v>14401057</v>
      </c>
      <c r="W558" s="308">
        <v>1</v>
      </c>
      <c r="X558" s="309">
        <v>54632</v>
      </c>
      <c r="Y558" s="310">
        <f t="shared" si="198"/>
        <v>54632</v>
      </c>
      <c r="Z558" s="350">
        <v>1</v>
      </c>
      <c r="AA558" s="351">
        <v>56763</v>
      </c>
      <c r="AB558" s="313">
        <f t="shared" si="199"/>
        <v>56763</v>
      </c>
      <c r="AC558" s="308">
        <v>146</v>
      </c>
      <c r="AD558" s="309">
        <v>45241</v>
      </c>
      <c r="AE558" s="310">
        <f t="shared" si="200"/>
        <v>6605186</v>
      </c>
      <c r="AF558" s="350">
        <v>154</v>
      </c>
      <c r="AG558" s="351">
        <v>48087.85064935065</v>
      </c>
      <c r="AH558" s="313">
        <f t="shared" si="201"/>
        <v>7405529</v>
      </c>
      <c r="AI558" s="308"/>
      <c r="AJ558" s="309"/>
      <c r="AK558" s="310">
        <f t="shared" si="202"/>
        <v>0</v>
      </c>
      <c r="AL558" s="350"/>
      <c r="AM558" s="351"/>
      <c r="AN558" s="313">
        <f t="shared" si="203"/>
        <v>0</v>
      </c>
      <c r="AO558" s="308">
        <v>18</v>
      </c>
      <c r="AP558" s="309">
        <v>138996</v>
      </c>
      <c r="AQ558" s="310">
        <f t="shared" si="204"/>
        <v>2047077.4896000002</v>
      </c>
      <c r="AR558" s="350">
        <v>25</v>
      </c>
      <c r="AS558" s="351">
        <v>145182.64000000001</v>
      </c>
      <c r="AT558" s="313">
        <f t="shared" si="205"/>
        <v>2969710.9012000007</v>
      </c>
      <c r="AU558" s="308">
        <v>19</v>
      </c>
      <c r="AV558" s="309">
        <v>101708</v>
      </c>
      <c r="AW558" s="310">
        <f t="shared" si="206"/>
        <v>1581132.2264</v>
      </c>
      <c r="AX558" s="350">
        <v>22</v>
      </c>
      <c r="AY558" s="351">
        <v>103457.59090909091</v>
      </c>
      <c r="AZ558" s="313">
        <f t="shared" si="207"/>
        <v>1862278.0194000001</v>
      </c>
      <c r="BA558" s="308"/>
      <c r="BB558" s="309"/>
      <c r="BC558" s="310">
        <f t="shared" si="208"/>
        <v>0</v>
      </c>
      <c r="BD558" s="350"/>
      <c r="BE558" s="351"/>
      <c r="BF558" s="313">
        <f t="shared" si="209"/>
        <v>0</v>
      </c>
      <c r="BG558" s="308"/>
      <c r="BH558" s="309"/>
      <c r="BI558" s="310">
        <f t="shared" si="210"/>
        <v>0</v>
      </c>
      <c r="BJ558" s="350"/>
      <c r="BK558" s="351"/>
      <c r="BL558" s="313">
        <f t="shared" si="211"/>
        <v>0</v>
      </c>
      <c r="BM558" s="308"/>
      <c r="BN558" s="309"/>
      <c r="BO558" s="310">
        <f t="shared" si="212"/>
        <v>0</v>
      </c>
      <c r="BP558" s="350"/>
      <c r="BQ558" s="351"/>
      <c r="BR558" s="313">
        <f t="shared" si="213"/>
        <v>0</v>
      </c>
      <c r="BS558" s="308"/>
      <c r="BT558" s="309"/>
      <c r="BU558" s="310">
        <f t="shared" si="214"/>
        <v>0</v>
      </c>
      <c r="BV558" s="350"/>
      <c r="BW558" s="351"/>
      <c r="BX558" s="313">
        <f t="shared" si="215"/>
        <v>0</v>
      </c>
      <c r="BY558" s="290"/>
    </row>
    <row r="559" spans="1:77">
      <c r="A559" s="346" t="s">
        <v>408</v>
      </c>
      <c r="B559" s="432" t="s">
        <v>125</v>
      </c>
      <c r="C559" s="433">
        <v>228769</v>
      </c>
      <c r="D559" s="434">
        <v>1</v>
      </c>
      <c r="E559" s="308">
        <v>180</v>
      </c>
      <c r="F559" s="309">
        <v>98160</v>
      </c>
      <c r="G559" s="310">
        <f t="shared" si="192"/>
        <v>17668800</v>
      </c>
      <c r="H559" s="350">
        <v>180</v>
      </c>
      <c r="I559" s="351">
        <v>102184.36666666667</v>
      </c>
      <c r="J559" s="313">
        <f t="shared" si="193"/>
        <v>18393186</v>
      </c>
      <c r="K559" s="308">
        <v>174</v>
      </c>
      <c r="L559" s="309">
        <v>72220</v>
      </c>
      <c r="M559" s="310">
        <f t="shared" si="194"/>
        <v>12566280</v>
      </c>
      <c r="N559" s="350">
        <v>182</v>
      </c>
      <c r="O559" s="351">
        <v>76071.912087912089</v>
      </c>
      <c r="P559" s="313">
        <f t="shared" si="195"/>
        <v>13845088</v>
      </c>
      <c r="Q559" s="308">
        <v>210</v>
      </c>
      <c r="R559" s="309">
        <v>69582</v>
      </c>
      <c r="S559" s="310">
        <f t="shared" si="196"/>
        <v>14612220</v>
      </c>
      <c r="T559" s="350">
        <v>217</v>
      </c>
      <c r="U559" s="351">
        <v>70587.66820276498</v>
      </c>
      <c r="V559" s="313">
        <f t="shared" si="197"/>
        <v>15317524</v>
      </c>
      <c r="W559" s="308"/>
      <c r="X559" s="309"/>
      <c r="Y559" s="310">
        <f t="shared" si="198"/>
        <v>0</v>
      </c>
      <c r="Z559" s="350"/>
      <c r="AA559" s="351"/>
      <c r="AB559" s="313">
        <f t="shared" si="199"/>
        <v>0</v>
      </c>
      <c r="AC559" s="308">
        <v>248</v>
      </c>
      <c r="AD559" s="309">
        <v>45677</v>
      </c>
      <c r="AE559" s="310">
        <f t="shared" si="200"/>
        <v>11327896</v>
      </c>
      <c r="AF559" s="350">
        <v>246</v>
      </c>
      <c r="AG559" s="351">
        <v>47114.739837398374</v>
      </c>
      <c r="AH559" s="313">
        <f t="shared" si="201"/>
        <v>11590226</v>
      </c>
      <c r="AI559" s="308"/>
      <c r="AJ559" s="309"/>
      <c r="AK559" s="310">
        <f t="shared" si="202"/>
        <v>0</v>
      </c>
      <c r="AL559" s="350"/>
      <c r="AM559" s="351"/>
      <c r="AN559" s="313">
        <f t="shared" si="203"/>
        <v>0</v>
      </c>
      <c r="AO559" s="308"/>
      <c r="AP559" s="309"/>
      <c r="AQ559" s="310">
        <f t="shared" si="204"/>
        <v>0</v>
      </c>
      <c r="AR559" s="350"/>
      <c r="AS559" s="351"/>
      <c r="AT559" s="313">
        <f t="shared" si="205"/>
        <v>0</v>
      </c>
      <c r="AU559" s="308"/>
      <c r="AV559" s="309"/>
      <c r="AW559" s="310">
        <f t="shared" si="206"/>
        <v>0</v>
      </c>
      <c r="AX559" s="350"/>
      <c r="AY559" s="351"/>
      <c r="AZ559" s="313">
        <f t="shared" si="207"/>
        <v>0</v>
      </c>
      <c r="BA559" s="308"/>
      <c r="BB559" s="309"/>
      <c r="BC559" s="310">
        <f t="shared" si="208"/>
        <v>0</v>
      </c>
      <c r="BD559" s="350"/>
      <c r="BE559" s="351"/>
      <c r="BF559" s="313">
        <f t="shared" si="209"/>
        <v>0</v>
      </c>
      <c r="BG559" s="308"/>
      <c r="BH559" s="309"/>
      <c r="BI559" s="310">
        <f t="shared" si="210"/>
        <v>0</v>
      </c>
      <c r="BJ559" s="350"/>
      <c r="BK559" s="351"/>
      <c r="BL559" s="313">
        <f t="shared" si="211"/>
        <v>0</v>
      </c>
      <c r="BM559" s="308"/>
      <c r="BN559" s="309"/>
      <c r="BO559" s="310">
        <f t="shared" si="212"/>
        <v>0</v>
      </c>
      <c r="BP559" s="350"/>
      <c r="BQ559" s="351"/>
      <c r="BR559" s="313">
        <f t="shared" si="213"/>
        <v>0</v>
      </c>
      <c r="BS559" s="308"/>
      <c r="BT559" s="309"/>
      <c r="BU559" s="310">
        <f t="shared" si="214"/>
        <v>0</v>
      </c>
      <c r="BV559" s="350"/>
      <c r="BW559" s="351"/>
      <c r="BX559" s="313">
        <f t="shared" si="215"/>
        <v>0</v>
      </c>
      <c r="BY559" s="290"/>
    </row>
    <row r="560" spans="1:77">
      <c r="A560" s="346" t="s">
        <v>408</v>
      </c>
      <c r="B560" s="352" t="s">
        <v>123</v>
      </c>
      <c r="C560" s="346">
        <v>228778</v>
      </c>
      <c r="D560" s="346">
        <v>1</v>
      </c>
      <c r="E560" s="308">
        <v>976</v>
      </c>
      <c r="F560" s="309">
        <v>126018</v>
      </c>
      <c r="G560" s="310">
        <f t="shared" si="192"/>
        <v>122993568</v>
      </c>
      <c r="H560" s="350">
        <v>968</v>
      </c>
      <c r="I560" s="351">
        <v>132253.36157024794</v>
      </c>
      <c r="J560" s="313">
        <f t="shared" si="193"/>
        <v>128021254.00000001</v>
      </c>
      <c r="K560" s="308">
        <v>453</v>
      </c>
      <c r="L560" s="309">
        <v>81269</v>
      </c>
      <c r="M560" s="310">
        <f t="shared" si="194"/>
        <v>36814857</v>
      </c>
      <c r="N560" s="350">
        <v>487</v>
      </c>
      <c r="O560" s="351">
        <v>85325.540041067768</v>
      </c>
      <c r="P560" s="313">
        <f t="shared" si="195"/>
        <v>41553538</v>
      </c>
      <c r="Q560" s="308">
        <v>455</v>
      </c>
      <c r="R560" s="309">
        <v>77574</v>
      </c>
      <c r="S560" s="310">
        <f t="shared" si="196"/>
        <v>35296170</v>
      </c>
      <c r="T560" s="350">
        <v>456</v>
      </c>
      <c r="U560" s="351">
        <v>81800.037280701756</v>
      </c>
      <c r="V560" s="313">
        <f t="shared" si="197"/>
        <v>37300817</v>
      </c>
      <c r="W560" s="308">
        <v>3</v>
      </c>
      <c r="X560" s="309">
        <v>75667</v>
      </c>
      <c r="Y560" s="310">
        <f t="shared" si="198"/>
        <v>227001</v>
      </c>
      <c r="Z560" s="350">
        <v>2</v>
      </c>
      <c r="AA560" s="351">
        <v>65000</v>
      </c>
      <c r="AB560" s="313">
        <f t="shared" si="199"/>
        <v>130000</v>
      </c>
      <c r="AC560" s="308">
        <v>561</v>
      </c>
      <c r="AD560" s="309">
        <v>54355</v>
      </c>
      <c r="AE560" s="310">
        <f t="shared" si="200"/>
        <v>30493155</v>
      </c>
      <c r="AF560" s="350">
        <v>596</v>
      </c>
      <c r="AG560" s="351">
        <v>57048.172818791943</v>
      </c>
      <c r="AH560" s="313">
        <f t="shared" si="201"/>
        <v>34000711</v>
      </c>
      <c r="AI560" s="308"/>
      <c r="AJ560" s="309"/>
      <c r="AK560" s="310">
        <f t="shared" si="202"/>
        <v>0</v>
      </c>
      <c r="AL560" s="350"/>
      <c r="AM560" s="351"/>
      <c r="AN560" s="313">
        <f t="shared" si="203"/>
        <v>0</v>
      </c>
      <c r="AO560" s="308"/>
      <c r="AP560" s="309"/>
      <c r="AQ560" s="310">
        <f t="shared" si="204"/>
        <v>0</v>
      </c>
      <c r="AR560" s="350"/>
      <c r="AS560" s="351"/>
      <c r="AT560" s="313">
        <f t="shared" si="205"/>
        <v>0</v>
      </c>
      <c r="AU560" s="308"/>
      <c r="AV560" s="309"/>
      <c r="AW560" s="310">
        <f t="shared" si="206"/>
        <v>0</v>
      </c>
      <c r="AX560" s="350"/>
      <c r="AY560" s="351"/>
      <c r="AZ560" s="313">
        <f t="shared" si="207"/>
        <v>0</v>
      </c>
      <c r="BA560" s="308"/>
      <c r="BB560" s="309"/>
      <c r="BC560" s="310">
        <f t="shared" si="208"/>
        <v>0</v>
      </c>
      <c r="BD560" s="350"/>
      <c r="BE560" s="351"/>
      <c r="BF560" s="313">
        <f t="shared" si="209"/>
        <v>0</v>
      </c>
      <c r="BG560" s="308"/>
      <c r="BH560" s="309"/>
      <c r="BI560" s="310">
        <f t="shared" si="210"/>
        <v>0</v>
      </c>
      <c r="BJ560" s="350"/>
      <c r="BK560" s="351"/>
      <c r="BL560" s="313">
        <f t="shared" si="211"/>
        <v>0</v>
      </c>
      <c r="BM560" s="308"/>
      <c r="BN560" s="309"/>
      <c r="BO560" s="310">
        <f t="shared" si="212"/>
        <v>0</v>
      </c>
      <c r="BP560" s="350"/>
      <c r="BQ560" s="351"/>
      <c r="BR560" s="313">
        <f t="shared" si="213"/>
        <v>0</v>
      </c>
      <c r="BS560" s="308"/>
      <c r="BT560" s="309"/>
      <c r="BU560" s="310">
        <f t="shared" si="214"/>
        <v>0</v>
      </c>
      <c r="BV560" s="350"/>
      <c r="BW560" s="351"/>
      <c r="BX560" s="313">
        <f t="shared" si="215"/>
        <v>0</v>
      </c>
      <c r="BY560" s="290"/>
    </row>
    <row r="561" spans="1:77">
      <c r="A561" s="346" t="s">
        <v>408</v>
      </c>
      <c r="B561" s="352" t="s">
        <v>126</v>
      </c>
      <c r="C561" s="346">
        <v>228787</v>
      </c>
      <c r="D561" s="346">
        <v>1</v>
      </c>
      <c r="E561" s="308">
        <v>168</v>
      </c>
      <c r="F561" s="309">
        <v>123079</v>
      </c>
      <c r="G561" s="310">
        <f t="shared" si="192"/>
        <v>20677272</v>
      </c>
      <c r="H561" s="350">
        <v>146</v>
      </c>
      <c r="I561" s="351">
        <v>126705.47945205479</v>
      </c>
      <c r="J561" s="313">
        <f t="shared" si="193"/>
        <v>18499000</v>
      </c>
      <c r="K561" s="308">
        <v>108</v>
      </c>
      <c r="L561" s="309">
        <v>96421</v>
      </c>
      <c r="M561" s="310">
        <f t="shared" si="194"/>
        <v>10413468</v>
      </c>
      <c r="N561" s="350">
        <v>91</v>
      </c>
      <c r="O561" s="351">
        <v>94473.252747252744</v>
      </c>
      <c r="P561" s="313">
        <f t="shared" si="195"/>
        <v>8597066</v>
      </c>
      <c r="Q561" s="308">
        <v>95</v>
      </c>
      <c r="R561" s="309">
        <v>88366</v>
      </c>
      <c r="S561" s="310">
        <f t="shared" si="196"/>
        <v>8394770</v>
      </c>
      <c r="T561" s="350">
        <v>94</v>
      </c>
      <c r="U561" s="351">
        <v>90486.819148936163</v>
      </c>
      <c r="V561" s="313">
        <f t="shared" si="197"/>
        <v>8505761</v>
      </c>
      <c r="W561" s="308"/>
      <c r="X561" s="309"/>
      <c r="Y561" s="310">
        <f t="shared" si="198"/>
        <v>0</v>
      </c>
      <c r="Z561" s="350"/>
      <c r="AA561" s="351"/>
      <c r="AB561" s="313">
        <f t="shared" si="199"/>
        <v>0</v>
      </c>
      <c r="AC561" s="308">
        <v>101</v>
      </c>
      <c r="AD561" s="309">
        <v>54743</v>
      </c>
      <c r="AE561" s="310">
        <f t="shared" si="200"/>
        <v>5529043</v>
      </c>
      <c r="AF561" s="350">
        <v>122</v>
      </c>
      <c r="AG561" s="351">
        <v>59983.467213114753</v>
      </c>
      <c r="AH561" s="313">
        <f t="shared" si="201"/>
        <v>7317983</v>
      </c>
      <c r="AI561" s="308"/>
      <c r="AJ561" s="309"/>
      <c r="AK561" s="310">
        <f t="shared" si="202"/>
        <v>0</v>
      </c>
      <c r="AL561" s="350"/>
      <c r="AM561" s="351"/>
      <c r="AN561" s="313">
        <f t="shared" si="203"/>
        <v>0</v>
      </c>
      <c r="AO561" s="308"/>
      <c r="AP561" s="309"/>
      <c r="AQ561" s="310">
        <f t="shared" si="204"/>
        <v>0</v>
      </c>
      <c r="AR561" s="350">
        <v>14</v>
      </c>
      <c r="AS561" s="351">
        <v>132510.57142857142</v>
      </c>
      <c r="AT561" s="313">
        <f t="shared" si="205"/>
        <v>1517882.0936</v>
      </c>
      <c r="AU561" s="308"/>
      <c r="AV561" s="309"/>
      <c r="AW561" s="310">
        <f t="shared" si="206"/>
        <v>0</v>
      </c>
      <c r="AX561" s="350">
        <v>8</v>
      </c>
      <c r="AY561" s="351">
        <v>88015.375</v>
      </c>
      <c r="AZ561" s="313">
        <f t="shared" si="207"/>
        <v>576113.43859999999</v>
      </c>
      <c r="BA561" s="308"/>
      <c r="BB561" s="309"/>
      <c r="BC561" s="310">
        <f t="shared" si="208"/>
        <v>0</v>
      </c>
      <c r="BD561" s="350">
        <v>3</v>
      </c>
      <c r="BE561" s="351">
        <v>78850</v>
      </c>
      <c r="BF561" s="313">
        <f t="shared" si="209"/>
        <v>193545.21000000002</v>
      </c>
      <c r="BG561" s="308"/>
      <c r="BH561" s="309"/>
      <c r="BI561" s="310">
        <f t="shared" si="210"/>
        <v>0</v>
      </c>
      <c r="BJ561" s="350"/>
      <c r="BK561" s="351"/>
      <c r="BL561" s="313">
        <f t="shared" si="211"/>
        <v>0</v>
      </c>
      <c r="BM561" s="308"/>
      <c r="BN561" s="309"/>
      <c r="BO561" s="310">
        <f t="shared" si="212"/>
        <v>0</v>
      </c>
      <c r="BP561" s="350">
        <v>2</v>
      </c>
      <c r="BQ561" s="351">
        <v>60577.482500000006</v>
      </c>
      <c r="BR561" s="313">
        <f t="shared" si="213"/>
        <v>99128.992363000012</v>
      </c>
      <c r="BS561" s="308"/>
      <c r="BT561" s="309"/>
      <c r="BU561" s="310">
        <f t="shared" si="214"/>
        <v>0</v>
      </c>
      <c r="BV561" s="350"/>
      <c r="BW561" s="351"/>
      <c r="BX561" s="313">
        <f t="shared" si="215"/>
        <v>0</v>
      </c>
      <c r="BY561" s="290"/>
    </row>
    <row r="562" spans="1:77">
      <c r="A562" s="346" t="s">
        <v>408</v>
      </c>
      <c r="B562" s="347" t="s">
        <v>124</v>
      </c>
      <c r="C562" s="348">
        <v>229179</v>
      </c>
      <c r="D562" s="349">
        <v>2</v>
      </c>
      <c r="E562" s="308">
        <v>73</v>
      </c>
      <c r="F562" s="309">
        <v>85568</v>
      </c>
      <c r="G562" s="310">
        <f t="shared" si="192"/>
        <v>6246464</v>
      </c>
      <c r="H562" s="350">
        <v>64</v>
      </c>
      <c r="I562" s="351">
        <v>84222.421875</v>
      </c>
      <c r="J562" s="313">
        <f t="shared" si="193"/>
        <v>5390235</v>
      </c>
      <c r="K562" s="308">
        <v>92</v>
      </c>
      <c r="L562" s="309">
        <v>66559</v>
      </c>
      <c r="M562" s="310">
        <f t="shared" si="194"/>
        <v>6123428</v>
      </c>
      <c r="N562" s="350">
        <v>87</v>
      </c>
      <c r="O562" s="351">
        <v>69454.3908045977</v>
      </c>
      <c r="P562" s="313">
        <f t="shared" si="195"/>
        <v>6042532</v>
      </c>
      <c r="Q562" s="308">
        <v>134</v>
      </c>
      <c r="R562" s="309">
        <v>55722</v>
      </c>
      <c r="S562" s="310">
        <f t="shared" si="196"/>
        <v>7466748</v>
      </c>
      <c r="T562" s="350">
        <v>120</v>
      </c>
      <c r="U562" s="351">
        <v>58105.033333333333</v>
      </c>
      <c r="V562" s="313">
        <f t="shared" si="197"/>
        <v>6972604</v>
      </c>
      <c r="W562" s="308">
        <v>9</v>
      </c>
      <c r="X562" s="309">
        <v>49302</v>
      </c>
      <c r="Y562" s="310">
        <f t="shared" si="198"/>
        <v>443718</v>
      </c>
      <c r="Z562" s="350">
        <v>10</v>
      </c>
      <c r="AA562" s="351">
        <v>50562.9</v>
      </c>
      <c r="AB562" s="313">
        <f t="shared" si="199"/>
        <v>505629</v>
      </c>
      <c r="AC562" s="308">
        <v>96</v>
      </c>
      <c r="AD562" s="309">
        <v>50712</v>
      </c>
      <c r="AE562" s="310">
        <f t="shared" si="200"/>
        <v>4868352</v>
      </c>
      <c r="AF562" s="350">
        <v>146</v>
      </c>
      <c r="AG562" s="351">
        <v>53447.760273972606</v>
      </c>
      <c r="AH562" s="313">
        <f t="shared" si="201"/>
        <v>7803373.0000000009</v>
      </c>
      <c r="AI562" s="308"/>
      <c r="AJ562" s="309"/>
      <c r="AK562" s="310">
        <f t="shared" si="202"/>
        <v>0</v>
      </c>
      <c r="AL562" s="350"/>
      <c r="AM562" s="351"/>
      <c r="AN562" s="313">
        <f t="shared" si="203"/>
        <v>0</v>
      </c>
      <c r="AO562" s="308"/>
      <c r="AP562" s="309"/>
      <c r="AQ562" s="310">
        <f t="shared" si="204"/>
        <v>0</v>
      </c>
      <c r="AR562" s="350"/>
      <c r="AS562" s="351"/>
      <c r="AT562" s="313">
        <f t="shared" si="205"/>
        <v>0</v>
      </c>
      <c r="AU562" s="308"/>
      <c r="AV562" s="309"/>
      <c r="AW562" s="310">
        <f t="shared" si="206"/>
        <v>0</v>
      </c>
      <c r="AX562" s="350"/>
      <c r="AY562" s="351"/>
      <c r="AZ562" s="313">
        <f t="shared" si="207"/>
        <v>0</v>
      </c>
      <c r="BA562" s="308"/>
      <c r="BB562" s="309"/>
      <c r="BC562" s="310">
        <f t="shared" si="208"/>
        <v>0</v>
      </c>
      <c r="BD562" s="350"/>
      <c r="BE562" s="351"/>
      <c r="BF562" s="313">
        <f t="shared" si="209"/>
        <v>0</v>
      </c>
      <c r="BG562" s="308"/>
      <c r="BH562" s="309"/>
      <c r="BI562" s="310">
        <f t="shared" si="210"/>
        <v>0</v>
      </c>
      <c r="BJ562" s="350"/>
      <c r="BK562" s="351"/>
      <c r="BL562" s="313">
        <f t="shared" si="211"/>
        <v>0</v>
      </c>
      <c r="BM562" s="308"/>
      <c r="BN562" s="309"/>
      <c r="BO562" s="310">
        <f t="shared" si="212"/>
        <v>0</v>
      </c>
      <c r="BP562" s="350"/>
      <c r="BQ562" s="351"/>
      <c r="BR562" s="313">
        <f t="shared" si="213"/>
        <v>0</v>
      </c>
      <c r="BS562" s="308"/>
      <c r="BT562" s="309"/>
      <c r="BU562" s="310">
        <f t="shared" si="214"/>
        <v>0</v>
      </c>
      <c r="BV562" s="350"/>
      <c r="BW562" s="351"/>
      <c r="BX562" s="313">
        <f t="shared" si="215"/>
        <v>0</v>
      </c>
      <c r="BY562" s="290"/>
    </row>
    <row r="563" spans="1:77">
      <c r="A563" s="346" t="s">
        <v>408</v>
      </c>
      <c r="B563" s="432" t="s">
        <v>141</v>
      </c>
      <c r="C563" s="433">
        <v>228796</v>
      </c>
      <c r="D563" s="434">
        <v>2</v>
      </c>
      <c r="E563" s="308">
        <v>140</v>
      </c>
      <c r="F563" s="309">
        <v>89498</v>
      </c>
      <c r="G563" s="310">
        <f t="shared" si="192"/>
        <v>12529720</v>
      </c>
      <c r="H563" s="350">
        <v>145</v>
      </c>
      <c r="I563" s="351">
        <v>91276.358620689658</v>
      </c>
      <c r="J563" s="313">
        <f t="shared" si="193"/>
        <v>13235072</v>
      </c>
      <c r="K563" s="308">
        <v>160</v>
      </c>
      <c r="L563" s="309">
        <v>67270</v>
      </c>
      <c r="M563" s="310">
        <f t="shared" si="194"/>
        <v>10763200</v>
      </c>
      <c r="N563" s="350">
        <v>167</v>
      </c>
      <c r="O563" s="351">
        <v>69603.365269461079</v>
      </c>
      <c r="P563" s="313">
        <f t="shared" si="195"/>
        <v>11623762</v>
      </c>
      <c r="Q563" s="308">
        <v>153</v>
      </c>
      <c r="R563" s="309">
        <v>61477</v>
      </c>
      <c r="S563" s="310">
        <f t="shared" si="196"/>
        <v>9405981</v>
      </c>
      <c r="T563" s="350">
        <v>152</v>
      </c>
      <c r="U563" s="351">
        <v>63661.07894736842</v>
      </c>
      <c r="V563" s="313">
        <f t="shared" si="197"/>
        <v>9676484</v>
      </c>
      <c r="W563" s="308"/>
      <c r="X563" s="309"/>
      <c r="Y563" s="310">
        <f t="shared" si="198"/>
        <v>0</v>
      </c>
      <c r="Z563" s="350"/>
      <c r="AA563" s="351"/>
      <c r="AB563" s="313">
        <f t="shared" si="199"/>
        <v>0</v>
      </c>
      <c r="AC563" s="308">
        <v>179</v>
      </c>
      <c r="AD563" s="309">
        <v>40748</v>
      </c>
      <c r="AE563" s="310">
        <f t="shared" si="200"/>
        <v>7293892</v>
      </c>
      <c r="AF563" s="350">
        <v>190</v>
      </c>
      <c r="AG563" s="351">
        <v>43818.473684210527</v>
      </c>
      <c r="AH563" s="313">
        <f t="shared" si="201"/>
        <v>8325510</v>
      </c>
      <c r="AI563" s="308"/>
      <c r="AJ563" s="309"/>
      <c r="AK563" s="310">
        <f t="shared" si="202"/>
        <v>0</v>
      </c>
      <c r="AL563" s="350"/>
      <c r="AM563" s="351"/>
      <c r="AN563" s="313">
        <f t="shared" si="203"/>
        <v>0</v>
      </c>
      <c r="AO563" s="308"/>
      <c r="AP563" s="309"/>
      <c r="AQ563" s="310">
        <f t="shared" si="204"/>
        <v>0</v>
      </c>
      <c r="AR563" s="350"/>
      <c r="AS563" s="351"/>
      <c r="AT563" s="313">
        <f t="shared" si="205"/>
        <v>0</v>
      </c>
      <c r="AU563" s="308"/>
      <c r="AV563" s="309"/>
      <c r="AW563" s="310">
        <f t="shared" si="206"/>
        <v>0</v>
      </c>
      <c r="AX563" s="350"/>
      <c r="AY563" s="351"/>
      <c r="AZ563" s="313">
        <f t="shared" si="207"/>
        <v>0</v>
      </c>
      <c r="BA563" s="308"/>
      <c r="BB563" s="309"/>
      <c r="BC563" s="310">
        <f t="shared" si="208"/>
        <v>0</v>
      </c>
      <c r="BD563" s="350"/>
      <c r="BE563" s="351"/>
      <c r="BF563" s="313">
        <f t="shared" si="209"/>
        <v>0</v>
      </c>
      <c r="BG563" s="308"/>
      <c r="BH563" s="309"/>
      <c r="BI563" s="310">
        <f t="shared" si="210"/>
        <v>0</v>
      </c>
      <c r="BJ563" s="350"/>
      <c r="BK563" s="351"/>
      <c r="BL563" s="313">
        <f t="shared" si="211"/>
        <v>0</v>
      </c>
      <c r="BM563" s="308"/>
      <c r="BN563" s="309"/>
      <c r="BO563" s="310">
        <f t="shared" si="212"/>
        <v>0</v>
      </c>
      <c r="BP563" s="350"/>
      <c r="BQ563" s="351"/>
      <c r="BR563" s="313">
        <f t="shared" si="213"/>
        <v>0</v>
      </c>
      <c r="BS563" s="308"/>
      <c r="BT563" s="309"/>
      <c r="BU563" s="310">
        <f t="shared" si="214"/>
        <v>0</v>
      </c>
      <c r="BV563" s="350"/>
      <c r="BW563" s="351"/>
      <c r="BX563" s="313">
        <f t="shared" si="215"/>
        <v>0</v>
      </c>
      <c r="BY563" s="290"/>
    </row>
    <row r="564" spans="1:77">
      <c r="A564" s="346" t="s">
        <v>408</v>
      </c>
      <c r="B564" s="347" t="s">
        <v>127</v>
      </c>
      <c r="C564" s="348">
        <v>222831</v>
      </c>
      <c r="D564" s="349">
        <v>3</v>
      </c>
      <c r="E564" s="308">
        <v>55</v>
      </c>
      <c r="F564" s="309">
        <v>71620</v>
      </c>
      <c r="G564" s="310">
        <f t="shared" si="192"/>
        <v>3939100</v>
      </c>
      <c r="H564" s="350">
        <v>50</v>
      </c>
      <c r="I564" s="351">
        <v>72718.179999999993</v>
      </c>
      <c r="J564" s="313">
        <f t="shared" si="193"/>
        <v>3635908.9999999995</v>
      </c>
      <c r="K564" s="308">
        <v>56</v>
      </c>
      <c r="L564" s="309">
        <v>60191</v>
      </c>
      <c r="M564" s="310">
        <f t="shared" si="194"/>
        <v>3370696</v>
      </c>
      <c r="N564" s="350">
        <v>64</v>
      </c>
      <c r="O564" s="351">
        <v>62076.828125</v>
      </c>
      <c r="P564" s="313">
        <f t="shared" si="195"/>
        <v>3972917</v>
      </c>
      <c r="Q564" s="308">
        <v>51</v>
      </c>
      <c r="R564" s="309">
        <v>52641</v>
      </c>
      <c r="S564" s="310">
        <f t="shared" si="196"/>
        <v>2684691</v>
      </c>
      <c r="T564" s="350">
        <v>57</v>
      </c>
      <c r="U564" s="351">
        <v>54003.719298245611</v>
      </c>
      <c r="V564" s="313">
        <f t="shared" si="197"/>
        <v>3078212</v>
      </c>
      <c r="W564" s="308">
        <v>13</v>
      </c>
      <c r="X564" s="309">
        <v>38945</v>
      </c>
      <c r="Y564" s="310">
        <f t="shared" si="198"/>
        <v>506285</v>
      </c>
      <c r="Z564" s="350">
        <v>15</v>
      </c>
      <c r="AA564" s="351">
        <v>42348.333333333336</v>
      </c>
      <c r="AB564" s="313">
        <f t="shared" si="199"/>
        <v>635225</v>
      </c>
      <c r="AC564" s="308">
        <v>40</v>
      </c>
      <c r="AD564" s="309">
        <v>38057</v>
      </c>
      <c r="AE564" s="310">
        <f t="shared" si="200"/>
        <v>1522280</v>
      </c>
      <c r="AF564" s="350">
        <v>36</v>
      </c>
      <c r="AG564" s="351">
        <v>37198.277777777781</v>
      </c>
      <c r="AH564" s="313">
        <f t="shared" si="201"/>
        <v>1339138</v>
      </c>
      <c r="AI564" s="308"/>
      <c r="AJ564" s="309"/>
      <c r="AK564" s="310">
        <f t="shared" si="202"/>
        <v>0</v>
      </c>
      <c r="AL564" s="350"/>
      <c r="AM564" s="351"/>
      <c r="AN564" s="313">
        <f t="shared" si="203"/>
        <v>0</v>
      </c>
      <c r="AO564" s="308">
        <v>7</v>
      </c>
      <c r="AP564" s="309">
        <v>112569</v>
      </c>
      <c r="AQ564" s="310">
        <f t="shared" si="204"/>
        <v>644727.69059999997</v>
      </c>
      <c r="AR564" s="350">
        <v>4</v>
      </c>
      <c r="AS564" s="351">
        <v>107168.5</v>
      </c>
      <c r="AT564" s="313">
        <f t="shared" si="205"/>
        <v>350741.06680000003</v>
      </c>
      <c r="AU564" s="308">
        <v>1</v>
      </c>
      <c r="AV564" s="309">
        <v>71153</v>
      </c>
      <c r="AW564" s="310">
        <f t="shared" si="206"/>
        <v>58217.384600000005</v>
      </c>
      <c r="AX564" s="350">
        <v>4</v>
      </c>
      <c r="AY564" s="351">
        <v>84744.75</v>
      </c>
      <c r="AZ564" s="313">
        <f t="shared" si="207"/>
        <v>277352.61780000001</v>
      </c>
      <c r="BA564" s="308">
        <v>3</v>
      </c>
      <c r="BB564" s="309">
        <v>68901</v>
      </c>
      <c r="BC564" s="310">
        <f t="shared" si="208"/>
        <v>169124.3946</v>
      </c>
      <c r="BD564" s="350">
        <v>3</v>
      </c>
      <c r="BE564" s="351">
        <v>72370.333333333328</v>
      </c>
      <c r="BF564" s="313">
        <f t="shared" si="209"/>
        <v>177640.22020000001</v>
      </c>
      <c r="BG564" s="308"/>
      <c r="BH564" s="309"/>
      <c r="BI564" s="310">
        <f t="shared" si="210"/>
        <v>0</v>
      </c>
      <c r="BJ564" s="350">
        <v>1</v>
      </c>
      <c r="BK564" s="351">
        <v>43039</v>
      </c>
      <c r="BL564" s="313">
        <f t="shared" si="211"/>
        <v>35214.5098</v>
      </c>
      <c r="BM564" s="308">
        <v>4</v>
      </c>
      <c r="BN564" s="309">
        <v>67411</v>
      </c>
      <c r="BO564" s="310">
        <f t="shared" si="212"/>
        <v>220622.72080000001</v>
      </c>
      <c r="BP564" s="350">
        <v>6</v>
      </c>
      <c r="BQ564" s="351">
        <v>54553.757733333339</v>
      </c>
      <c r="BR564" s="313">
        <f t="shared" si="213"/>
        <v>267815.30746448005</v>
      </c>
      <c r="BS564" s="308"/>
      <c r="BT564" s="309"/>
      <c r="BU564" s="310">
        <f t="shared" si="214"/>
        <v>0</v>
      </c>
      <c r="BV564" s="350"/>
      <c r="BW564" s="351"/>
      <c r="BX564" s="313">
        <f t="shared" si="215"/>
        <v>0</v>
      </c>
      <c r="BY564" s="290"/>
    </row>
    <row r="565" spans="1:77">
      <c r="A565" s="346" t="s">
        <v>408</v>
      </c>
      <c r="B565" s="347" t="s">
        <v>128</v>
      </c>
      <c r="C565" s="348">
        <v>226091</v>
      </c>
      <c r="D565" s="349">
        <v>3</v>
      </c>
      <c r="E565" s="308">
        <v>95</v>
      </c>
      <c r="F565" s="309">
        <v>82366</v>
      </c>
      <c r="G565" s="310">
        <f t="shared" si="192"/>
        <v>7824770</v>
      </c>
      <c r="H565" s="350">
        <v>93</v>
      </c>
      <c r="I565" s="351">
        <v>86760.204301075268</v>
      </c>
      <c r="J565" s="313">
        <f t="shared" si="193"/>
        <v>8068699</v>
      </c>
      <c r="K565" s="308">
        <v>70</v>
      </c>
      <c r="L565" s="309">
        <v>66773</v>
      </c>
      <c r="M565" s="310">
        <f t="shared" si="194"/>
        <v>4674110</v>
      </c>
      <c r="N565" s="350">
        <v>86</v>
      </c>
      <c r="O565" s="351">
        <v>69388.441860465115</v>
      </c>
      <c r="P565" s="313">
        <f t="shared" si="195"/>
        <v>5967406</v>
      </c>
      <c r="Q565" s="308">
        <v>109</v>
      </c>
      <c r="R565" s="309">
        <v>55844</v>
      </c>
      <c r="S565" s="310">
        <f t="shared" si="196"/>
        <v>6086996</v>
      </c>
      <c r="T565" s="350">
        <v>103</v>
      </c>
      <c r="U565" s="351">
        <v>60020.446601941745</v>
      </c>
      <c r="V565" s="313">
        <f t="shared" si="197"/>
        <v>6182106</v>
      </c>
      <c r="W565" s="308">
        <v>49</v>
      </c>
      <c r="X565" s="309">
        <v>42609</v>
      </c>
      <c r="Y565" s="310">
        <f t="shared" si="198"/>
        <v>2087841</v>
      </c>
      <c r="Z565" s="350">
        <v>93</v>
      </c>
      <c r="AA565" s="351">
        <v>40186.645161290326</v>
      </c>
      <c r="AB565" s="313">
        <f t="shared" si="199"/>
        <v>3737358.0000000005</v>
      </c>
      <c r="AC565" s="308">
        <v>33</v>
      </c>
      <c r="AD565" s="309">
        <v>30920</v>
      </c>
      <c r="AE565" s="310">
        <f t="shared" si="200"/>
        <v>1020360</v>
      </c>
      <c r="AF565" s="350">
        <v>4</v>
      </c>
      <c r="AG565" s="351">
        <v>34057</v>
      </c>
      <c r="AH565" s="313">
        <f t="shared" si="201"/>
        <v>136228</v>
      </c>
      <c r="AI565" s="308"/>
      <c r="AJ565" s="309"/>
      <c r="AK565" s="310">
        <f t="shared" si="202"/>
        <v>0</v>
      </c>
      <c r="AL565" s="350"/>
      <c r="AM565" s="351"/>
      <c r="AN565" s="313">
        <f t="shared" si="203"/>
        <v>0</v>
      </c>
      <c r="AO565" s="308">
        <v>1</v>
      </c>
      <c r="AP565" s="309">
        <v>116940</v>
      </c>
      <c r="AQ565" s="310">
        <f t="shared" si="204"/>
        <v>95680.308000000005</v>
      </c>
      <c r="AR565" s="350"/>
      <c r="AS565" s="351"/>
      <c r="AT565" s="313">
        <f t="shared" si="205"/>
        <v>0</v>
      </c>
      <c r="AU565" s="308">
        <v>2</v>
      </c>
      <c r="AV565" s="309">
        <v>71520</v>
      </c>
      <c r="AW565" s="310">
        <f t="shared" si="206"/>
        <v>117035.32800000001</v>
      </c>
      <c r="AX565" s="350">
        <v>1</v>
      </c>
      <c r="AY565" s="351">
        <v>115008</v>
      </c>
      <c r="AZ565" s="313">
        <f t="shared" si="207"/>
        <v>94099.545599999998</v>
      </c>
      <c r="BA565" s="308">
        <v>9</v>
      </c>
      <c r="BB565" s="309">
        <v>62287</v>
      </c>
      <c r="BC565" s="310">
        <f t="shared" si="208"/>
        <v>458669.01060000004</v>
      </c>
      <c r="BD565" s="350"/>
      <c r="BE565" s="351"/>
      <c r="BF565" s="313">
        <f t="shared" si="209"/>
        <v>0</v>
      </c>
      <c r="BG565" s="308">
        <v>4</v>
      </c>
      <c r="BH565" s="309">
        <v>45942</v>
      </c>
      <c r="BI565" s="310">
        <f t="shared" si="210"/>
        <v>150358.97760000001</v>
      </c>
      <c r="BJ565" s="350"/>
      <c r="BK565" s="351"/>
      <c r="BL565" s="313">
        <f t="shared" si="211"/>
        <v>0</v>
      </c>
      <c r="BM565" s="308">
        <v>1</v>
      </c>
      <c r="BN565" s="309">
        <v>26992</v>
      </c>
      <c r="BO565" s="310">
        <f t="shared" si="212"/>
        <v>22084.8544</v>
      </c>
      <c r="BP565" s="350"/>
      <c r="BQ565" s="351"/>
      <c r="BR565" s="313">
        <f t="shared" si="213"/>
        <v>0</v>
      </c>
      <c r="BS565" s="308"/>
      <c r="BT565" s="309"/>
      <c r="BU565" s="310">
        <f t="shared" si="214"/>
        <v>0</v>
      </c>
      <c r="BV565" s="350"/>
      <c r="BW565" s="351"/>
      <c r="BX565" s="313">
        <f t="shared" si="215"/>
        <v>0</v>
      </c>
      <c r="BY565" s="290"/>
    </row>
    <row r="566" spans="1:77">
      <c r="A566" s="346" t="s">
        <v>408</v>
      </c>
      <c r="B566" s="347" t="s">
        <v>129</v>
      </c>
      <c r="C566" s="348">
        <v>226833</v>
      </c>
      <c r="D566" s="349">
        <v>3</v>
      </c>
      <c r="E566" s="308">
        <v>47</v>
      </c>
      <c r="F566" s="309">
        <v>75493</v>
      </c>
      <c r="G566" s="310">
        <f t="shared" si="192"/>
        <v>3548171</v>
      </c>
      <c r="H566" s="350">
        <v>47</v>
      </c>
      <c r="I566" s="351">
        <v>78327.574468085106</v>
      </c>
      <c r="J566" s="313">
        <f t="shared" si="193"/>
        <v>3681396</v>
      </c>
      <c r="K566" s="308">
        <v>56</v>
      </c>
      <c r="L566" s="309">
        <v>62906</v>
      </c>
      <c r="M566" s="310">
        <f t="shared" si="194"/>
        <v>3522736</v>
      </c>
      <c r="N566" s="350">
        <v>53</v>
      </c>
      <c r="O566" s="351">
        <v>64006.188679245286</v>
      </c>
      <c r="P566" s="313">
        <f t="shared" si="195"/>
        <v>3392328</v>
      </c>
      <c r="Q566" s="308">
        <v>79</v>
      </c>
      <c r="R566" s="309">
        <v>54138</v>
      </c>
      <c r="S566" s="310">
        <f t="shared" si="196"/>
        <v>4276902</v>
      </c>
      <c r="T566" s="350">
        <v>82</v>
      </c>
      <c r="U566" s="351">
        <v>56350.329268292684</v>
      </c>
      <c r="V566" s="313">
        <f t="shared" si="197"/>
        <v>4620727</v>
      </c>
      <c r="W566" s="308">
        <v>31</v>
      </c>
      <c r="X566" s="309">
        <v>42378</v>
      </c>
      <c r="Y566" s="310">
        <f t="shared" si="198"/>
        <v>1313718</v>
      </c>
      <c r="Z566" s="350">
        <v>30</v>
      </c>
      <c r="AA566" s="351">
        <v>42928.366666666669</v>
      </c>
      <c r="AB566" s="313">
        <f t="shared" si="199"/>
        <v>1287851</v>
      </c>
      <c r="AC566" s="308"/>
      <c r="AD566" s="309"/>
      <c r="AE566" s="310">
        <f t="shared" si="200"/>
        <v>0</v>
      </c>
      <c r="AF566" s="350"/>
      <c r="AG566" s="351"/>
      <c r="AH566" s="313">
        <f t="shared" si="201"/>
        <v>0</v>
      </c>
      <c r="AI566" s="308"/>
      <c r="AJ566" s="309"/>
      <c r="AK566" s="310">
        <f t="shared" si="202"/>
        <v>0</v>
      </c>
      <c r="AL566" s="350"/>
      <c r="AM566" s="351"/>
      <c r="AN566" s="313">
        <f t="shared" si="203"/>
        <v>0</v>
      </c>
      <c r="AO566" s="308"/>
      <c r="AP566" s="309"/>
      <c r="AQ566" s="310">
        <f t="shared" si="204"/>
        <v>0</v>
      </c>
      <c r="AR566" s="350"/>
      <c r="AS566" s="351"/>
      <c r="AT566" s="313">
        <f t="shared" si="205"/>
        <v>0</v>
      </c>
      <c r="AU566" s="308"/>
      <c r="AV566" s="309"/>
      <c r="AW566" s="310">
        <f t="shared" si="206"/>
        <v>0</v>
      </c>
      <c r="AX566" s="350"/>
      <c r="AY566" s="351"/>
      <c r="AZ566" s="313">
        <f t="shared" si="207"/>
        <v>0</v>
      </c>
      <c r="BA566" s="308"/>
      <c r="BB566" s="309"/>
      <c r="BC566" s="310">
        <f t="shared" si="208"/>
        <v>0</v>
      </c>
      <c r="BD566" s="350"/>
      <c r="BE566" s="351"/>
      <c r="BF566" s="313">
        <f t="shared" si="209"/>
        <v>0</v>
      </c>
      <c r="BG566" s="308"/>
      <c r="BH566" s="309"/>
      <c r="BI566" s="310">
        <f t="shared" si="210"/>
        <v>0</v>
      </c>
      <c r="BJ566" s="350"/>
      <c r="BK566" s="351"/>
      <c r="BL566" s="313">
        <f t="shared" si="211"/>
        <v>0</v>
      </c>
      <c r="BM566" s="308"/>
      <c r="BN566" s="309"/>
      <c r="BO566" s="310">
        <f t="shared" si="212"/>
        <v>0</v>
      </c>
      <c r="BP566" s="350"/>
      <c r="BQ566" s="351"/>
      <c r="BR566" s="313">
        <f t="shared" si="213"/>
        <v>0</v>
      </c>
      <c r="BS566" s="308"/>
      <c r="BT566" s="309"/>
      <c r="BU566" s="310">
        <f t="shared" si="214"/>
        <v>0</v>
      </c>
      <c r="BV566" s="350"/>
      <c r="BW566" s="351"/>
      <c r="BX566" s="313">
        <f t="shared" si="215"/>
        <v>0</v>
      </c>
      <c r="BY566" s="290"/>
    </row>
    <row r="567" spans="1:77">
      <c r="A567" s="346" t="s">
        <v>408</v>
      </c>
      <c r="B567" s="347" t="s">
        <v>130</v>
      </c>
      <c r="C567" s="348">
        <v>227526</v>
      </c>
      <c r="D567" s="349">
        <v>3</v>
      </c>
      <c r="E567" s="308">
        <v>40</v>
      </c>
      <c r="F567" s="309">
        <v>77172</v>
      </c>
      <c r="G567" s="310">
        <f t="shared" si="192"/>
        <v>3086880</v>
      </c>
      <c r="H567" s="350">
        <v>41</v>
      </c>
      <c r="I567" s="351">
        <v>80840.243902439019</v>
      </c>
      <c r="J567" s="313">
        <f t="shared" si="193"/>
        <v>3314450</v>
      </c>
      <c r="K567" s="308">
        <v>54</v>
      </c>
      <c r="L567" s="309">
        <v>62999</v>
      </c>
      <c r="M567" s="310">
        <f t="shared" si="194"/>
        <v>3401946</v>
      </c>
      <c r="N567" s="350">
        <v>59</v>
      </c>
      <c r="O567" s="351">
        <v>65915.898305084746</v>
      </c>
      <c r="P567" s="313">
        <f t="shared" si="195"/>
        <v>3889038</v>
      </c>
      <c r="Q567" s="308">
        <v>79</v>
      </c>
      <c r="R567" s="309">
        <v>57277</v>
      </c>
      <c r="S567" s="310">
        <f t="shared" si="196"/>
        <v>4524883</v>
      </c>
      <c r="T567" s="350">
        <v>72</v>
      </c>
      <c r="U567" s="351">
        <v>59325.75</v>
      </c>
      <c r="V567" s="313">
        <f t="shared" si="197"/>
        <v>4271454</v>
      </c>
      <c r="W567" s="308">
        <v>2</v>
      </c>
      <c r="X567" s="309">
        <v>48406</v>
      </c>
      <c r="Y567" s="310">
        <f t="shared" si="198"/>
        <v>96812</v>
      </c>
      <c r="Z567" s="350">
        <v>2</v>
      </c>
      <c r="AA567" s="351">
        <v>48380</v>
      </c>
      <c r="AB567" s="313">
        <f t="shared" si="199"/>
        <v>96760</v>
      </c>
      <c r="AC567" s="308">
        <v>94</v>
      </c>
      <c r="AD567" s="309">
        <v>50035</v>
      </c>
      <c r="AE567" s="310">
        <f t="shared" si="200"/>
        <v>4703290</v>
      </c>
      <c r="AF567" s="350">
        <v>100</v>
      </c>
      <c r="AG567" s="351">
        <v>51552.03</v>
      </c>
      <c r="AH567" s="313">
        <f t="shared" si="201"/>
        <v>5155203</v>
      </c>
      <c r="AI567" s="308"/>
      <c r="AJ567" s="309"/>
      <c r="AK567" s="310">
        <f t="shared" si="202"/>
        <v>0</v>
      </c>
      <c r="AL567" s="350"/>
      <c r="AM567" s="351"/>
      <c r="AN567" s="313">
        <f t="shared" si="203"/>
        <v>0</v>
      </c>
      <c r="AO567" s="308">
        <v>15</v>
      </c>
      <c r="AP567" s="309">
        <v>109359</v>
      </c>
      <c r="AQ567" s="310">
        <f t="shared" si="204"/>
        <v>1342163.007</v>
      </c>
      <c r="AR567" s="350">
        <v>15</v>
      </c>
      <c r="AS567" s="351">
        <v>83351.8</v>
      </c>
      <c r="AT567" s="313">
        <f t="shared" si="205"/>
        <v>1022976.6414000001</v>
      </c>
      <c r="AU567" s="308">
        <v>19</v>
      </c>
      <c r="AV567" s="309">
        <v>90026</v>
      </c>
      <c r="AW567" s="310">
        <f t="shared" si="206"/>
        <v>1399526.1908</v>
      </c>
      <c r="AX567" s="350">
        <v>21</v>
      </c>
      <c r="AY567" s="351">
        <v>72680.666666666672</v>
      </c>
      <c r="AZ567" s="313">
        <f t="shared" si="207"/>
        <v>1248813.7508</v>
      </c>
      <c r="BA567" s="308">
        <v>8</v>
      </c>
      <c r="BB567" s="309">
        <v>74136</v>
      </c>
      <c r="BC567" s="310">
        <f t="shared" si="208"/>
        <v>485264.60159999999</v>
      </c>
      <c r="BD567" s="350">
        <v>5</v>
      </c>
      <c r="BE567" s="351">
        <v>63929.2</v>
      </c>
      <c r="BF567" s="313">
        <f t="shared" si="209"/>
        <v>261534.3572</v>
      </c>
      <c r="BG567" s="308"/>
      <c r="BH567" s="309"/>
      <c r="BI567" s="310">
        <f t="shared" si="210"/>
        <v>0</v>
      </c>
      <c r="BJ567" s="350"/>
      <c r="BK567" s="351"/>
      <c r="BL567" s="313">
        <f t="shared" si="211"/>
        <v>0</v>
      </c>
      <c r="BM567" s="308">
        <v>22</v>
      </c>
      <c r="BN567" s="309">
        <v>62964</v>
      </c>
      <c r="BO567" s="310">
        <f t="shared" si="212"/>
        <v>1133377.1856</v>
      </c>
      <c r="BP567" s="350">
        <v>25</v>
      </c>
      <c r="BQ567" s="351">
        <v>49480.160000000003</v>
      </c>
      <c r="BR567" s="313">
        <f t="shared" si="213"/>
        <v>1012116.6728000001</v>
      </c>
      <c r="BS567" s="308"/>
      <c r="BT567" s="309"/>
      <c r="BU567" s="310">
        <f t="shared" si="214"/>
        <v>0</v>
      </c>
      <c r="BV567" s="350"/>
      <c r="BW567" s="351"/>
      <c r="BX567" s="313">
        <f t="shared" si="215"/>
        <v>0</v>
      </c>
      <c r="BY567" s="290"/>
    </row>
    <row r="568" spans="1:77">
      <c r="A568" s="346" t="s">
        <v>408</v>
      </c>
      <c r="B568" s="347" t="s">
        <v>131</v>
      </c>
      <c r="C568" s="348">
        <v>227881</v>
      </c>
      <c r="D568" s="349">
        <v>3</v>
      </c>
      <c r="E568" s="308">
        <v>128</v>
      </c>
      <c r="F568" s="309">
        <v>82014</v>
      </c>
      <c r="G568" s="310">
        <f t="shared" si="192"/>
        <v>10497792</v>
      </c>
      <c r="H568" s="350">
        <v>128</v>
      </c>
      <c r="I568" s="351">
        <v>84783.640625</v>
      </c>
      <c r="J568" s="313">
        <f t="shared" si="193"/>
        <v>10852306</v>
      </c>
      <c r="K568" s="308">
        <v>133</v>
      </c>
      <c r="L568" s="309">
        <v>64683</v>
      </c>
      <c r="M568" s="310">
        <f t="shared" si="194"/>
        <v>8602839</v>
      </c>
      <c r="N568" s="350">
        <v>137</v>
      </c>
      <c r="O568" s="351">
        <v>66275.576642335771</v>
      </c>
      <c r="P568" s="313">
        <f t="shared" si="195"/>
        <v>9079754</v>
      </c>
      <c r="Q568" s="308">
        <v>181</v>
      </c>
      <c r="R568" s="309">
        <v>55065</v>
      </c>
      <c r="S568" s="310">
        <f t="shared" si="196"/>
        <v>9966765</v>
      </c>
      <c r="T568" s="350">
        <v>184</v>
      </c>
      <c r="U568" s="351">
        <v>56352.315217391304</v>
      </c>
      <c r="V568" s="313">
        <f t="shared" si="197"/>
        <v>10368826</v>
      </c>
      <c r="W568" s="308">
        <v>2</v>
      </c>
      <c r="X568" s="309">
        <v>49410</v>
      </c>
      <c r="Y568" s="310">
        <f t="shared" si="198"/>
        <v>98820</v>
      </c>
      <c r="Z568" s="350">
        <v>2</v>
      </c>
      <c r="AA568" s="351">
        <v>50571</v>
      </c>
      <c r="AB568" s="313">
        <f t="shared" si="199"/>
        <v>101142</v>
      </c>
      <c r="AC568" s="308">
        <v>54</v>
      </c>
      <c r="AD568" s="309">
        <v>44810</v>
      </c>
      <c r="AE568" s="310">
        <f t="shared" si="200"/>
        <v>2419740</v>
      </c>
      <c r="AF568" s="350">
        <v>46</v>
      </c>
      <c r="AG568" s="351">
        <v>45052.043478260872</v>
      </c>
      <c r="AH568" s="313">
        <f t="shared" si="201"/>
        <v>2072394</v>
      </c>
      <c r="AI568" s="308"/>
      <c r="AJ568" s="309"/>
      <c r="AK568" s="310">
        <f t="shared" si="202"/>
        <v>0</v>
      </c>
      <c r="AL568" s="350"/>
      <c r="AM568" s="351"/>
      <c r="AN568" s="313">
        <f t="shared" si="203"/>
        <v>0</v>
      </c>
      <c r="AO568" s="308"/>
      <c r="AP568" s="309"/>
      <c r="AQ568" s="310">
        <f t="shared" si="204"/>
        <v>0</v>
      </c>
      <c r="AR568" s="350"/>
      <c r="AS568" s="351"/>
      <c r="AT568" s="313">
        <f t="shared" si="205"/>
        <v>0</v>
      </c>
      <c r="AU568" s="308"/>
      <c r="AV568" s="309"/>
      <c r="AW568" s="310">
        <f t="shared" si="206"/>
        <v>0</v>
      </c>
      <c r="AX568" s="350"/>
      <c r="AY568" s="351"/>
      <c r="AZ568" s="313">
        <f t="shared" si="207"/>
        <v>0</v>
      </c>
      <c r="BA568" s="308"/>
      <c r="BB568" s="309"/>
      <c r="BC568" s="310">
        <f t="shared" si="208"/>
        <v>0</v>
      </c>
      <c r="BD568" s="350"/>
      <c r="BE568" s="351"/>
      <c r="BF568" s="313">
        <f t="shared" si="209"/>
        <v>0</v>
      </c>
      <c r="BG568" s="308"/>
      <c r="BH568" s="309"/>
      <c r="BI568" s="310">
        <f t="shared" si="210"/>
        <v>0</v>
      </c>
      <c r="BJ568" s="350"/>
      <c r="BK568" s="351"/>
      <c r="BL568" s="313">
        <f t="shared" si="211"/>
        <v>0</v>
      </c>
      <c r="BM568" s="308"/>
      <c r="BN568" s="309"/>
      <c r="BO568" s="310">
        <f t="shared" si="212"/>
        <v>0</v>
      </c>
      <c r="BP568" s="350"/>
      <c r="BQ568" s="351"/>
      <c r="BR568" s="313">
        <f t="shared" si="213"/>
        <v>0</v>
      </c>
      <c r="BS568" s="308"/>
      <c r="BT568" s="309"/>
      <c r="BU568" s="310">
        <f t="shared" si="214"/>
        <v>0</v>
      </c>
      <c r="BV568" s="350"/>
      <c r="BW568" s="351"/>
      <c r="BX568" s="313">
        <f t="shared" si="215"/>
        <v>0</v>
      </c>
      <c r="BY568" s="290"/>
    </row>
    <row r="569" spans="1:77">
      <c r="A569" s="346" t="s">
        <v>408</v>
      </c>
      <c r="B569" s="347" t="s">
        <v>132</v>
      </c>
      <c r="C569" s="348">
        <v>228431</v>
      </c>
      <c r="D569" s="349">
        <v>3</v>
      </c>
      <c r="E569" s="308">
        <v>47</v>
      </c>
      <c r="F569" s="309">
        <v>73916</v>
      </c>
      <c r="G569" s="310">
        <f t="shared" si="192"/>
        <v>3474052</v>
      </c>
      <c r="H569" s="350">
        <v>36</v>
      </c>
      <c r="I569" s="351">
        <v>78367.611111111109</v>
      </c>
      <c r="J569" s="313">
        <f t="shared" si="193"/>
        <v>2821234</v>
      </c>
      <c r="K569" s="308">
        <v>63</v>
      </c>
      <c r="L569" s="309">
        <v>66957</v>
      </c>
      <c r="M569" s="310">
        <f t="shared" si="194"/>
        <v>4218291</v>
      </c>
      <c r="N569" s="350">
        <v>54</v>
      </c>
      <c r="O569" s="351">
        <v>71717.388888888891</v>
      </c>
      <c r="P569" s="313">
        <f t="shared" si="195"/>
        <v>3872739</v>
      </c>
      <c r="Q569" s="308">
        <v>66</v>
      </c>
      <c r="R569" s="309">
        <v>58042</v>
      </c>
      <c r="S569" s="310">
        <f t="shared" si="196"/>
        <v>3830772</v>
      </c>
      <c r="T569" s="350">
        <v>57</v>
      </c>
      <c r="U569" s="351">
        <v>62936.701754385962</v>
      </c>
      <c r="V569" s="313">
        <f t="shared" si="197"/>
        <v>3587392</v>
      </c>
      <c r="W569" s="308">
        <v>23</v>
      </c>
      <c r="X569" s="309">
        <v>51945</v>
      </c>
      <c r="Y569" s="310">
        <f t="shared" si="198"/>
        <v>1194735</v>
      </c>
      <c r="Z569" s="350">
        <v>20</v>
      </c>
      <c r="AA569" s="351">
        <v>58957.9</v>
      </c>
      <c r="AB569" s="313">
        <f t="shared" si="199"/>
        <v>1179158</v>
      </c>
      <c r="AC569" s="308">
        <v>163</v>
      </c>
      <c r="AD569" s="309">
        <v>48637</v>
      </c>
      <c r="AE569" s="310">
        <f t="shared" si="200"/>
        <v>7927831</v>
      </c>
      <c r="AF569" s="350">
        <v>186</v>
      </c>
      <c r="AG569" s="351">
        <v>51086.639784946237</v>
      </c>
      <c r="AH569" s="313">
        <f t="shared" si="201"/>
        <v>9502115</v>
      </c>
      <c r="AI569" s="308"/>
      <c r="AJ569" s="309"/>
      <c r="AK569" s="310">
        <f t="shared" si="202"/>
        <v>0</v>
      </c>
      <c r="AL569" s="350"/>
      <c r="AM569" s="351"/>
      <c r="AN569" s="313">
        <f t="shared" si="203"/>
        <v>0</v>
      </c>
      <c r="AO569" s="308">
        <v>12</v>
      </c>
      <c r="AP569" s="309">
        <v>99622</v>
      </c>
      <c r="AQ569" s="310">
        <f t="shared" si="204"/>
        <v>978128.64480000001</v>
      </c>
      <c r="AR569" s="350">
        <v>12</v>
      </c>
      <c r="AS569" s="351">
        <v>103712.25</v>
      </c>
      <c r="AT569" s="313">
        <f t="shared" si="205"/>
        <v>1018288.3554</v>
      </c>
      <c r="AU569" s="308">
        <v>3</v>
      </c>
      <c r="AV569" s="309">
        <v>102356</v>
      </c>
      <c r="AW569" s="310">
        <f t="shared" si="206"/>
        <v>251243.03760000001</v>
      </c>
      <c r="AX569" s="350">
        <v>3</v>
      </c>
      <c r="AY569" s="351">
        <v>107761.66666666667</v>
      </c>
      <c r="AZ569" s="313">
        <f t="shared" si="207"/>
        <v>264511.78700000001</v>
      </c>
      <c r="BA569" s="308">
        <v>3</v>
      </c>
      <c r="BB569" s="309">
        <v>52901</v>
      </c>
      <c r="BC569" s="310">
        <f t="shared" si="208"/>
        <v>129850.79460000001</v>
      </c>
      <c r="BD569" s="350">
        <v>4</v>
      </c>
      <c r="BE569" s="351">
        <v>54924</v>
      </c>
      <c r="BF569" s="313">
        <f t="shared" si="209"/>
        <v>179755.2672</v>
      </c>
      <c r="BG569" s="308">
        <v>5</v>
      </c>
      <c r="BH569" s="309">
        <v>50454</v>
      </c>
      <c r="BI569" s="310">
        <f t="shared" si="210"/>
        <v>206407.31400000001</v>
      </c>
      <c r="BJ569" s="350">
        <v>4</v>
      </c>
      <c r="BK569" s="351">
        <v>51341.5</v>
      </c>
      <c r="BL569" s="313">
        <f t="shared" si="211"/>
        <v>168030.46120000002</v>
      </c>
      <c r="BM569" s="308">
        <v>44</v>
      </c>
      <c r="BN569" s="309">
        <v>49581</v>
      </c>
      <c r="BO569" s="310">
        <f t="shared" si="212"/>
        <v>1784955.6648000001</v>
      </c>
      <c r="BP569" s="350">
        <v>56</v>
      </c>
      <c r="BQ569" s="351">
        <v>43735.390707142862</v>
      </c>
      <c r="BR569" s="313">
        <f t="shared" si="213"/>
        <v>2003920.6138887203</v>
      </c>
      <c r="BS569" s="308"/>
      <c r="BT569" s="309"/>
      <c r="BU569" s="310">
        <f t="shared" si="214"/>
        <v>0</v>
      </c>
      <c r="BV569" s="350"/>
      <c r="BW569" s="351"/>
      <c r="BX569" s="313">
        <f t="shared" si="215"/>
        <v>0</v>
      </c>
      <c r="BY569" s="290"/>
    </row>
    <row r="570" spans="1:77">
      <c r="A570" s="346" t="s">
        <v>408</v>
      </c>
      <c r="B570" s="352" t="s">
        <v>133</v>
      </c>
      <c r="C570" s="346">
        <v>228501</v>
      </c>
      <c r="D570" s="346">
        <v>3</v>
      </c>
      <c r="E570" s="308">
        <v>36</v>
      </c>
      <c r="F570" s="309">
        <v>67654</v>
      </c>
      <c r="G570" s="310">
        <f t="shared" si="192"/>
        <v>2435544</v>
      </c>
      <c r="H570" s="350">
        <v>38</v>
      </c>
      <c r="I570" s="351">
        <v>67881.605263157893</v>
      </c>
      <c r="J570" s="313">
        <f t="shared" si="193"/>
        <v>2579501</v>
      </c>
      <c r="K570" s="308">
        <v>31</v>
      </c>
      <c r="L570" s="309">
        <v>52543</v>
      </c>
      <c r="M570" s="310">
        <f t="shared" si="194"/>
        <v>1628833</v>
      </c>
      <c r="N570" s="350">
        <v>29</v>
      </c>
      <c r="O570" s="351">
        <v>52680.310344827587</v>
      </c>
      <c r="P570" s="313">
        <f t="shared" si="195"/>
        <v>1527729</v>
      </c>
      <c r="Q570" s="308">
        <v>30</v>
      </c>
      <c r="R570" s="309">
        <v>46203</v>
      </c>
      <c r="S570" s="310">
        <f t="shared" si="196"/>
        <v>1386090</v>
      </c>
      <c r="T570" s="350">
        <v>29</v>
      </c>
      <c r="U570" s="351">
        <v>47391.551724137928</v>
      </c>
      <c r="V570" s="313">
        <f t="shared" si="197"/>
        <v>1374355</v>
      </c>
      <c r="W570" s="308"/>
      <c r="X570" s="309"/>
      <c r="Y570" s="310">
        <f t="shared" si="198"/>
        <v>0</v>
      </c>
      <c r="Z570" s="350"/>
      <c r="AA570" s="351"/>
      <c r="AB570" s="313">
        <f t="shared" si="199"/>
        <v>0</v>
      </c>
      <c r="AC570" s="308">
        <v>19</v>
      </c>
      <c r="AD570" s="309">
        <v>39020</v>
      </c>
      <c r="AE570" s="310">
        <f t="shared" si="200"/>
        <v>741380</v>
      </c>
      <c r="AF570" s="350">
        <v>22</v>
      </c>
      <c r="AG570" s="351">
        <v>43560.909090909088</v>
      </c>
      <c r="AH570" s="313">
        <f t="shared" si="201"/>
        <v>958340</v>
      </c>
      <c r="AI570" s="308"/>
      <c r="AJ570" s="309"/>
      <c r="AK570" s="310">
        <f t="shared" si="202"/>
        <v>0</v>
      </c>
      <c r="AL570" s="350"/>
      <c r="AM570" s="351"/>
      <c r="AN570" s="313">
        <f t="shared" si="203"/>
        <v>0</v>
      </c>
      <c r="AO570" s="308">
        <v>2</v>
      </c>
      <c r="AP570" s="309">
        <v>96201</v>
      </c>
      <c r="AQ570" s="310">
        <f t="shared" si="204"/>
        <v>157423.31640000001</v>
      </c>
      <c r="AR570" s="350">
        <v>5</v>
      </c>
      <c r="AS570" s="351">
        <v>99458.4</v>
      </c>
      <c r="AT570" s="313">
        <f t="shared" si="205"/>
        <v>406884.31440000003</v>
      </c>
      <c r="AU570" s="308"/>
      <c r="AV570" s="309"/>
      <c r="AW570" s="310">
        <f t="shared" si="206"/>
        <v>0</v>
      </c>
      <c r="AX570" s="350">
        <v>1</v>
      </c>
      <c r="AY570" s="351">
        <v>79479</v>
      </c>
      <c r="AZ570" s="313">
        <f t="shared" si="207"/>
        <v>65029.717800000006</v>
      </c>
      <c r="BA570" s="308"/>
      <c r="BB570" s="309"/>
      <c r="BC570" s="310">
        <f t="shared" si="208"/>
        <v>0</v>
      </c>
      <c r="BD570" s="350"/>
      <c r="BE570" s="351"/>
      <c r="BF570" s="313">
        <f t="shared" si="209"/>
        <v>0</v>
      </c>
      <c r="BG570" s="308">
        <v>1</v>
      </c>
      <c r="BH570" s="309">
        <v>40902</v>
      </c>
      <c r="BI570" s="310">
        <f t="shared" si="210"/>
        <v>33466.0164</v>
      </c>
      <c r="BJ570" s="350">
        <v>2</v>
      </c>
      <c r="BK570" s="351">
        <v>50860</v>
      </c>
      <c r="BL570" s="313">
        <f t="shared" si="211"/>
        <v>83227.304000000004</v>
      </c>
      <c r="BM570" s="308">
        <v>4</v>
      </c>
      <c r="BN570" s="309">
        <v>52830</v>
      </c>
      <c r="BO570" s="310">
        <f t="shared" si="212"/>
        <v>172902.024</v>
      </c>
      <c r="BP570" s="350">
        <v>2</v>
      </c>
      <c r="BQ570" s="351">
        <v>55770</v>
      </c>
      <c r="BR570" s="313">
        <f t="shared" si="213"/>
        <v>91262.028000000006</v>
      </c>
      <c r="BS570" s="308"/>
      <c r="BT570" s="309"/>
      <c r="BU570" s="310">
        <f t="shared" si="214"/>
        <v>0</v>
      </c>
      <c r="BV570" s="350"/>
      <c r="BW570" s="351"/>
      <c r="BX570" s="313">
        <f t="shared" si="215"/>
        <v>0</v>
      </c>
      <c r="BY570" s="290"/>
    </row>
    <row r="571" spans="1:77">
      <c r="A571" s="346" t="s">
        <v>408</v>
      </c>
      <c r="B571" s="347" t="s">
        <v>134</v>
      </c>
      <c r="C571" s="348">
        <v>228529</v>
      </c>
      <c r="D571" s="349">
        <v>3</v>
      </c>
      <c r="E571" s="308">
        <v>48</v>
      </c>
      <c r="F571" s="309">
        <v>75372</v>
      </c>
      <c r="G571" s="310">
        <f t="shared" si="192"/>
        <v>3617856</v>
      </c>
      <c r="H571" s="350">
        <v>50</v>
      </c>
      <c r="I571" s="351">
        <v>78598.14</v>
      </c>
      <c r="J571" s="313">
        <f t="shared" si="193"/>
        <v>3929907</v>
      </c>
      <c r="K571" s="308">
        <v>58</v>
      </c>
      <c r="L571" s="309">
        <v>61538</v>
      </c>
      <c r="M571" s="310">
        <f t="shared" si="194"/>
        <v>3569204</v>
      </c>
      <c r="N571" s="350">
        <v>58</v>
      </c>
      <c r="O571" s="351">
        <v>63569.431034482761</v>
      </c>
      <c r="P571" s="313">
        <f t="shared" si="195"/>
        <v>3687027</v>
      </c>
      <c r="Q571" s="308">
        <v>94</v>
      </c>
      <c r="R571" s="309">
        <v>52210</v>
      </c>
      <c r="S571" s="310">
        <f t="shared" si="196"/>
        <v>4907740</v>
      </c>
      <c r="T571" s="350">
        <v>103</v>
      </c>
      <c r="U571" s="351">
        <v>51696.281553398061</v>
      </c>
      <c r="V571" s="313">
        <f t="shared" si="197"/>
        <v>5324717</v>
      </c>
      <c r="W571" s="308">
        <v>50</v>
      </c>
      <c r="X571" s="309">
        <v>39073</v>
      </c>
      <c r="Y571" s="310">
        <f t="shared" si="198"/>
        <v>1953650</v>
      </c>
      <c r="Z571" s="350">
        <v>47</v>
      </c>
      <c r="AA571" s="351">
        <v>42170.808510638301</v>
      </c>
      <c r="AB571" s="313">
        <f t="shared" si="199"/>
        <v>1982028.0000000002</v>
      </c>
      <c r="AC571" s="308">
        <v>4</v>
      </c>
      <c r="AD571" s="309">
        <v>28076</v>
      </c>
      <c r="AE571" s="310">
        <f t="shared" si="200"/>
        <v>112304</v>
      </c>
      <c r="AF571" s="350">
        <v>15</v>
      </c>
      <c r="AG571" s="351">
        <v>34935.333333333336</v>
      </c>
      <c r="AH571" s="313">
        <f t="shared" si="201"/>
        <v>524030.00000000006</v>
      </c>
      <c r="AI571" s="308"/>
      <c r="AJ571" s="309"/>
      <c r="AK571" s="310">
        <f t="shared" si="202"/>
        <v>0</v>
      </c>
      <c r="AL571" s="350"/>
      <c r="AM571" s="351"/>
      <c r="AN571" s="313">
        <f t="shared" si="203"/>
        <v>0</v>
      </c>
      <c r="AO571" s="308">
        <v>14</v>
      </c>
      <c r="AP571" s="309">
        <v>103783</v>
      </c>
      <c r="AQ571" s="310">
        <f t="shared" si="204"/>
        <v>1188813.5084000002</v>
      </c>
      <c r="AR571" s="350">
        <v>15</v>
      </c>
      <c r="AS571" s="351">
        <v>102621.06666666667</v>
      </c>
      <c r="AT571" s="313">
        <f t="shared" si="205"/>
        <v>1259468.3512000002</v>
      </c>
      <c r="AU571" s="308">
        <v>14</v>
      </c>
      <c r="AV571" s="309">
        <v>83848</v>
      </c>
      <c r="AW571" s="310">
        <f t="shared" si="206"/>
        <v>960462.07040000008</v>
      </c>
      <c r="AX571" s="350">
        <v>20</v>
      </c>
      <c r="AY571" s="351">
        <v>93919.35</v>
      </c>
      <c r="AZ571" s="313">
        <f t="shared" si="207"/>
        <v>1536896.2434</v>
      </c>
      <c r="BA571" s="308">
        <v>19</v>
      </c>
      <c r="BB571" s="309">
        <v>75107</v>
      </c>
      <c r="BC571" s="310">
        <f t="shared" si="208"/>
        <v>1167598.4006000001</v>
      </c>
      <c r="BD571" s="350">
        <v>31</v>
      </c>
      <c r="BE571" s="351">
        <v>70399.967741935485</v>
      </c>
      <c r="BF571" s="313">
        <f t="shared" si="209"/>
        <v>1785638.8618000001</v>
      </c>
      <c r="BG571" s="308">
        <v>18</v>
      </c>
      <c r="BH571" s="309">
        <v>59455</v>
      </c>
      <c r="BI571" s="310">
        <f t="shared" si="210"/>
        <v>875629.45799999998</v>
      </c>
      <c r="BJ571" s="350">
        <v>18</v>
      </c>
      <c r="BK571" s="351">
        <v>66173.722222222219</v>
      </c>
      <c r="BL571" s="313">
        <f t="shared" si="211"/>
        <v>974580.11140000005</v>
      </c>
      <c r="BM571" s="308">
        <v>1</v>
      </c>
      <c r="BN571" s="309">
        <v>56586</v>
      </c>
      <c r="BO571" s="310">
        <f t="shared" si="212"/>
        <v>46298.665200000003</v>
      </c>
      <c r="BP571" s="350">
        <v>2</v>
      </c>
      <c r="BQ571" s="351">
        <v>55200</v>
      </c>
      <c r="BR571" s="313">
        <f t="shared" si="213"/>
        <v>90329.279999999999</v>
      </c>
      <c r="BS571" s="308"/>
      <c r="BT571" s="309"/>
      <c r="BU571" s="310">
        <f t="shared" si="214"/>
        <v>0</v>
      </c>
      <c r="BV571" s="350"/>
      <c r="BW571" s="351"/>
      <c r="BX571" s="313">
        <f t="shared" si="215"/>
        <v>0</v>
      </c>
      <c r="BY571" s="290"/>
    </row>
    <row r="572" spans="1:77">
      <c r="A572" s="346" t="s">
        <v>408</v>
      </c>
      <c r="B572" s="347" t="s">
        <v>135</v>
      </c>
      <c r="C572" s="348">
        <v>224554</v>
      </c>
      <c r="D572" s="349">
        <v>3</v>
      </c>
      <c r="E572" s="308">
        <v>39</v>
      </c>
      <c r="F572" s="309">
        <v>73448</v>
      </c>
      <c r="G572" s="310">
        <f t="shared" si="192"/>
        <v>2864472</v>
      </c>
      <c r="H572" s="350">
        <v>38</v>
      </c>
      <c r="I572" s="351">
        <v>77726.15789473684</v>
      </c>
      <c r="J572" s="313">
        <f t="shared" si="193"/>
        <v>2953594</v>
      </c>
      <c r="K572" s="308">
        <v>39</v>
      </c>
      <c r="L572" s="309">
        <v>62189</v>
      </c>
      <c r="M572" s="310">
        <f t="shared" si="194"/>
        <v>2425371</v>
      </c>
      <c r="N572" s="350">
        <v>43</v>
      </c>
      <c r="O572" s="351">
        <v>61487</v>
      </c>
      <c r="P572" s="313">
        <f t="shared" si="195"/>
        <v>2643941</v>
      </c>
      <c r="Q572" s="308">
        <v>109</v>
      </c>
      <c r="R572" s="309">
        <v>53861</v>
      </c>
      <c r="S572" s="310">
        <f t="shared" si="196"/>
        <v>5870849</v>
      </c>
      <c r="T572" s="350">
        <v>127</v>
      </c>
      <c r="U572" s="351">
        <v>57312.27559055118</v>
      </c>
      <c r="V572" s="313">
        <f t="shared" si="197"/>
        <v>7278659</v>
      </c>
      <c r="W572" s="308">
        <v>40</v>
      </c>
      <c r="X572" s="309">
        <v>45676</v>
      </c>
      <c r="Y572" s="310">
        <f t="shared" si="198"/>
        <v>1827040</v>
      </c>
      <c r="Z572" s="350">
        <v>44</v>
      </c>
      <c r="AA572" s="351">
        <v>46119.931818181816</v>
      </c>
      <c r="AB572" s="313">
        <f t="shared" si="199"/>
        <v>2029277</v>
      </c>
      <c r="AC572" s="308"/>
      <c r="AD572" s="309"/>
      <c r="AE572" s="310">
        <f t="shared" si="200"/>
        <v>0</v>
      </c>
      <c r="AF572" s="350"/>
      <c r="AG572" s="351"/>
      <c r="AH572" s="313">
        <f t="shared" si="201"/>
        <v>0</v>
      </c>
      <c r="AI572" s="308"/>
      <c r="AJ572" s="309"/>
      <c r="AK572" s="310">
        <f t="shared" si="202"/>
        <v>0</v>
      </c>
      <c r="AL572" s="350"/>
      <c r="AM572" s="351"/>
      <c r="AN572" s="313">
        <f t="shared" si="203"/>
        <v>0</v>
      </c>
      <c r="AO572" s="308"/>
      <c r="AP572" s="309"/>
      <c r="AQ572" s="310">
        <f t="shared" si="204"/>
        <v>0</v>
      </c>
      <c r="AR572" s="350"/>
      <c r="AS572" s="351"/>
      <c r="AT572" s="313">
        <f t="shared" si="205"/>
        <v>0</v>
      </c>
      <c r="AU572" s="308">
        <v>1</v>
      </c>
      <c r="AV572" s="309">
        <v>51301</v>
      </c>
      <c r="AW572" s="310">
        <f t="shared" si="206"/>
        <v>41974.478200000005</v>
      </c>
      <c r="AX572" s="350"/>
      <c r="AY572" s="351"/>
      <c r="AZ572" s="313">
        <f t="shared" si="207"/>
        <v>0</v>
      </c>
      <c r="BA572" s="308"/>
      <c r="BB572" s="309"/>
      <c r="BC572" s="310">
        <f t="shared" si="208"/>
        <v>0</v>
      </c>
      <c r="BD572" s="350">
        <v>1</v>
      </c>
      <c r="BE572" s="351">
        <v>67000</v>
      </c>
      <c r="BF572" s="313">
        <f t="shared" si="209"/>
        <v>54819.4</v>
      </c>
      <c r="BG572" s="308">
        <v>8</v>
      </c>
      <c r="BH572" s="309">
        <v>57101</v>
      </c>
      <c r="BI572" s="310">
        <f t="shared" si="210"/>
        <v>373760.30560000002</v>
      </c>
      <c r="BJ572" s="350">
        <v>14</v>
      </c>
      <c r="BK572" s="351">
        <v>50355.428571428572</v>
      </c>
      <c r="BL572" s="313">
        <f t="shared" si="211"/>
        <v>576811.36320000002</v>
      </c>
      <c r="BM572" s="308"/>
      <c r="BN572" s="309"/>
      <c r="BO572" s="310">
        <f t="shared" si="212"/>
        <v>0</v>
      </c>
      <c r="BP572" s="350"/>
      <c r="BQ572" s="351"/>
      <c r="BR572" s="313">
        <f t="shared" si="213"/>
        <v>0</v>
      </c>
      <c r="BS572" s="308"/>
      <c r="BT572" s="309"/>
      <c r="BU572" s="310">
        <f t="shared" si="214"/>
        <v>0</v>
      </c>
      <c r="BV572" s="350"/>
      <c r="BW572" s="351"/>
      <c r="BX572" s="313">
        <f t="shared" si="215"/>
        <v>0</v>
      </c>
      <c r="BY572" s="290"/>
    </row>
    <row r="573" spans="1:77">
      <c r="A573" s="346" t="s">
        <v>408</v>
      </c>
      <c r="B573" s="347" t="s">
        <v>136</v>
      </c>
      <c r="C573" s="348">
        <v>224147</v>
      </c>
      <c r="D573" s="349">
        <v>3</v>
      </c>
      <c r="E573" s="308">
        <v>92</v>
      </c>
      <c r="F573" s="309">
        <v>76222</v>
      </c>
      <c r="G573" s="310">
        <f t="shared" si="192"/>
        <v>7012424</v>
      </c>
      <c r="H573" s="350">
        <v>97</v>
      </c>
      <c r="I573" s="351">
        <v>80724.515463917531</v>
      </c>
      <c r="J573" s="313">
        <f t="shared" si="193"/>
        <v>7830278.0000000009</v>
      </c>
      <c r="K573" s="308">
        <v>73</v>
      </c>
      <c r="L573" s="309">
        <v>66875</v>
      </c>
      <c r="M573" s="310">
        <f t="shared" si="194"/>
        <v>4881875</v>
      </c>
      <c r="N573" s="350">
        <v>84</v>
      </c>
      <c r="O573" s="351">
        <v>64127.095238095237</v>
      </c>
      <c r="P573" s="313">
        <f t="shared" si="195"/>
        <v>5386676</v>
      </c>
      <c r="Q573" s="308">
        <v>72</v>
      </c>
      <c r="R573" s="309">
        <v>59357</v>
      </c>
      <c r="S573" s="310">
        <f t="shared" si="196"/>
        <v>4273704</v>
      </c>
      <c r="T573" s="350">
        <v>70</v>
      </c>
      <c r="U573" s="351">
        <v>58854.314285714288</v>
      </c>
      <c r="V573" s="313">
        <f t="shared" si="197"/>
        <v>4119802</v>
      </c>
      <c r="W573" s="308">
        <v>14</v>
      </c>
      <c r="X573" s="309">
        <v>34332</v>
      </c>
      <c r="Y573" s="310">
        <f t="shared" si="198"/>
        <v>480648</v>
      </c>
      <c r="Z573" s="350"/>
      <c r="AA573" s="351"/>
      <c r="AB573" s="313">
        <f t="shared" si="199"/>
        <v>0</v>
      </c>
      <c r="AC573" s="308"/>
      <c r="AD573" s="309"/>
      <c r="AE573" s="310">
        <f t="shared" si="200"/>
        <v>0</v>
      </c>
      <c r="AF573" s="350"/>
      <c r="AG573" s="351"/>
      <c r="AH573" s="313">
        <f t="shared" si="201"/>
        <v>0</v>
      </c>
      <c r="AI573" s="308"/>
      <c r="AJ573" s="309"/>
      <c r="AK573" s="310">
        <f t="shared" si="202"/>
        <v>0</v>
      </c>
      <c r="AL573" s="350"/>
      <c r="AM573" s="351"/>
      <c r="AN573" s="313">
        <f t="shared" si="203"/>
        <v>0</v>
      </c>
      <c r="AO573" s="308"/>
      <c r="AP573" s="309"/>
      <c r="AQ573" s="310">
        <f t="shared" si="204"/>
        <v>0</v>
      </c>
      <c r="AR573" s="350"/>
      <c r="AS573" s="351"/>
      <c r="AT573" s="313">
        <f t="shared" si="205"/>
        <v>0</v>
      </c>
      <c r="AU573" s="308"/>
      <c r="AV573" s="309"/>
      <c r="AW573" s="310">
        <f t="shared" si="206"/>
        <v>0</v>
      </c>
      <c r="AX573" s="350"/>
      <c r="AY573" s="351"/>
      <c r="AZ573" s="313">
        <f t="shared" si="207"/>
        <v>0</v>
      </c>
      <c r="BA573" s="308"/>
      <c r="BB573" s="309"/>
      <c r="BC573" s="310">
        <f t="shared" si="208"/>
        <v>0</v>
      </c>
      <c r="BD573" s="350"/>
      <c r="BE573" s="351"/>
      <c r="BF573" s="313">
        <f t="shared" si="209"/>
        <v>0</v>
      </c>
      <c r="BG573" s="308"/>
      <c r="BH573" s="309"/>
      <c r="BI573" s="310">
        <f t="shared" si="210"/>
        <v>0</v>
      </c>
      <c r="BJ573" s="350"/>
      <c r="BK573" s="351"/>
      <c r="BL573" s="313">
        <f t="shared" si="211"/>
        <v>0</v>
      </c>
      <c r="BM573" s="308"/>
      <c r="BN573" s="309"/>
      <c r="BO573" s="310">
        <f t="shared" si="212"/>
        <v>0</v>
      </c>
      <c r="BP573" s="350"/>
      <c r="BQ573" s="351"/>
      <c r="BR573" s="313">
        <f t="shared" si="213"/>
        <v>0</v>
      </c>
      <c r="BS573" s="308"/>
      <c r="BT573" s="309"/>
      <c r="BU573" s="310">
        <f t="shared" si="214"/>
        <v>0</v>
      </c>
      <c r="BV573" s="350"/>
      <c r="BW573" s="351"/>
      <c r="BX573" s="313">
        <f t="shared" si="215"/>
        <v>0</v>
      </c>
      <c r="BY573" s="290"/>
    </row>
    <row r="574" spans="1:77">
      <c r="A574" s="346" t="s">
        <v>408</v>
      </c>
      <c r="B574" s="347" t="s">
        <v>137</v>
      </c>
      <c r="C574" s="348">
        <v>228705</v>
      </c>
      <c r="D574" s="349">
        <v>3</v>
      </c>
      <c r="E574" s="308">
        <v>68</v>
      </c>
      <c r="F574" s="309">
        <v>71292</v>
      </c>
      <c r="G574" s="310">
        <f t="shared" si="192"/>
        <v>4847856</v>
      </c>
      <c r="H574" s="350">
        <v>65</v>
      </c>
      <c r="I574" s="351">
        <v>76592.338461538457</v>
      </c>
      <c r="J574" s="313">
        <f t="shared" si="193"/>
        <v>4978502</v>
      </c>
      <c r="K574" s="308">
        <v>61</v>
      </c>
      <c r="L574" s="309">
        <v>62044</v>
      </c>
      <c r="M574" s="310">
        <f t="shared" si="194"/>
        <v>3784684</v>
      </c>
      <c r="N574" s="350">
        <v>62</v>
      </c>
      <c r="O574" s="351">
        <v>63590.93548387097</v>
      </c>
      <c r="P574" s="313">
        <f t="shared" si="195"/>
        <v>3942638</v>
      </c>
      <c r="Q574" s="308">
        <v>90</v>
      </c>
      <c r="R574" s="309">
        <v>53476</v>
      </c>
      <c r="S574" s="310">
        <f t="shared" si="196"/>
        <v>4812840</v>
      </c>
      <c r="T574" s="350">
        <v>86</v>
      </c>
      <c r="U574" s="351">
        <v>58097.406976744183</v>
      </c>
      <c r="V574" s="313">
        <f t="shared" si="197"/>
        <v>4996377</v>
      </c>
      <c r="W574" s="308"/>
      <c r="X574" s="309"/>
      <c r="Y574" s="310">
        <f t="shared" si="198"/>
        <v>0</v>
      </c>
      <c r="Z574" s="350">
        <v>3</v>
      </c>
      <c r="AA574" s="351">
        <v>49277</v>
      </c>
      <c r="AB574" s="313">
        <f t="shared" si="199"/>
        <v>147831</v>
      </c>
      <c r="AC574" s="308">
        <v>50</v>
      </c>
      <c r="AD574" s="309">
        <v>34932</v>
      </c>
      <c r="AE574" s="310">
        <f t="shared" si="200"/>
        <v>1746600</v>
      </c>
      <c r="AF574" s="350">
        <v>50</v>
      </c>
      <c r="AG574" s="351">
        <v>39068</v>
      </c>
      <c r="AH574" s="313">
        <f t="shared" si="201"/>
        <v>1953400</v>
      </c>
      <c r="AI574" s="308"/>
      <c r="AJ574" s="309"/>
      <c r="AK574" s="310">
        <f t="shared" si="202"/>
        <v>0</v>
      </c>
      <c r="AL574" s="350"/>
      <c r="AM574" s="351"/>
      <c r="AN574" s="313">
        <f t="shared" si="203"/>
        <v>0</v>
      </c>
      <c r="AO574" s="308">
        <v>14</v>
      </c>
      <c r="AP574" s="309">
        <v>96374</v>
      </c>
      <c r="AQ574" s="310">
        <f t="shared" si="204"/>
        <v>1103944.8952000001</v>
      </c>
      <c r="AR574" s="350">
        <v>18</v>
      </c>
      <c r="AS574" s="351">
        <v>102638.61111111111</v>
      </c>
      <c r="AT574" s="313">
        <f t="shared" si="205"/>
        <v>1511620.409</v>
      </c>
      <c r="AU574" s="308">
        <v>10</v>
      </c>
      <c r="AV574" s="309">
        <v>86089</v>
      </c>
      <c r="AW574" s="310">
        <f t="shared" si="206"/>
        <v>704380.19799999997</v>
      </c>
      <c r="AX574" s="350">
        <v>10</v>
      </c>
      <c r="AY574" s="351">
        <v>84039.4</v>
      </c>
      <c r="AZ574" s="313">
        <f t="shared" si="207"/>
        <v>687610.37080000003</v>
      </c>
      <c r="BA574" s="308">
        <v>7</v>
      </c>
      <c r="BB574" s="309">
        <v>53286</v>
      </c>
      <c r="BC574" s="310">
        <f t="shared" si="208"/>
        <v>305190.23639999999</v>
      </c>
      <c r="BD574" s="350">
        <v>8</v>
      </c>
      <c r="BE574" s="351">
        <v>58335.25</v>
      </c>
      <c r="BF574" s="313">
        <f t="shared" si="209"/>
        <v>381839.21240000002</v>
      </c>
      <c r="BG574" s="308"/>
      <c r="BH574" s="309"/>
      <c r="BI574" s="310">
        <f t="shared" si="210"/>
        <v>0</v>
      </c>
      <c r="BJ574" s="350"/>
      <c r="BK574" s="351"/>
      <c r="BL574" s="313">
        <f t="shared" si="211"/>
        <v>0</v>
      </c>
      <c r="BM574" s="308"/>
      <c r="BN574" s="309"/>
      <c r="BO574" s="310">
        <f t="shared" si="212"/>
        <v>0</v>
      </c>
      <c r="BP574" s="350"/>
      <c r="BQ574" s="351"/>
      <c r="BR574" s="313">
        <f t="shared" si="213"/>
        <v>0</v>
      </c>
      <c r="BS574" s="308"/>
      <c r="BT574" s="309"/>
      <c r="BU574" s="310">
        <f t="shared" si="214"/>
        <v>0</v>
      </c>
      <c r="BV574" s="350"/>
      <c r="BW574" s="351"/>
      <c r="BX574" s="313">
        <f t="shared" si="215"/>
        <v>0</v>
      </c>
      <c r="BY574" s="290"/>
    </row>
    <row r="575" spans="1:77">
      <c r="A575" s="346" t="s">
        <v>408</v>
      </c>
      <c r="B575" s="347" t="s">
        <v>138</v>
      </c>
      <c r="C575" s="348">
        <v>229063</v>
      </c>
      <c r="D575" s="349">
        <v>3</v>
      </c>
      <c r="E575" s="308">
        <v>70</v>
      </c>
      <c r="F575" s="309">
        <v>86287</v>
      </c>
      <c r="G575" s="310">
        <f t="shared" si="192"/>
        <v>6040090</v>
      </c>
      <c r="H575" s="350">
        <v>40</v>
      </c>
      <c r="I575" s="351">
        <v>102726.675</v>
      </c>
      <c r="J575" s="313">
        <f t="shared" si="193"/>
        <v>4109067</v>
      </c>
      <c r="K575" s="308">
        <v>76</v>
      </c>
      <c r="L575" s="309">
        <v>68130</v>
      </c>
      <c r="M575" s="310">
        <f t="shared" si="194"/>
        <v>5177880</v>
      </c>
      <c r="N575" s="350">
        <v>55</v>
      </c>
      <c r="O575" s="351">
        <v>80837.94545454545</v>
      </c>
      <c r="P575" s="313">
        <f t="shared" si="195"/>
        <v>4446087</v>
      </c>
      <c r="Q575" s="308">
        <v>95</v>
      </c>
      <c r="R575" s="309">
        <v>58117</v>
      </c>
      <c r="S575" s="310">
        <f t="shared" si="196"/>
        <v>5521115</v>
      </c>
      <c r="T575" s="350">
        <v>72</v>
      </c>
      <c r="U575" s="351">
        <v>68067.833333333328</v>
      </c>
      <c r="V575" s="313">
        <f t="shared" si="197"/>
        <v>4900884</v>
      </c>
      <c r="W575" s="308">
        <v>74</v>
      </c>
      <c r="X575" s="309">
        <v>28450</v>
      </c>
      <c r="Y575" s="310">
        <f t="shared" si="198"/>
        <v>2105300</v>
      </c>
      <c r="Z575" s="350">
        <v>9</v>
      </c>
      <c r="AA575" s="351">
        <v>67602.888888888891</v>
      </c>
      <c r="AB575" s="313">
        <f t="shared" si="199"/>
        <v>608426</v>
      </c>
      <c r="AC575" s="308"/>
      <c r="AD575" s="309"/>
      <c r="AE575" s="310">
        <f t="shared" si="200"/>
        <v>0</v>
      </c>
      <c r="AF575" s="350">
        <v>148</v>
      </c>
      <c r="AG575" s="351">
        <v>53784.891891891893</v>
      </c>
      <c r="AH575" s="313">
        <f t="shared" si="201"/>
        <v>7960164</v>
      </c>
      <c r="AI575" s="308"/>
      <c r="AJ575" s="309"/>
      <c r="AK575" s="310">
        <f t="shared" si="202"/>
        <v>0</v>
      </c>
      <c r="AL575" s="350"/>
      <c r="AM575" s="351"/>
      <c r="AN575" s="313">
        <f t="shared" si="203"/>
        <v>0</v>
      </c>
      <c r="AO575" s="308">
        <v>17</v>
      </c>
      <c r="AP575" s="309">
        <v>110008</v>
      </c>
      <c r="AQ575" s="310">
        <f t="shared" si="204"/>
        <v>1530145.2752</v>
      </c>
      <c r="AR575" s="350">
        <v>12</v>
      </c>
      <c r="AS575" s="351">
        <v>112924.75</v>
      </c>
      <c r="AT575" s="313">
        <f t="shared" si="205"/>
        <v>1108740.3654</v>
      </c>
      <c r="AU575" s="308">
        <v>10</v>
      </c>
      <c r="AV575" s="309">
        <v>86793</v>
      </c>
      <c r="AW575" s="310">
        <f t="shared" si="206"/>
        <v>710140.326</v>
      </c>
      <c r="AX575" s="350">
        <v>6</v>
      </c>
      <c r="AY575" s="351">
        <v>112167.5</v>
      </c>
      <c r="AZ575" s="313">
        <f t="shared" si="207"/>
        <v>550652.69099999999</v>
      </c>
      <c r="BA575" s="308">
        <v>2</v>
      </c>
      <c r="BB575" s="309">
        <v>51352</v>
      </c>
      <c r="BC575" s="310">
        <f t="shared" si="208"/>
        <v>84032.412800000006</v>
      </c>
      <c r="BD575" s="350">
        <v>7</v>
      </c>
      <c r="BE575" s="351">
        <v>96513.71428571429</v>
      </c>
      <c r="BF575" s="313">
        <f t="shared" si="209"/>
        <v>552772.64720000001</v>
      </c>
      <c r="BG575" s="308">
        <v>1</v>
      </c>
      <c r="BH575" s="309">
        <v>54540</v>
      </c>
      <c r="BI575" s="310">
        <f t="shared" si="210"/>
        <v>44624.628000000004</v>
      </c>
      <c r="BJ575" s="350">
        <v>1</v>
      </c>
      <c r="BK575" s="351">
        <v>115984</v>
      </c>
      <c r="BL575" s="313">
        <f t="shared" si="211"/>
        <v>94898.108800000002</v>
      </c>
      <c r="BM575" s="308"/>
      <c r="BN575" s="309"/>
      <c r="BO575" s="310">
        <f t="shared" si="212"/>
        <v>0</v>
      </c>
      <c r="BP575" s="350">
        <v>3</v>
      </c>
      <c r="BQ575" s="351">
        <v>79540.666666666672</v>
      </c>
      <c r="BR575" s="313">
        <f t="shared" si="213"/>
        <v>195240.52040000001</v>
      </c>
      <c r="BS575" s="308"/>
      <c r="BT575" s="309"/>
      <c r="BU575" s="310">
        <f t="shared" si="214"/>
        <v>0</v>
      </c>
      <c r="BV575" s="350"/>
      <c r="BW575" s="351"/>
      <c r="BX575" s="313">
        <f t="shared" si="215"/>
        <v>0</v>
      </c>
      <c r="BY575" s="290"/>
    </row>
    <row r="576" spans="1:77">
      <c r="A576" s="346" t="s">
        <v>408</v>
      </c>
      <c r="B576" s="347" t="s">
        <v>139</v>
      </c>
      <c r="C576" s="348">
        <v>228459</v>
      </c>
      <c r="D576" s="349">
        <v>3</v>
      </c>
      <c r="E576" s="308">
        <v>231</v>
      </c>
      <c r="F576" s="309">
        <v>82909</v>
      </c>
      <c r="G576" s="310">
        <f t="shared" si="192"/>
        <v>19151979</v>
      </c>
      <c r="H576" s="350">
        <v>237</v>
      </c>
      <c r="I576" s="351">
        <v>85704.033755274257</v>
      </c>
      <c r="J576" s="313">
        <f t="shared" si="193"/>
        <v>20311856</v>
      </c>
      <c r="K576" s="308">
        <v>151</v>
      </c>
      <c r="L576" s="309">
        <v>67767</v>
      </c>
      <c r="M576" s="310">
        <f t="shared" si="194"/>
        <v>10232817</v>
      </c>
      <c r="N576" s="350">
        <v>160</v>
      </c>
      <c r="O576" s="351">
        <v>69742.53125</v>
      </c>
      <c r="P576" s="313">
        <f t="shared" si="195"/>
        <v>11158805</v>
      </c>
      <c r="Q576" s="308">
        <v>208</v>
      </c>
      <c r="R576" s="309">
        <v>57406</v>
      </c>
      <c r="S576" s="310">
        <f t="shared" si="196"/>
        <v>11940448</v>
      </c>
      <c r="T576" s="350">
        <v>251</v>
      </c>
      <c r="U576" s="351">
        <v>58966.346613545815</v>
      </c>
      <c r="V576" s="313">
        <f t="shared" si="197"/>
        <v>14800553</v>
      </c>
      <c r="W576" s="308">
        <v>5</v>
      </c>
      <c r="X576" s="309">
        <v>41157</v>
      </c>
      <c r="Y576" s="310">
        <f t="shared" si="198"/>
        <v>205785</v>
      </c>
      <c r="Z576" s="350">
        <v>5</v>
      </c>
      <c r="AA576" s="351">
        <v>39583.800000000003</v>
      </c>
      <c r="AB576" s="313">
        <f t="shared" si="199"/>
        <v>197919</v>
      </c>
      <c r="AC576" s="308">
        <v>243</v>
      </c>
      <c r="AD576" s="309">
        <v>40733</v>
      </c>
      <c r="AE576" s="310">
        <f t="shared" si="200"/>
        <v>9898119</v>
      </c>
      <c r="AF576" s="350">
        <v>245</v>
      </c>
      <c r="AG576" s="351">
        <v>42312.693877551021</v>
      </c>
      <c r="AH576" s="313">
        <f t="shared" si="201"/>
        <v>10366610</v>
      </c>
      <c r="AI576" s="308"/>
      <c r="AJ576" s="309"/>
      <c r="AK576" s="310">
        <f t="shared" si="202"/>
        <v>0</v>
      </c>
      <c r="AL576" s="350"/>
      <c r="AM576" s="351"/>
      <c r="AN576" s="313">
        <f t="shared" si="203"/>
        <v>0</v>
      </c>
      <c r="AO576" s="308">
        <v>27</v>
      </c>
      <c r="AP576" s="309">
        <v>126153</v>
      </c>
      <c r="AQ576" s="310">
        <f t="shared" si="204"/>
        <v>2786896.3842000002</v>
      </c>
      <c r="AR576" s="350">
        <v>32</v>
      </c>
      <c r="AS576" s="351">
        <v>129755.96875</v>
      </c>
      <c r="AT576" s="313">
        <f t="shared" si="205"/>
        <v>3397322.6762000001</v>
      </c>
      <c r="AU576" s="308">
        <v>5</v>
      </c>
      <c r="AV576" s="309">
        <v>102704</v>
      </c>
      <c r="AW576" s="310">
        <f t="shared" si="206"/>
        <v>420162.06400000001</v>
      </c>
      <c r="AX576" s="350">
        <v>4</v>
      </c>
      <c r="AY576" s="351">
        <v>105909.75</v>
      </c>
      <c r="AZ576" s="313">
        <f t="shared" si="207"/>
        <v>346621.42980000004</v>
      </c>
      <c r="BA576" s="308"/>
      <c r="BB576" s="309"/>
      <c r="BC576" s="310">
        <f t="shared" si="208"/>
        <v>0</v>
      </c>
      <c r="BD576" s="350"/>
      <c r="BE576" s="351"/>
      <c r="BF576" s="313">
        <f t="shared" si="209"/>
        <v>0</v>
      </c>
      <c r="BG576" s="308"/>
      <c r="BH576" s="309"/>
      <c r="BI576" s="310">
        <f t="shared" si="210"/>
        <v>0</v>
      </c>
      <c r="BJ576" s="350"/>
      <c r="BK576" s="351"/>
      <c r="BL576" s="313">
        <f t="shared" si="211"/>
        <v>0</v>
      </c>
      <c r="BM576" s="308"/>
      <c r="BN576" s="309"/>
      <c r="BO576" s="310">
        <f t="shared" si="212"/>
        <v>0</v>
      </c>
      <c r="BP576" s="350"/>
      <c r="BQ576" s="351"/>
      <c r="BR576" s="313">
        <f t="shared" si="213"/>
        <v>0</v>
      </c>
      <c r="BS576" s="308"/>
      <c r="BT576" s="309"/>
      <c r="BU576" s="310">
        <f t="shared" si="214"/>
        <v>0</v>
      </c>
      <c r="BV576" s="350"/>
      <c r="BW576" s="351"/>
      <c r="BX576" s="313">
        <f t="shared" si="215"/>
        <v>0</v>
      </c>
      <c r="BY576" s="290"/>
    </row>
    <row r="577" spans="1:77">
      <c r="A577" s="346" t="s">
        <v>408</v>
      </c>
      <c r="B577" s="347" t="s">
        <v>140</v>
      </c>
      <c r="C577" s="348">
        <v>225414</v>
      </c>
      <c r="D577" s="349">
        <v>3</v>
      </c>
      <c r="E577" s="308">
        <v>40</v>
      </c>
      <c r="F577" s="309">
        <v>89236</v>
      </c>
      <c r="G577" s="310">
        <f t="shared" si="192"/>
        <v>3569440</v>
      </c>
      <c r="H577" s="350">
        <v>42</v>
      </c>
      <c r="I577" s="351">
        <v>85551.476190476184</v>
      </c>
      <c r="J577" s="313">
        <f t="shared" si="193"/>
        <v>3593161.9999999995</v>
      </c>
      <c r="K577" s="308">
        <v>62</v>
      </c>
      <c r="L577" s="309">
        <v>68863</v>
      </c>
      <c r="M577" s="310">
        <f t="shared" si="194"/>
        <v>4269506</v>
      </c>
      <c r="N577" s="350">
        <v>82</v>
      </c>
      <c r="O577" s="351">
        <v>66951.768292682929</v>
      </c>
      <c r="P577" s="313">
        <f t="shared" si="195"/>
        <v>5490045</v>
      </c>
      <c r="Q577" s="308">
        <v>60</v>
      </c>
      <c r="R577" s="309">
        <v>62497</v>
      </c>
      <c r="S577" s="310">
        <f t="shared" si="196"/>
        <v>3749820</v>
      </c>
      <c r="T577" s="350">
        <v>63</v>
      </c>
      <c r="U577" s="351">
        <v>64753.555555555555</v>
      </c>
      <c r="V577" s="313">
        <f t="shared" si="197"/>
        <v>4079474</v>
      </c>
      <c r="W577" s="308">
        <v>2</v>
      </c>
      <c r="X577" s="309">
        <v>43145</v>
      </c>
      <c r="Y577" s="310">
        <f t="shared" si="198"/>
        <v>86290</v>
      </c>
      <c r="Z577" s="350">
        <v>2</v>
      </c>
      <c r="AA577" s="351">
        <v>43072.5</v>
      </c>
      <c r="AB577" s="313">
        <f t="shared" si="199"/>
        <v>86145</v>
      </c>
      <c r="AC577" s="308">
        <v>34</v>
      </c>
      <c r="AD577" s="309">
        <v>45796</v>
      </c>
      <c r="AE577" s="310">
        <f t="shared" si="200"/>
        <v>1557064</v>
      </c>
      <c r="AF577" s="350">
        <v>27</v>
      </c>
      <c r="AG577" s="351">
        <v>46789.037037037036</v>
      </c>
      <c r="AH577" s="313">
        <f t="shared" si="201"/>
        <v>1263304</v>
      </c>
      <c r="AI577" s="308"/>
      <c r="AJ577" s="309"/>
      <c r="AK577" s="310">
        <f t="shared" si="202"/>
        <v>0</v>
      </c>
      <c r="AL577" s="350"/>
      <c r="AM577" s="351"/>
      <c r="AN577" s="313">
        <f t="shared" si="203"/>
        <v>0</v>
      </c>
      <c r="AO577" s="308">
        <v>1</v>
      </c>
      <c r="AP577" s="309">
        <v>85279</v>
      </c>
      <c r="AQ577" s="310">
        <f t="shared" si="204"/>
        <v>69775.277799999996</v>
      </c>
      <c r="AR577" s="350">
        <v>1</v>
      </c>
      <c r="AS577" s="351">
        <v>85279</v>
      </c>
      <c r="AT577" s="313">
        <f t="shared" si="205"/>
        <v>69775.277799999996</v>
      </c>
      <c r="AU577" s="308"/>
      <c r="AV577" s="309"/>
      <c r="AW577" s="310">
        <f t="shared" si="206"/>
        <v>0</v>
      </c>
      <c r="AX577" s="350"/>
      <c r="AY577" s="351"/>
      <c r="AZ577" s="313">
        <f t="shared" si="207"/>
        <v>0</v>
      </c>
      <c r="BA577" s="308"/>
      <c r="BB577" s="309"/>
      <c r="BC577" s="310">
        <f t="shared" si="208"/>
        <v>0</v>
      </c>
      <c r="BD577" s="350"/>
      <c r="BE577" s="351"/>
      <c r="BF577" s="313">
        <f t="shared" si="209"/>
        <v>0</v>
      </c>
      <c r="BG577" s="308"/>
      <c r="BH577" s="309"/>
      <c r="BI577" s="310">
        <f t="shared" si="210"/>
        <v>0</v>
      </c>
      <c r="BJ577" s="350"/>
      <c r="BK577" s="351"/>
      <c r="BL577" s="313">
        <f t="shared" si="211"/>
        <v>0</v>
      </c>
      <c r="BM577" s="308">
        <v>3</v>
      </c>
      <c r="BN577" s="309">
        <v>78078</v>
      </c>
      <c r="BO577" s="310">
        <f t="shared" si="212"/>
        <v>191650.25880000001</v>
      </c>
      <c r="BP577" s="350">
        <v>3</v>
      </c>
      <c r="BQ577" s="351">
        <v>78078.333333333328</v>
      </c>
      <c r="BR577" s="313">
        <f t="shared" si="213"/>
        <v>191651.07700000002</v>
      </c>
      <c r="BS577" s="308"/>
      <c r="BT577" s="309"/>
      <c r="BU577" s="310">
        <f t="shared" si="214"/>
        <v>0</v>
      </c>
      <c r="BV577" s="350"/>
      <c r="BW577" s="351"/>
      <c r="BX577" s="313">
        <f t="shared" si="215"/>
        <v>0</v>
      </c>
      <c r="BY577" s="290"/>
    </row>
    <row r="578" spans="1:77">
      <c r="A578" s="346" t="s">
        <v>408</v>
      </c>
      <c r="B578" s="376" t="s">
        <v>142</v>
      </c>
      <c r="C578" s="348">
        <v>229027</v>
      </c>
      <c r="D578" s="349">
        <v>3</v>
      </c>
      <c r="E578" s="308">
        <v>156</v>
      </c>
      <c r="F578" s="309">
        <v>106990</v>
      </c>
      <c r="G578" s="310">
        <f t="shared" si="192"/>
        <v>16690440</v>
      </c>
      <c r="H578" s="350">
        <v>153</v>
      </c>
      <c r="I578" s="351">
        <v>111776.36601307189</v>
      </c>
      <c r="J578" s="313">
        <f t="shared" si="193"/>
        <v>17101784</v>
      </c>
      <c r="K578" s="308">
        <v>180</v>
      </c>
      <c r="L578" s="309">
        <v>77975</v>
      </c>
      <c r="M578" s="310">
        <f t="shared" si="194"/>
        <v>14035500</v>
      </c>
      <c r="N578" s="350">
        <v>180</v>
      </c>
      <c r="O578" s="351">
        <v>80902.877777777772</v>
      </c>
      <c r="P578" s="313">
        <f t="shared" si="195"/>
        <v>14562517.999999998</v>
      </c>
      <c r="Q578" s="308">
        <v>177</v>
      </c>
      <c r="R578" s="309">
        <v>66643</v>
      </c>
      <c r="S578" s="310">
        <f t="shared" si="196"/>
        <v>11795811</v>
      </c>
      <c r="T578" s="350">
        <v>173</v>
      </c>
      <c r="U578" s="351">
        <v>68344.242774566475</v>
      </c>
      <c r="V578" s="313">
        <f t="shared" si="197"/>
        <v>11823554</v>
      </c>
      <c r="W578" s="308">
        <v>3</v>
      </c>
      <c r="X578" s="309">
        <v>47169</v>
      </c>
      <c r="Y578" s="310">
        <f t="shared" si="198"/>
        <v>141507</v>
      </c>
      <c r="Z578" s="350">
        <v>5</v>
      </c>
      <c r="AA578" s="351">
        <v>49561.2</v>
      </c>
      <c r="AB578" s="313">
        <f t="shared" si="199"/>
        <v>247806</v>
      </c>
      <c r="AC578" s="308">
        <v>66</v>
      </c>
      <c r="AD578" s="309">
        <v>43767</v>
      </c>
      <c r="AE578" s="310">
        <f t="shared" si="200"/>
        <v>2888622</v>
      </c>
      <c r="AF578" s="350">
        <v>75</v>
      </c>
      <c r="AG578" s="351">
        <v>51648.946666666663</v>
      </c>
      <c r="AH578" s="313">
        <f t="shared" si="201"/>
        <v>3873670.9999999995</v>
      </c>
      <c r="AI578" s="308"/>
      <c r="AJ578" s="309"/>
      <c r="AK578" s="310">
        <f t="shared" si="202"/>
        <v>0</v>
      </c>
      <c r="AL578" s="350"/>
      <c r="AM578" s="351"/>
      <c r="AN578" s="313">
        <f t="shared" si="203"/>
        <v>0</v>
      </c>
      <c r="AO578" s="308"/>
      <c r="AP578" s="309"/>
      <c r="AQ578" s="310">
        <f t="shared" si="204"/>
        <v>0</v>
      </c>
      <c r="AR578" s="350"/>
      <c r="AS578" s="351"/>
      <c r="AT578" s="313">
        <f t="shared" si="205"/>
        <v>0</v>
      </c>
      <c r="AU578" s="308"/>
      <c r="AV578" s="309"/>
      <c r="AW578" s="310">
        <f t="shared" si="206"/>
        <v>0</v>
      </c>
      <c r="AX578" s="350"/>
      <c r="AY578" s="351"/>
      <c r="AZ578" s="313">
        <f t="shared" si="207"/>
        <v>0</v>
      </c>
      <c r="BA578" s="308"/>
      <c r="BB578" s="309"/>
      <c r="BC578" s="310">
        <f t="shared" si="208"/>
        <v>0</v>
      </c>
      <c r="BD578" s="350"/>
      <c r="BE578" s="351"/>
      <c r="BF578" s="313">
        <f t="shared" si="209"/>
        <v>0</v>
      </c>
      <c r="BG578" s="308"/>
      <c r="BH578" s="309"/>
      <c r="BI578" s="310">
        <f t="shared" si="210"/>
        <v>0</v>
      </c>
      <c r="BJ578" s="350"/>
      <c r="BK578" s="351"/>
      <c r="BL578" s="313">
        <f t="shared" si="211"/>
        <v>0</v>
      </c>
      <c r="BM578" s="308"/>
      <c r="BN578" s="309"/>
      <c r="BO578" s="310">
        <f t="shared" si="212"/>
        <v>0</v>
      </c>
      <c r="BP578" s="350"/>
      <c r="BQ578" s="351"/>
      <c r="BR578" s="313">
        <f t="shared" si="213"/>
        <v>0</v>
      </c>
      <c r="BS578" s="308"/>
      <c r="BT578" s="309"/>
      <c r="BU578" s="310">
        <f t="shared" si="214"/>
        <v>0</v>
      </c>
      <c r="BV578" s="350"/>
      <c r="BW578" s="351"/>
      <c r="BX578" s="313">
        <f t="shared" si="215"/>
        <v>0</v>
      </c>
      <c r="BY578" s="290"/>
    </row>
    <row r="579" spans="1:77">
      <c r="A579" s="346" t="s">
        <v>408</v>
      </c>
      <c r="B579" s="347" t="s">
        <v>143</v>
      </c>
      <c r="C579" s="348">
        <v>228802</v>
      </c>
      <c r="D579" s="349">
        <v>3</v>
      </c>
      <c r="E579" s="308">
        <v>50</v>
      </c>
      <c r="F579" s="309">
        <v>76451</v>
      </c>
      <c r="G579" s="310">
        <f t="shared" si="192"/>
        <v>3822550</v>
      </c>
      <c r="H579" s="350">
        <v>55</v>
      </c>
      <c r="I579" s="351">
        <v>81223.854545454538</v>
      </c>
      <c r="J579" s="313">
        <f t="shared" si="193"/>
        <v>4467312</v>
      </c>
      <c r="K579" s="308">
        <v>59</v>
      </c>
      <c r="L579" s="309">
        <v>63252</v>
      </c>
      <c r="M579" s="310">
        <f t="shared" si="194"/>
        <v>3731868</v>
      </c>
      <c r="N579" s="350">
        <v>54</v>
      </c>
      <c r="O579" s="351">
        <v>65373.944444444445</v>
      </c>
      <c r="P579" s="313">
        <f t="shared" si="195"/>
        <v>3530193</v>
      </c>
      <c r="Q579" s="308">
        <v>60</v>
      </c>
      <c r="R579" s="309">
        <v>55464</v>
      </c>
      <c r="S579" s="310">
        <f t="shared" si="196"/>
        <v>3327840</v>
      </c>
      <c r="T579" s="350">
        <v>69</v>
      </c>
      <c r="U579" s="351">
        <v>58398</v>
      </c>
      <c r="V579" s="313">
        <f t="shared" si="197"/>
        <v>4029462</v>
      </c>
      <c r="W579" s="308">
        <v>45</v>
      </c>
      <c r="X579" s="309">
        <v>44091</v>
      </c>
      <c r="Y579" s="310">
        <f t="shared" si="198"/>
        <v>1984095</v>
      </c>
      <c r="Z579" s="350">
        <v>41</v>
      </c>
      <c r="AA579" s="351">
        <v>46891.756097560974</v>
      </c>
      <c r="AB579" s="313">
        <f t="shared" si="199"/>
        <v>1922562</v>
      </c>
      <c r="AC579" s="308">
        <v>39</v>
      </c>
      <c r="AD579" s="309">
        <v>43907</v>
      </c>
      <c r="AE579" s="310">
        <f t="shared" si="200"/>
        <v>1712373</v>
      </c>
      <c r="AF579" s="350">
        <v>41</v>
      </c>
      <c r="AG579" s="351">
        <v>49668.439024390245</v>
      </c>
      <c r="AH579" s="313">
        <f t="shared" si="201"/>
        <v>2036406</v>
      </c>
      <c r="AI579" s="308"/>
      <c r="AJ579" s="309"/>
      <c r="AK579" s="310">
        <f t="shared" si="202"/>
        <v>0</v>
      </c>
      <c r="AL579" s="350"/>
      <c r="AM579" s="351"/>
      <c r="AN579" s="313">
        <f t="shared" si="203"/>
        <v>0</v>
      </c>
      <c r="AO579" s="308"/>
      <c r="AP579" s="309"/>
      <c r="AQ579" s="310">
        <f t="shared" si="204"/>
        <v>0</v>
      </c>
      <c r="AR579" s="350"/>
      <c r="AS579" s="351"/>
      <c r="AT579" s="313">
        <f t="shared" si="205"/>
        <v>0</v>
      </c>
      <c r="AU579" s="308"/>
      <c r="AV579" s="309"/>
      <c r="AW579" s="310">
        <f t="shared" si="206"/>
        <v>0</v>
      </c>
      <c r="AX579" s="350"/>
      <c r="AY579" s="351"/>
      <c r="AZ579" s="313">
        <f t="shared" si="207"/>
        <v>0</v>
      </c>
      <c r="BA579" s="308"/>
      <c r="BB579" s="309"/>
      <c r="BC579" s="310">
        <f t="shared" si="208"/>
        <v>0</v>
      </c>
      <c r="BD579" s="350"/>
      <c r="BE579" s="351"/>
      <c r="BF579" s="313">
        <f t="shared" si="209"/>
        <v>0</v>
      </c>
      <c r="BG579" s="308"/>
      <c r="BH579" s="309"/>
      <c r="BI579" s="310">
        <f t="shared" si="210"/>
        <v>0</v>
      </c>
      <c r="BJ579" s="350"/>
      <c r="BK579" s="351"/>
      <c r="BL579" s="313">
        <f t="shared" si="211"/>
        <v>0</v>
      </c>
      <c r="BM579" s="308"/>
      <c r="BN579" s="309"/>
      <c r="BO579" s="310">
        <f t="shared" si="212"/>
        <v>0</v>
      </c>
      <c r="BP579" s="350"/>
      <c r="BQ579" s="351"/>
      <c r="BR579" s="313">
        <f t="shared" si="213"/>
        <v>0</v>
      </c>
      <c r="BS579" s="308"/>
      <c r="BT579" s="309"/>
      <c r="BU579" s="310">
        <f t="shared" si="214"/>
        <v>0</v>
      </c>
      <c r="BV579" s="350"/>
      <c r="BW579" s="351"/>
      <c r="BX579" s="313">
        <f t="shared" si="215"/>
        <v>0</v>
      </c>
      <c r="BY579" s="290"/>
    </row>
    <row r="580" spans="1:77">
      <c r="A580" s="346" t="s">
        <v>408</v>
      </c>
      <c r="B580" s="347" t="s">
        <v>144</v>
      </c>
      <c r="C580" s="348">
        <v>227368</v>
      </c>
      <c r="D580" s="349">
        <v>3</v>
      </c>
      <c r="E580" s="308">
        <v>99</v>
      </c>
      <c r="F580" s="309">
        <v>82278</v>
      </c>
      <c r="G580" s="310">
        <f t="shared" si="192"/>
        <v>8145522</v>
      </c>
      <c r="H580" s="350">
        <v>107</v>
      </c>
      <c r="I580" s="351">
        <v>83328</v>
      </c>
      <c r="J580" s="313">
        <f t="shared" si="193"/>
        <v>8916096</v>
      </c>
      <c r="K580" s="308">
        <v>148</v>
      </c>
      <c r="L580" s="309">
        <v>68734</v>
      </c>
      <c r="M580" s="310">
        <f t="shared" si="194"/>
        <v>10172632</v>
      </c>
      <c r="N580" s="350">
        <v>148</v>
      </c>
      <c r="O580" s="351">
        <v>68926</v>
      </c>
      <c r="P580" s="313">
        <f t="shared" si="195"/>
        <v>10201048</v>
      </c>
      <c r="Q580" s="308">
        <v>191</v>
      </c>
      <c r="R580" s="309">
        <v>55898</v>
      </c>
      <c r="S580" s="310">
        <f t="shared" si="196"/>
        <v>10676518</v>
      </c>
      <c r="T580" s="350">
        <v>204</v>
      </c>
      <c r="U580" s="351">
        <v>58019</v>
      </c>
      <c r="V580" s="313">
        <f t="shared" si="197"/>
        <v>11835876</v>
      </c>
      <c r="W580" s="308"/>
      <c r="X580" s="309"/>
      <c r="Y580" s="310">
        <f t="shared" si="198"/>
        <v>0</v>
      </c>
      <c r="Z580" s="350"/>
      <c r="AA580" s="351"/>
      <c r="AB580" s="313">
        <f t="shared" si="199"/>
        <v>0</v>
      </c>
      <c r="AC580" s="308">
        <v>181</v>
      </c>
      <c r="AD580" s="309">
        <v>42641</v>
      </c>
      <c r="AE580" s="310">
        <f t="shared" si="200"/>
        <v>7718021</v>
      </c>
      <c r="AF580" s="350">
        <v>188</v>
      </c>
      <c r="AG580" s="351">
        <v>47146.106382978724</v>
      </c>
      <c r="AH580" s="313">
        <f t="shared" si="201"/>
        <v>8863468</v>
      </c>
      <c r="AI580" s="308"/>
      <c r="AJ580" s="309"/>
      <c r="AK580" s="310">
        <f t="shared" si="202"/>
        <v>0</v>
      </c>
      <c r="AL580" s="350"/>
      <c r="AM580" s="351"/>
      <c r="AN580" s="313">
        <f t="shared" si="203"/>
        <v>0</v>
      </c>
      <c r="AO580" s="308">
        <v>1</v>
      </c>
      <c r="AP580" s="309">
        <v>97725</v>
      </c>
      <c r="AQ580" s="310">
        <f t="shared" si="204"/>
        <v>79958.595000000001</v>
      </c>
      <c r="AR580" s="350">
        <v>1</v>
      </c>
      <c r="AS580" s="351">
        <v>101634</v>
      </c>
      <c r="AT580" s="313">
        <f t="shared" si="205"/>
        <v>83156.938800000004</v>
      </c>
      <c r="AU580" s="308">
        <v>2</v>
      </c>
      <c r="AV580" s="309">
        <v>88249</v>
      </c>
      <c r="AW580" s="310">
        <f t="shared" si="206"/>
        <v>144410.6636</v>
      </c>
      <c r="AX580" s="350">
        <v>2</v>
      </c>
      <c r="AY580" s="351">
        <v>82819</v>
      </c>
      <c r="AZ580" s="313">
        <f t="shared" si="207"/>
        <v>135525.0116</v>
      </c>
      <c r="BA580" s="308">
        <v>10</v>
      </c>
      <c r="BB580" s="309">
        <v>75998</v>
      </c>
      <c r="BC580" s="310">
        <f t="shared" si="208"/>
        <v>621815.63600000006</v>
      </c>
      <c r="BD580" s="350">
        <v>5</v>
      </c>
      <c r="BE580" s="351">
        <v>79737</v>
      </c>
      <c r="BF580" s="313">
        <f t="shared" si="209"/>
        <v>326204.06700000004</v>
      </c>
      <c r="BG580" s="308"/>
      <c r="BH580" s="309"/>
      <c r="BI580" s="310">
        <f t="shared" si="210"/>
        <v>0</v>
      </c>
      <c r="BJ580" s="350">
        <v>0</v>
      </c>
      <c r="BK580" s="351"/>
      <c r="BL580" s="313">
        <f t="shared" si="211"/>
        <v>0</v>
      </c>
      <c r="BM580" s="308">
        <v>1</v>
      </c>
      <c r="BN580" s="309">
        <v>38000</v>
      </c>
      <c r="BO580" s="310">
        <f t="shared" si="212"/>
        <v>31091.600000000002</v>
      </c>
      <c r="BP580" s="350">
        <v>6</v>
      </c>
      <c r="BQ580" s="351">
        <v>67433.453033333339</v>
      </c>
      <c r="BR580" s="313">
        <f t="shared" si="213"/>
        <v>331044.30763123999</v>
      </c>
      <c r="BS580" s="308"/>
      <c r="BT580" s="309"/>
      <c r="BU580" s="310">
        <f t="shared" si="214"/>
        <v>0</v>
      </c>
      <c r="BV580" s="350"/>
      <c r="BW580" s="351"/>
      <c r="BX580" s="313">
        <f t="shared" si="215"/>
        <v>0</v>
      </c>
      <c r="BY580" s="290"/>
    </row>
    <row r="581" spans="1:77">
      <c r="A581" s="346" t="s">
        <v>408</v>
      </c>
      <c r="B581" s="347" t="s">
        <v>145</v>
      </c>
      <c r="C581" s="348">
        <v>229814</v>
      </c>
      <c r="D581" s="349">
        <v>3</v>
      </c>
      <c r="E581" s="308">
        <v>35</v>
      </c>
      <c r="F581" s="309">
        <v>69859</v>
      </c>
      <c r="G581" s="310">
        <f t="shared" si="192"/>
        <v>2445065</v>
      </c>
      <c r="H581" s="350">
        <v>27</v>
      </c>
      <c r="I581" s="351">
        <v>72275.111111111109</v>
      </c>
      <c r="J581" s="313">
        <f t="shared" si="193"/>
        <v>1951428</v>
      </c>
      <c r="K581" s="308">
        <v>44</v>
      </c>
      <c r="L581" s="309">
        <v>59436</v>
      </c>
      <c r="M581" s="310">
        <f t="shared" si="194"/>
        <v>2615184</v>
      </c>
      <c r="N581" s="350">
        <v>45</v>
      </c>
      <c r="O581" s="351">
        <v>61884.977777777778</v>
      </c>
      <c r="P581" s="313">
        <f t="shared" si="195"/>
        <v>2784824</v>
      </c>
      <c r="Q581" s="308">
        <v>70</v>
      </c>
      <c r="R581" s="309">
        <v>52653</v>
      </c>
      <c r="S581" s="310">
        <f t="shared" si="196"/>
        <v>3685710</v>
      </c>
      <c r="T581" s="350">
        <v>80</v>
      </c>
      <c r="U581" s="351">
        <v>55213.574999999997</v>
      </c>
      <c r="V581" s="313">
        <f t="shared" si="197"/>
        <v>4417086</v>
      </c>
      <c r="W581" s="308">
        <v>61</v>
      </c>
      <c r="X581" s="309">
        <v>44332</v>
      </c>
      <c r="Y581" s="310">
        <f t="shared" si="198"/>
        <v>2704252</v>
      </c>
      <c r="Z581" s="350">
        <v>68</v>
      </c>
      <c r="AA581" s="351">
        <v>42999.647058823532</v>
      </c>
      <c r="AB581" s="313">
        <f t="shared" si="199"/>
        <v>2923976</v>
      </c>
      <c r="AC581" s="308"/>
      <c r="AD581" s="309"/>
      <c r="AE581" s="310">
        <f t="shared" si="200"/>
        <v>0</v>
      </c>
      <c r="AF581" s="350"/>
      <c r="AG581" s="351"/>
      <c r="AH581" s="313">
        <f t="shared" si="201"/>
        <v>0</v>
      </c>
      <c r="AI581" s="308"/>
      <c r="AJ581" s="309"/>
      <c r="AK581" s="310">
        <f t="shared" si="202"/>
        <v>0</v>
      </c>
      <c r="AL581" s="350"/>
      <c r="AM581" s="351"/>
      <c r="AN581" s="313">
        <f t="shared" si="203"/>
        <v>0</v>
      </c>
      <c r="AO581" s="308">
        <v>12</v>
      </c>
      <c r="AP581" s="309">
        <v>97750</v>
      </c>
      <c r="AQ581" s="310">
        <f t="shared" si="204"/>
        <v>959748.60000000009</v>
      </c>
      <c r="AR581" s="350">
        <v>12</v>
      </c>
      <c r="AS581" s="351">
        <v>104185.83333333333</v>
      </c>
      <c r="AT581" s="313">
        <f t="shared" si="205"/>
        <v>1022938.1860000001</v>
      </c>
      <c r="AU581" s="308">
        <v>10</v>
      </c>
      <c r="AV581" s="309">
        <v>90045</v>
      </c>
      <c r="AW581" s="310">
        <f t="shared" si="206"/>
        <v>736748.19000000006</v>
      </c>
      <c r="AX581" s="350">
        <v>10</v>
      </c>
      <c r="AY581" s="351">
        <v>83211.600000000006</v>
      </c>
      <c r="AZ581" s="313">
        <f t="shared" si="207"/>
        <v>680837.3112</v>
      </c>
      <c r="BA581" s="308">
        <v>1</v>
      </c>
      <c r="BB581" s="309">
        <v>90117</v>
      </c>
      <c r="BC581" s="310">
        <f t="shared" si="208"/>
        <v>73733.729399999997</v>
      </c>
      <c r="BD581" s="350">
        <v>3</v>
      </c>
      <c r="BE581" s="351">
        <v>85316.666666666672</v>
      </c>
      <c r="BF581" s="313">
        <f t="shared" si="209"/>
        <v>209418.29</v>
      </c>
      <c r="BG581" s="308">
        <v>3</v>
      </c>
      <c r="BH581" s="309">
        <v>60075</v>
      </c>
      <c r="BI581" s="310">
        <f t="shared" si="210"/>
        <v>147460.095</v>
      </c>
      <c r="BJ581" s="350">
        <v>5</v>
      </c>
      <c r="BK581" s="351">
        <v>65234.400000000001</v>
      </c>
      <c r="BL581" s="313">
        <f t="shared" si="211"/>
        <v>266873.93040000001</v>
      </c>
      <c r="BM581" s="308"/>
      <c r="BN581" s="309"/>
      <c r="BO581" s="310">
        <f t="shared" si="212"/>
        <v>0</v>
      </c>
      <c r="BP581" s="350"/>
      <c r="BQ581" s="351"/>
      <c r="BR581" s="313">
        <f t="shared" si="213"/>
        <v>0</v>
      </c>
      <c r="BS581" s="308"/>
      <c r="BT581" s="309"/>
      <c r="BU581" s="310">
        <f t="shared" si="214"/>
        <v>0</v>
      </c>
      <c r="BV581" s="350"/>
      <c r="BW581" s="351"/>
      <c r="BX581" s="313">
        <f t="shared" si="215"/>
        <v>0</v>
      </c>
      <c r="BY581" s="290"/>
    </row>
    <row r="582" spans="1:77">
      <c r="A582" s="346" t="s">
        <v>408</v>
      </c>
      <c r="B582" s="347" t="s">
        <v>146</v>
      </c>
      <c r="C582" s="348">
        <v>224545</v>
      </c>
      <c r="D582" s="349">
        <v>4</v>
      </c>
      <c r="E582" s="308">
        <v>19</v>
      </c>
      <c r="F582" s="309">
        <v>75226</v>
      </c>
      <c r="G582" s="310">
        <f t="shared" si="192"/>
        <v>1429294</v>
      </c>
      <c r="H582" s="350">
        <v>19</v>
      </c>
      <c r="I582" s="351">
        <v>78474.105263157893</v>
      </c>
      <c r="J582" s="313">
        <f t="shared" si="193"/>
        <v>1491008</v>
      </c>
      <c r="K582" s="308">
        <v>12</v>
      </c>
      <c r="L582" s="309">
        <v>58240</v>
      </c>
      <c r="M582" s="310">
        <f t="shared" si="194"/>
        <v>698880</v>
      </c>
      <c r="N582" s="350">
        <v>12</v>
      </c>
      <c r="O582" s="351">
        <v>59344.25</v>
      </c>
      <c r="P582" s="313">
        <f t="shared" si="195"/>
        <v>712131</v>
      </c>
      <c r="Q582" s="308">
        <v>17</v>
      </c>
      <c r="R582" s="309">
        <v>57120</v>
      </c>
      <c r="S582" s="310">
        <f t="shared" si="196"/>
        <v>971040</v>
      </c>
      <c r="T582" s="350">
        <v>20</v>
      </c>
      <c r="U582" s="351">
        <v>61953.2</v>
      </c>
      <c r="V582" s="313">
        <f t="shared" si="197"/>
        <v>1239064</v>
      </c>
      <c r="W582" s="308">
        <v>2</v>
      </c>
      <c r="X582" s="309">
        <v>46718</v>
      </c>
      <c r="Y582" s="310">
        <f t="shared" si="198"/>
        <v>93436</v>
      </c>
      <c r="Z582" s="350">
        <v>5</v>
      </c>
      <c r="AA582" s="351">
        <v>50040</v>
      </c>
      <c r="AB582" s="313">
        <f t="shared" si="199"/>
        <v>250200</v>
      </c>
      <c r="AC582" s="308">
        <v>4</v>
      </c>
      <c r="AD582" s="309">
        <v>46762</v>
      </c>
      <c r="AE582" s="310">
        <f t="shared" si="200"/>
        <v>187048</v>
      </c>
      <c r="AF582" s="350"/>
      <c r="AG582" s="351"/>
      <c r="AH582" s="313">
        <f t="shared" si="201"/>
        <v>0</v>
      </c>
      <c r="AI582" s="308"/>
      <c r="AJ582" s="309"/>
      <c r="AK582" s="310">
        <f t="shared" si="202"/>
        <v>0</v>
      </c>
      <c r="AL582" s="350"/>
      <c r="AM582" s="351"/>
      <c r="AN582" s="313">
        <f t="shared" si="203"/>
        <v>0</v>
      </c>
      <c r="AO582" s="308">
        <v>6</v>
      </c>
      <c r="AP582" s="309">
        <v>126071</v>
      </c>
      <c r="AQ582" s="310">
        <f t="shared" si="204"/>
        <v>618907.75320000004</v>
      </c>
      <c r="AR582" s="350">
        <v>7</v>
      </c>
      <c r="AS582" s="351">
        <v>140490.85714285713</v>
      </c>
      <c r="AT582" s="313">
        <f t="shared" si="205"/>
        <v>804647.33519999997</v>
      </c>
      <c r="AU582" s="308"/>
      <c r="AV582" s="309"/>
      <c r="AW582" s="310">
        <f t="shared" si="206"/>
        <v>0</v>
      </c>
      <c r="AX582" s="350">
        <v>1</v>
      </c>
      <c r="AY582" s="351">
        <v>86436</v>
      </c>
      <c r="AZ582" s="313">
        <f t="shared" si="207"/>
        <v>70721.935200000007</v>
      </c>
      <c r="BA582" s="308"/>
      <c r="BB582" s="309"/>
      <c r="BC582" s="310">
        <f t="shared" si="208"/>
        <v>0</v>
      </c>
      <c r="BD582" s="350">
        <v>1</v>
      </c>
      <c r="BE582" s="351">
        <v>85180</v>
      </c>
      <c r="BF582" s="313">
        <f t="shared" si="209"/>
        <v>69694.275999999998</v>
      </c>
      <c r="BG582" s="308"/>
      <c r="BH582" s="309"/>
      <c r="BI582" s="310">
        <f t="shared" si="210"/>
        <v>0</v>
      </c>
      <c r="BJ582" s="350"/>
      <c r="BK582" s="351"/>
      <c r="BL582" s="313">
        <f t="shared" si="211"/>
        <v>0</v>
      </c>
      <c r="BM582" s="308">
        <v>2</v>
      </c>
      <c r="BN582" s="309">
        <v>124169</v>
      </c>
      <c r="BO582" s="310">
        <f t="shared" si="212"/>
        <v>203190.15160000001</v>
      </c>
      <c r="BP582" s="350"/>
      <c r="BQ582" s="351"/>
      <c r="BR582" s="313">
        <f t="shared" si="213"/>
        <v>0</v>
      </c>
      <c r="BS582" s="308"/>
      <c r="BT582" s="309"/>
      <c r="BU582" s="310">
        <f t="shared" si="214"/>
        <v>0</v>
      </c>
      <c r="BV582" s="350"/>
      <c r="BW582" s="351"/>
      <c r="BX582" s="313">
        <f t="shared" si="215"/>
        <v>0</v>
      </c>
      <c r="BY582" s="290"/>
    </row>
    <row r="583" spans="1:77">
      <c r="A583" s="346" t="s">
        <v>408</v>
      </c>
      <c r="B583" s="376" t="s">
        <v>216</v>
      </c>
      <c r="C583" s="348">
        <v>226152</v>
      </c>
      <c r="D583" s="349">
        <v>4</v>
      </c>
      <c r="E583" s="308">
        <v>13</v>
      </c>
      <c r="F583" s="309">
        <v>77954</v>
      </c>
      <c r="G583" s="310">
        <f t="shared" si="192"/>
        <v>1013402</v>
      </c>
      <c r="H583" s="350">
        <v>15</v>
      </c>
      <c r="I583" s="351">
        <v>81600.733333333337</v>
      </c>
      <c r="J583" s="313">
        <f t="shared" si="193"/>
        <v>1224011</v>
      </c>
      <c r="K583" s="308">
        <v>46</v>
      </c>
      <c r="L583" s="309">
        <v>63682</v>
      </c>
      <c r="M583" s="310">
        <f t="shared" si="194"/>
        <v>2929372</v>
      </c>
      <c r="N583" s="350">
        <v>43</v>
      </c>
      <c r="O583" s="351">
        <v>65470.651162790695</v>
      </c>
      <c r="P583" s="313">
        <f t="shared" si="195"/>
        <v>2815238</v>
      </c>
      <c r="Q583" s="308">
        <v>73</v>
      </c>
      <c r="R583" s="309">
        <v>56023</v>
      </c>
      <c r="S583" s="310">
        <f t="shared" si="196"/>
        <v>4089679</v>
      </c>
      <c r="T583" s="350">
        <v>74</v>
      </c>
      <c r="U583" s="351">
        <v>59268.25675675676</v>
      </c>
      <c r="V583" s="313">
        <f t="shared" si="197"/>
        <v>4385851</v>
      </c>
      <c r="W583" s="308">
        <v>17</v>
      </c>
      <c r="X583" s="309">
        <v>41411</v>
      </c>
      <c r="Y583" s="310">
        <f t="shared" si="198"/>
        <v>703987</v>
      </c>
      <c r="Z583" s="350">
        <v>25</v>
      </c>
      <c r="AA583" s="351">
        <v>38812.68</v>
      </c>
      <c r="AB583" s="313">
        <f t="shared" si="199"/>
        <v>970317</v>
      </c>
      <c r="AC583" s="308">
        <v>3</v>
      </c>
      <c r="AD583" s="309">
        <v>30866</v>
      </c>
      <c r="AE583" s="310">
        <f t="shared" si="200"/>
        <v>92598</v>
      </c>
      <c r="AF583" s="350"/>
      <c r="AG583" s="351"/>
      <c r="AH583" s="313">
        <f t="shared" si="201"/>
        <v>0</v>
      </c>
      <c r="AI583" s="308"/>
      <c r="AJ583" s="309"/>
      <c r="AK583" s="310">
        <f t="shared" si="202"/>
        <v>0</v>
      </c>
      <c r="AL583" s="350"/>
      <c r="AM583" s="351"/>
      <c r="AN583" s="313">
        <f t="shared" si="203"/>
        <v>0</v>
      </c>
      <c r="AO583" s="308">
        <v>5</v>
      </c>
      <c r="AP583" s="309">
        <v>121340</v>
      </c>
      <c r="AQ583" s="310">
        <f t="shared" si="204"/>
        <v>496401.94</v>
      </c>
      <c r="AR583" s="350">
        <v>7</v>
      </c>
      <c r="AS583" s="351">
        <v>124360</v>
      </c>
      <c r="AT583" s="313">
        <f t="shared" si="205"/>
        <v>712259.46400000004</v>
      </c>
      <c r="AU583" s="308">
        <v>8</v>
      </c>
      <c r="AV583" s="309">
        <v>87781</v>
      </c>
      <c r="AW583" s="310">
        <f t="shared" si="206"/>
        <v>574579.31359999999</v>
      </c>
      <c r="AX583" s="350">
        <v>7</v>
      </c>
      <c r="AY583" s="351">
        <v>87527.142857142855</v>
      </c>
      <c r="AZ583" s="313">
        <f t="shared" si="207"/>
        <v>501302.95800000004</v>
      </c>
      <c r="BA583" s="308">
        <v>8</v>
      </c>
      <c r="BB583" s="309">
        <v>83238</v>
      </c>
      <c r="BC583" s="310">
        <f t="shared" si="208"/>
        <v>544842.65280000004</v>
      </c>
      <c r="BD583" s="350">
        <v>8</v>
      </c>
      <c r="BE583" s="351">
        <v>86478.125</v>
      </c>
      <c r="BF583" s="313">
        <f t="shared" si="209"/>
        <v>566051.21500000008</v>
      </c>
      <c r="BG583" s="308">
        <v>1</v>
      </c>
      <c r="BH583" s="309">
        <v>48592</v>
      </c>
      <c r="BI583" s="310">
        <f t="shared" si="210"/>
        <v>39757.974399999999</v>
      </c>
      <c r="BJ583" s="350">
        <v>1</v>
      </c>
      <c r="BK583" s="351">
        <v>49647</v>
      </c>
      <c r="BL583" s="313">
        <f t="shared" si="211"/>
        <v>40621.1754</v>
      </c>
      <c r="BM583" s="308"/>
      <c r="BN583" s="309"/>
      <c r="BO583" s="310">
        <f t="shared" si="212"/>
        <v>0</v>
      </c>
      <c r="BP583" s="350">
        <v>1</v>
      </c>
      <c r="BQ583" s="351">
        <v>37833.567999999999</v>
      </c>
      <c r="BR583" s="313">
        <f t="shared" si="213"/>
        <v>30955.425337600002</v>
      </c>
      <c r="BS583" s="308"/>
      <c r="BT583" s="309"/>
      <c r="BU583" s="310">
        <f t="shared" si="214"/>
        <v>0</v>
      </c>
      <c r="BV583" s="350"/>
      <c r="BW583" s="351"/>
      <c r="BX583" s="313">
        <f t="shared" si="215"/>
        <v>0</v>
      </c>
      <c r="BY583" s="290"/>
    </row>
    <row r="584" spans="1:77">
      <c r="A584" s="346" t="s">
        <v>408</v>
      </c>
      <c r="B584" s="376" t="s">
        <v>147</v>
      </c>
      <c r="C584" s="348">
        <v>227377</v>
      </c>
      <c r="D584" s="349">
        <v>4</v>
      </c>
      <c r="E584" s="308">
        <v>35</v>
      </c>
      <c r="F584" s="309">
        <v>72095</v>
      </c>
      <c r="G584" s="310">
        <f t="shared" si="192"/>
        <v>2523325</v>
      </c>
      <c r="H584" s="350">
        <v>40</v>
      </c>
      <c r="I584" s="351">
        <v>76061.25</v>
      </c>
      <c r="J584" s="313">
        <f t="shared" si="193"/>
        <v>3042450</v>
      </c>
      <c r="K584" s="308">
        <v>92</v>
      </c>
      <c r="L584" s="309">
        <v>61986</v>
      </c>
      <c r="M584" s="310">
        <f t="shared" si="194"/>
        <v>5702712</v>
      </c>
      <c r="N584" s="350">
        <v>90</v>
      </c>
      <c r="O584" s="351">
        <v>64896.588888888888</v>
      </c>
      <c r="P584" s="313">
        <f t="shared" si="195"/>
        <v>5840693</v>
      </c>
      <c r="Q584" s="308">
        <v>101</v>
      </c>
      <c r="R584" s="309">
        <v>55010</v>
      </c>
      <c r="S584" s="310">
        <f t="shared" si="196"/>
        <v>5556010</v>
      </c>
      <c r="T584" s="350">
        <v>98</v>
      </c>
      <c r="U584" s="351">
        <v>55962.581632653062</v>
      </c>
      <c r="V584" s="313">
        <f t="shared" si="197"/>
        <v>5484333</v>
      </c>
      <c r="W584" s="308">
        <v>51</v>
      </c>
      <c r="X584" s="309">
        <v>53447</v>
      </c>
      <c r="Y584" s="310">
        <f t="shared" si="198"/>
        <v>2725797</v>
      </c>
      <c r="Z584" s="350">
        <v>56</v>
      </c>
      <c r="AA584" s="351">
        <v>54486.696428571428</v>
      </c>
      <c r="AB584" s="313">
        <f t="shared" si="199"/>
        <v>3051255</v>
      </c>
      <c r="AC584" s="308">
        <v>55</v>
      </c>
      <c r="AD584" s="309">
        <v>41872</v>
      </c>
      <c r="AE584" s="310">
        <f t="shared" si="200"/>
        <v>2302960</v>
      </c>
      <c r="AF584" s="350">
        <v>63</v>
      </c>
      <c r="AG584" s="351">
        <v>44348.603174603173</v>
      </c>
      <c r="AH584" s="313">
        <f t="shared" si="201"/>
        <v>2793962</v>
      </c>
      <c r="AI584" s="308"/>
      <c r="AJ584" s="309"/>
      <c r="AK584" s="310">
        <f t="shared" si="202"/>
        <v>0</v>
      </c>
      <c r="AL584" s="350"/>
      <c r="AM584" s="351"/>
      <c r="AN584" s="313">
        <f t="shared" si="203"/>
        <v>0</v>
      </c>
      <c r="AO584" s="308">
        <v>1</v>
      </c>
      <c r="AP584" s="309">
        <v>126723</v>
      </c>
      <c r="AQ584" s="310">
        <f t="shared" si="204"/>
        <v>103684.7586</v>
      </c>
      <c r="AR584" s="350">
        <v>2</v>
      </c>
      <c r="AS584" s="351">
        <v>133262.5</v>
      </c>
      <c r="AT584" s="313">
        <f t="shared" si="205"/>
        <v>218070.755</v>
      </c>
      <c r="AU584" s="308">
        <v>4</v>
      </c>
      <c r="AV584" s="309">
        <v>76858</v>
      </c>
      <c r="AW584" s="310">
        <f t="shared" si="206"/>
        <v>251540.86240000001</v>
      </c>
      <c r="AX584" s="350">
        <v>4</v>
      </c>
      <c r="AY584" s="351">
        <v>81212.75</v>
      </c>
      <c r="AZ584" s="313">
        <f t="shared" si="207"/>
        <v>265793.0882</v>
      </c>
      <c r="BA584" s="308">
        <v>3</v>
      </c>
      <c r="BB584" s="309">
        <v>55517</v>
      </c>
      <c r="BC584" s="310">
        <f t="shared" si="208"/>
        <v>136272.0282</v>
      </c>
      <c r="BD584" s="350">
        <v>2</v>
      </c>
      <c r="BE584" s="351">
        <v>65238.5</v>
      </c>
      <c r="BF584" s="313">
        <f t="shared" si="209"/>
        <v>106756.28140000001</v>
      </c>
      <c r="BG584" s="308">
        <v>23</v>
      </c>
      <c r="BH584" s="309">
        <v>59836</v>
      </c>
      <c r="BI584" s="310">
        <f t="shared" si="210"/>
        <v>1126029.7496</v>
      </c>
      <c r="BJ584" s="350">
        <v>24</v>
      </c>
      <c r="BK584" s="351">
        <v>62714.875</v>
      </c>
      <c r="BL584" s="313">
        <f t="shared" si="211"/>
        <v>1231519.4574</v>
      </c>
      <c r="BM584" s="308">
        <v>11</v>
      </c>
      <c r="BN584" s="309">
        <v>49417</v>
      </c>
      <c r="BO584" s="310">
        <f t="shared" si="212"/>
        <v>444762.88340000005</v>
      </c>
      <c r="BP584" s="350">
        <v>12</v>
      </c>
      <c r="BQ584" s="351">
        <v>37666.996116666669</v>
      </c>
      <c r="BR584" s="313">
        <f t="shared" si="213"/>
        <v>369829.63467187999</v>
      </c>
      <c r="BS584" s="308"/>
      <c r="BT584" s="309"/>
      <c r="BU584" s="310">
        <f t="shared" si="214"/>
        <v>0</v>
      </c>
      <c r="BV584" s="350"/>
      <c r="BW584" s="351"/>
      <c r="BX584" s="313">
        <f t="shared" si="215"/>
        <v>0</v>
      </c>
      <c r="BY584" s="290"/>
    </row>
    <row r="585" spans="1:77">
      <c r="A585" s="346" t="s">
        <v>408</v>
      </c>
      <c r="B585" s="353" t="s">
        <v>148</v>
      </c>
      <c r="C585" s="346">
        <v>229018</v>
      </c>
      <c r="D585" s="346">
        <v>4</v>
      </c>
      <c r="E585" s="308">
        <v>18</v>
      </c>
      <c r="F585" s="309">
        <v>76924</v>
      </c>
      <c r="G585" s="310">
        <f t="shared" si="192"/>
        <v>1384632</v>
      </c>
      <c r="H585" s="350">
        <v>18</v>
      </c>
      <c r="I585" s="351">
        <v>79658.5</v>
      </c>
      <c r="J585" s="313">
        <f t="shared" si="193"/>
        <v>1433853</v>
      </c>
      <c r="K585" s="308">
        <v>32</v>
      </c>
      <c r="L585" s="309">
        <v>64418</v>
      </c>
      <c r="M585" s="310">
        <f t="shared" si="194"/>
        <v>2061376</v>
      </c>
      <c r="N585" s="350">
        <v>31</v>
      </c>
      <c r="O585" s="351">
        <v>66414.483870967742</v>
      </c>
      <c r="P585" s="313">
        <f t="shared" si="195"/>
        <v>2058849</v>
      </c>
      <c r="Q585" s="308">
        <v>40</v>
      </c>
      <c r="R585" s="309">
        <v>55621</v>
      </c>
      <c r="S585" s="310">
        <f t="shared" si="196"/>
        <v>2224840</v>
      </c>
      <c r="T585" s="350">
        <v>38</v>
      </c>
      <c r="U585" s="351">
        <v>57156.526315789473</v>
      </c>
      <c r="V585" s="313">
        <f t="shared" si="197"/>
        <v>2171948</v>
      </c>
      <c r="W585" s="308"/>
      <c r="X585" s="309"/>
      <c r="Y585" s="310">
        <f t="shared" si="198"/>
        <v>0</v>
      </c>
      <c r="Z585" s="350"/>
      <c r="AA585" s="351"/>
      <c r="AB585" s="313">
        <f t="shared" si="199"/>
        <v>0</v>
      </c>
      <c r="AC585" s="308">
        <v>27</v>
      </c>
      <c r="AD585" s="309">
        <v>42424</v>
      </c>
      <c r="AE585" s="310">
        <f t="shared" si="200"/>
        <v>1145448</v>
      </c>
      <c r="AF585" s="350">
        <v>29</v>
      </c>
      <c r="AG585" s="351">
        <v>44245.172413793101</v>
      </c>
      <c r="AH585" s="313">
        <f t="shared" si="201"/>
        <v>1283110</v>
      </c>
      <c r="AI585" s="308"/>
      <c r="AJ585" s="309"/>
      <c r="AK585" s="310">
        <f t="shared" si="202"/>
        <v>0</v>
      </c>
      <c r="AL585" s="350"/>
      <c r="AM585" s="351"/>
      <c r="AN585" s="313">
        <f t="shared" si="203"/>
        <v>0</v>
      </c>
      <c r="AO585" s="308"/>
      <c r="AP585" s="309"/>
      <c r="AQ585" s="310">
        <f t="shared" si="204"/>
        <v>0</v>
      </c>
      <c r="AR585" s="350"/>
      <c r="AS585" s="351"/>
      <c r="AT585" s="313">
        <f t="shared" si="205"/>
        <v>0</v>
      </c>
      <c r="AU585" s="308"/>
      <c r="AV585" s="309"/>
      <c r="AW585" s="310">
        <f t="shared" si="206"/>
        <v>0</v>
      </c>
      <c r="AX585" s="350"/>
      <c r="AY585" s="351"/>
      <c r="AZ585" s="313">
        <f t="shared" si="207"/>
        <v>0</v>
      </c>
      <c r="BA585" s="308"/>
      <c r="BB585" s="309"/>
      <c r="BC585" s="310">
        <f t="shared" si="208"/>
        <v>0</v>
      </c>
      <c r="BD585" s="350"/>
      <c r="BE585" s="351"/>
      <c r="BF585" s="313">
        <f t="shared" si="209"/>
        <v>0</v>
      </c>
      <c r="BG585" s="308"/>
      <c r="BH585" s="309"/>
      <c r="BI585" s="310">
        <f t="shared" si="210"/>
        <v>0</v>
      </c>
      <c r="BJ585" s="350"/>
      <c r="BK585" s="351"/>
      <c r="BL585" s="313">
        <f t="shared" si="211"/>
        <v>0</v>
      </c>
      <c r="BM585" s="308"/>
      <c r="BN585" s="309"/>
      <c r="BO585" s="310">
        <f t="shared" si="212"/>
        <v>0</v>
      </c>
      <c r="BP585" s="350"/>
      <c r="BQ585" s="351"/>
      <c r="BR585" s="313">
        <f t="shared" si="213"/>
        <v>0</v>
      </c>
      <c r="BS585" s="308"/>
      <c r="BT585" s="309"/>
      <c r="BU585" s="310">
        <f t="shared" si="214"/>
        <v>0</v>
      </c>
      <c r="BV585" s="350"/>
      <c r="BW585" s="351"/>
      <c r="BX585" s="313">
        <f t="shared" si="215"/>
        <v>0</v>
      </c>
      <c r="BY585" s="290"/>
    </row>
    <row r="586" spans="1:77">
      <c r="A586" s="346" t="s">
        <v>408</v>
      </c>
      <c r="B586" s="347" t="s">
        <v>149</v>
      </c>
      <c r="C586" s="348">
        <v>227924</v>
      </c>
      <c r="D586" s="349">
        <v>5</v>
      </c>
      <c r="E586" s="308"/>
      <c r="F586" s="309"/>
      <c r="G586" s="310">
        <f t="shared" ref="G586:G649" si="216">E586*F586</f>
        <v>0</v>
      </c>
      <c r="H586" s="350"/>
      <c r="I586" s="351"/>
      <c r="J586" s="313">
        <f t="shared" ref="J586:J649" si="217">H586*I586</f>
        <v>0</v>
      </c>
      <c r="K586" s="308"/>
      <c r="L586" s="309"/>
      <c r="M586" s="310">
        <f t="shared" ref="M586:M649" si="218">K586*L586</f>
        <v>0</v>
      </c>
      <c r="N586" s="350"/>
      <c r="O586" s="351"/>
      <c r="P586" s="313">
        <f t="shared" ref="P586:P649" si="219">N586*O586</f>
        <v>0</v>
      </c>
      <c r="Q586" s="308"/>
      <c r="R586" s="309"/>
      <c r="S586" s="310">
        <f t="shared" ref="S586:S649" si="220">Q586*R586</f>
        <v>0</v>
      </c>
      <c r="T586" s="350"/>
      <c r="U586" s="351"/>
      <c r="V586" s="313">
        <f t="shared" ref="V586:V649" si="221">T586*U586</f>
        <v>0</v>
      </c>
      <c r="W586" s="308"/>
      <c r="X586" s="309"/>
      <c r="Y586" s="310">
        <f t="shared" ref="Y586:Y649" si="222">W586*X586</f>
        <v>0</v>
      </c>
      <c r="Z586" s="350"/>
      <c r="AA586" s="351"/>
      <c r="AB586" s="313">
        <f t="shared" ref="AB586:AB649" si="223">Z586*AA586</f>
        <v>0</v>
      </c>
      <c r="AC586" s="308"/>
      <c r="AD586" s="309"/>
      <c r="AE586" s="310">
        <f t="shared" ref="AE586:AE649" si="224">AC586*AD586</f>
        <v>0</v>
      </c>
      <c r="AF586" s="350"/>
      <c r="AG586" s="351"/>
      <c r="AH586" s="313">
        <f t="shared" ref="AH586:AH649" si="225">AF586*AG586</f>
        <v>0</v>
      </c>
      <c r="AI586" s="308"/>
      <c r="AJ586" s="309"/>
      <c r="AK586" s="310">
        <f t="shared" ref="AK586:AK649" si="226">AI586*AJ586</f>
        <v>0</v>
      </c>
      <c r="AL586" s="350"/>
      <c r="AM586" s="351"/>
      <c r="AN586" s="313">
        <f t="shared" ref="AN586:AN649" si="227">AL586*AM586</f>
        <v>0</v>
      </c>
      <c r="AO586" s="308"/>
      <c r="AP586" s="309"/>
      <c r="AQ586" s="310">
        <f t="shared" ref="AQ586:AQ649" si="228">(AO586*AP586)*0.8182</f>
        <v>0</v>
      </c>
      <c r="AR586" s="350"/>
      <c r="AS586" s="351"/>
      <c r="AT586" s="313">
        <f t="shared" ref="AT586:AT649" si="229">(AR586*AS586)*0.8182</f>
        <v>0</v>
      </c>
      <c r="AU586" s="308"/>
      <c r="AV586" s="309"/>
      <c r="AW586" s="310">
        <f t="shared" ref="AW586:AW649" si="230">(AU586*AV586)*0.8182</f>
        <v>0</v>
      </c>
      <c r="AX586" s="350"/>
      <c r="AY586" s="351"/>
      <c r="AZ586" s="313">
        <f t="shared" ref="AZ586:AZ649" si="231">(AX586*AY586)*0.8182</f>
        <v>0</v>
      </c>
      <c r="BA586" s="308"/>
      <c r="BB586" s="309"/>
      <c r="BC586" s="310">
        <f t="shared" ref="BC586:BC649" si="232">(BA586*BB586)*0.8182</f>
        <v>0</v>
      </c>
      <c r="BD586" s="350"/>
      <c r="BE586" s="351"/>
      <c r="BF586" s="313">
        <f t="shared" ref="BF586:BF649" si="233">(BD586*BE586)*0.8182</f>
        <v>0</v>
      </c>
      <c r="BG586" s="308"/>
      <c r="BH586" s="309"/>
      <c r="BI586" s="310">
        <f t="shared" ref="BI586:BI649" si="234">(BG586*BH586)*0.8182</f>
        <v>0</v>
      </c>
      <c r="BJ586" s="350"/>
      <c r="BK586" s="351"/>
      <c r="BL586" s="313">
        <f t="shared" ref="BL586:BL649" si="235">(BJ586*BK586)*0.8182</f>
        <v>0</v>
      </c>
      <c r="BM586" s="308"/>
      <c r="BN586" s="309"/>
      <c r="BO586" s="310">
        <f t="shared" ref="BO586:BO649" si="236">(BM586*BN586)*0.8182</f>
        <v>0</v>
      </c>
      <c r="BP586" s="350"/>
      <c r="BQ586" s="351"/>
      <c r="BR586" s="313">
        <f t="shared" ref="BR586:BR649" si="237">(BP586*BQ586)*0.8182</f>
        <v>0</v>
      </c>
      <c r="BS586" s="308"/>
      <c r="BT586" s="309"/>
      <c r="BU586" s="310">
        <f t="shared" ref="BU586:BU649" si="238">(BS586*BT586)*0.8182</f>
        <v>0</v>
      </c>
      <c r="BV586" s="350"/>
      <c r="BW586" s="351"/>
      <c r="BX586" s="313">
        <f t="shared" ref="BX586:BX649" si="239">(BV586*BW586)*0.8182</f>
        <v>0</v>
      </c>
      <c r="BY586" s="290"/>
    </row>
    <row r="587" spans="1:77">
      <c r="A587" s="346" t="s">
        <v>408</v>
      </c>
      <c r="B587" s="352" t="s">
        <v>150</v>
      </c>
      <c r="C587" s="346">
        <v>225432</v>
      </c>
      <c r="D587" s="346">
        <v>5</v>
      </c>
      <c r="E587" s="308">
        <v>34</v>
      </c>
      <c r="F587" s="309">
        <v>81464</v>
      </c>
      <c r="G587" s="310">
        <f t="shared" si="216"/>
        <v>2769776</v>
      </c>
      <c r="H587" s="350">
        <v>41</v>
      </c>
      <c r="I587" s="351">
        <v>84728.682926829264</v>
      </c>
      <c r="J587" s="313">
        <f t="shared" si="217"/>
        <v>3473876</v>
      </c>
      <c r="K587" s="308">
        <v>74</v>
      </c>
      <c r="L587" s="309">
        <v>65213</v>
      </c>
      <c r="M587" s="310">
        <f t="shared" si="218"/>
        <v>4825762</v>
      </c>
      <c r="N587" s="350">
        <v>83</v>
      </c>
      <c r="O587" s="351">
        <v>67934.313253012049</v>
      </c>
      <c r="P587" s="313">
        <f t="shared" si="219"/>
        <v>5638548</v>
      </c>
      <c r="Q587" s="308">
        <v>92</v>
      </c>
      <c r="R587" s="309">
        <v>54302</v>
      </c>
      <c r="S587" s="310">
        <f t="shared" si="220"/>
        <v>4995784</v>
      </c>
      <c r="T587" s="350">
        <v>88</v>
      </c>
      <c r="U587" s="351">
        <v>56622.625</v>
      </c>
      <c r="V587" s="313">
        <f t="shared" si="221"/>
        <v>4982791</v>
      </c>
      <c r="W587" s="308">
        <v>9</v>
      </c>
      <c r="X587" s="309">
        <v>47360</v>
      </c>
      <c r="Y587" s="310">
        <f t="shared" si="222"/>
        <v>426240</v>
      </c>
      <c r="Z587" s="350">
        <v>3</v>
      </c>
      <c r="AA587" s="351">
        <v>58056.333333333336</v>
      </c>
      <c r="AB587" s="313">
        <f t="shared" si="223"/>
        <v>174169</v>
      </c>
      <c r="AC587" s="308">
        <v>58</v>
      </c>
      <c r="AD587" s="309">
        <v>43999</v>
      </c>
      <c r="AE587" s="310">
        <f t="shared" si="224"/>
        <v>2551942</v>
      </c>
      <c r="AF587" s="350">
        <v>52</v>
      </c>
      <c r="AG587" s="351">
        <v>44969.211538461539</v>
      </c>
      <c r="AH587" s="313">
        <f t="shared" si="225"/>
        <v>2338399</v>
      </c>
      <c r="AI587" s="308"/>
      <c r="AJ587" s="309"/>
      <c r="AK587" s="310">
        <f t="shared" si="226"/>
        <v>0</v>
      </c>
      <c r="AL587" s="350"/>
      <c r="AM587" s="351"/>
      <c r="AN587" s="313">
        <f t="shared" si="227"/>
        <v>0</v>
      </c>
      <c r="AO587" s="308">
        <v>4</v>
      </c>
      <c r="AP587" s="309">
        <v>105720</v>
      </c>
      <c r="AQ587" s="310">
        <f t="shared" si="228"/>
        <v>346000.41600000003</v>
      </c>
      <c r="AR587" s="350">
        <v>4</v>
      </c>
      <c r="AS587" s="351">
        <v>105959.25</v>
      </c>
      <c r="AT587" s="313">
        <f t="shared" si="229"/>
        <v>346783.43340000004</v>
      </c>
      <c r="AU587" s="308">
        <v>7</v>
      </c>
      <c r="AV587" s="309">
        <v>89014</v>
      </c>
      <c r="AW587" s="310">
        <f t="shared" si="230"/>
        <v>509818.78360000002</v>
      </c>
      <c r="AX587" s="350">
        <v>7</v>
      </c>
      <c r="AY587" s="351">
        <v>93037.571428571435</v>
      </c>
      <c r="AZ587" s="313">
        <f t="shared" si="231"/>
        <v>532863.38659999997</v>
      </c>
      <c r="BA587" s="308"/>
      <c r="BB587" s="309"/>
      <c r="BC587" s="310">
        <f t="shared" si="232"/>
        <v>0</v>
      </c>
      <c r="BD587" s="350"/>
      <c r="BE587" s="351"/>
      <c r="BF587" s="313">
        <f t="shared" si="233"/>
        <v>0</v>
      </c>
      <c r="BG587" s="308"/>
      <c r="BH587" s="309"/>
      <c r="BI587" s="310">
        <f t="shared" si="234"/>
        <v>0</v>
      </c>
      <c r="BJ587" s="350"/>
      <c r="BK587" s="351"/>
      <c r="BL587" s="313">
        <f t="shared" si="235"/>
        <v>0</v>
      </c>
      <c r="BM587" s="308">
        <v>3</v>
      </c>
      <c r="BN587" s="309">
        <v>52227</v>
      </c>
      <c r="BO587" s="310">
        <f t="shared" si="236"/>
        <v>128196.39420000001</v>
      </c>
      <c r="BP587" s="350">
        <v>3</v>
      </c>
      <c r="BQ587" s="351">
        <v>54496.333333333336</v>
      </c>
      <c r="BR587" s="313">
        <f t="shared" si="237"/>
        <v>133766.6998</v>
      </c>
      <c r="BS587" s="308"/>
      <c r="BT587" s="309"/>
      <c r="BU587" s="310">
        <f t="shared" si="238"/>
        <v>0</v>
      </c>
      <c r="BV587" s="350"/>
      <c r="BW587" s="351"/>
      <c r="BX587" s="313">
        <f t="shared" si="239"/>
        <v>0</v>
      </c>
      <c r="BY587" s="290"/>
    </row>
    <row r="588" spans="1:77">
      <c r="A588" s="346" t="s">
        <v>408</v>
      </c>
      <c r="B588" s="376" t="s">
        <v>151</v>
      </c>
      <c r="C588" s="348">
        <v>225502</v>
      </c>
      <c r="D588" s="349">
        <v>5</v>
      </c>
      <c r="E588" s="308">
        <v>16</v>
      </c>
      <c r="F588" s="309">
        <v>84500</v>
      </c>
      <c r="G588" s="310">
        <f t="shared" si="216"/>
        <v>1352000</v>
      </c>
      <c r="H588" s="350">
        <v>17</v>
      </c>
      <c r="I588" s="351">
        <v>86953.176470588238</v>
      </c>
      <c r="J588" s="313">
        <f t="shared" si="217"/>
        <v>1478204</v>
      </c>
      <c r="K588" s="308">
        <v>26</v>
      </c>
      <c r="L588" s="309">
        <v>71856</v>
      </c>
      <c r="M588" s="310">
        <f t="shared" si="218"/>
        <v>1868256</v>
      </c>
      <c r="N588" s="350">
        <v>26</v>
      </c>
      <c r="O588" s="351">
        <v>73849.423076923078</v>
      </c>
      <c r="P588" s="313">
        <f t="shared" si="219"/>
        <v>1920085</v>
      </c>
      <c r="Q588" s="308">
        <v>30</v>
      </c>
      <c r="R588" s="309">
        <v>63489</v>
      </c>
      <c r="S588" s="310">
        <f t="shared" si="220"/>
        <v>1904670</v>
      </c>
      <c r="T588" s="350">
        <v>35</v>
      </c>
      <c r="U588" s="351">
        <v>64533.885714285716</v>
      </c>
      <c r="V588" s="313">
        <f t="shared" si="221"/>
        <v>2258686</v>
      </c>
      <c r="W588" s="308">
        <v>1</v>
      </c>
      <c r="X588" s="309">
        <v>33000</v>
      </c>
      <c r="Y588" s="310">
        <f t="shared" si="222"/>
        <v>33000</v>
      </c>
      <c r="Z588" s="350">
        <v>3</v>
      </c>
      <c r="AA588" s="351">
        <v>38900</v>
      </c>
      <c r="AB588" s="313">
        <f t="shared" si="223"/>
        <v>116700</v>
      </c>
      <c r="AC588" s="308">
        <v>4</v>
      </c>
      <c r="AD588" s="309">
        <v>66500</v>
      </c>
      <c r="AE588" s="310">
        <f t="shared" si="224"/>
        <v>266000</v>
      </c>
      <c r="AF588" s="350">
        <v>3</v>
      </c>
      <c r="AG588" s="351">
        <v>53047</v>
      </c>
      <c r="AH588" s="313">
        <f t="shared" si="225"/>
        <v>159141</v>
      </c>
      <c r="AI588" s="308"/>
      <c r="AJ588" s="309"/>
      <c r="AK588" s="310">
        <f t="shared" si="226"/>
        <v>0</v>
      </c>
      <c r="AL588" s="350"/>
      <c r="AM588" s="351"/>
      <c r="AN588" s="313">
        <f t="shared" si="227"/>
        <v>0</v>
      </c>
      <c r="AO588" s="308">
        <v>2</v>
      </c>
      <c r="AP588" s="309">
        <v>129916</v>
      </c>
      <c r="AQ588" s="310">
        <f t="shared" si="228"/>
        <v>212594.54240000001</v>
      </c>
      <c r="AR588" s="350">
        <v>2</v>
      </c>
      <c r="AS588" s="351">
        <v>121952.5</v>
      </c>
      <c r="AT588" s="313">
        <f t="shared" si="229"/>
        <v>199563.071</v>
      </c>
      <c r="AU588" s="308">
        <v>2</v>
      </c>
      <c r="AV588" s="309">
        <v>125867</v>
      </c>
      <c r="AW588" s="310">
        <f t="shared" si="230"/>
        <v>205968.75880000001</v>
      </c>
      <c r="AX588" s="350">
        <v>2</v>
      </c>
      <c r="AY588" s="351">
        <v>123472</v>
      </c>
      <c r="AZ588" s="313">
        <f t="shared" si="231"/>
        <v>202049.5808</v>
      </c>
      <c r="BA588" s="308"/>
      <c r="BB588" s="309"/>
      <c r="BC588" s="310">
        <f t="shared" si="232"/>
        <v>0</v>
      </c>
      <c r="BD588" s="350"/>
      <c r="BE588" s="351"/>
      <c r="BF588" s="313">
        <f t="shared" si="233"/>
        <v>0</v>
      </c>
      <c r="BG588" s="308"/>
      <c r="BH588" s="309"/>
      <c r="BI588" s="310">
        <f t="shared" si="234"/>
        <v>0</v>
      </c>
      <c r="BJ588" s="350"/>
      <c r="BK588" s="351"/>
      <c r="BL588" s="313">
        <f t="shared" si="235"/>
        <v>0</v>
      </c>
      <c r="BM588" s="308"/>
      <c r="BN588" s="309"/>
      <c r="BO588" s="310">
        <f t="shared" si="236"/>
        <v>0</v>
      </c>
      <c r="BP588" s="350"/>
      <c r="BQ588" s="351"/>
      <c r="BR588" s="313">
        <f t="shared" si="237"/>
        <v>0</v>
      </c>
      <c r="BS588" s="308"/>
      <c r="BT588" s="309"/>
      <c r="BU588" s="310">
        <f t="shared" si="238"/>
        <v>0</v>
      </c>
      <c r="BV588" s="350"/>
      <c r="BW588" s="351"/>
      <c r="BX588" s="313">
        <f t="shared" si="239"/>
        <v>0</v>
      </c>
      <c r="BY588" s="290"/>
    </row>
    <row r="589" spans="1:77">
      <c r="A589" s="346" t="s">
        <v>408</v>
      </c>
      <c r="B589" s="347" t="s">
        <v>152</v>
      </c>
      <c r="C589" s="348">
        <v>228714</v>
      </c>
      <c r="D589" s="349">
        <v>6</v>
      </c>
      <c r="E589" s="308">
        <v>16</v>
      </c>
      <c r="F589" s="309">
        <v>87073</v>
      </c>
      <c r="G589" s="310">
        <f t="shared" si="216"/>
        <v>1393168</v>
      </c>
      <c r="H589" s="350">
        <v>16</v>
      </c>
      <c r="I589" s="351">
        <v>87199.25</v>
      </c>
      <c r="J589" s="313">
        <f t="shared" si="217"/>
        <v>1395188</v>
      </c>
      <c r="K589" s="308">
        <v>15</v>
      </c>
      <c r="L589" s="309">
        <v>62395</v>
      </c>
      <c r="M589" s="310">
        <f t="shared" si="218"/>
        <v>935925</v>
      </c>
      <c r="N589" s="350">
        <v>15</v>
      </c>
      <c r="O589" s="351">
        <v>62401.466666666667</v>
      </c>
      <c r="P589" s="313">
        <f t="shared" si="219"/>
        <v>936022</v>
      </c>
      <c r="Q589" s="308">
        <v>12</v>
      </c>
      <c r="R589" s="309">
        <v>56533</v>
      </c>
      <c r="S589" s="310">
        <f t="shared" si="220"/>
        <v>678396</v>
      </c>
      <c r="T589" s="350">
        <v>13</v>
      </c>
      <c r="U589" s="351">
        <v>57889.769230769234</v>
      </c>
      <c r="V589" s="313">
        <f t="shared" si="221"/>
        <v>752567</v>
      </c>
      <c r="W589" s="308"/>
      <c r="X589" s="309"/>
      <c r="Y589" s="310">
        <f t="shared" si="222"/>
        <v>0</v>
      </c>
      <c r="Z589" s="350"/>
      <c r="AA589" s="351"/>
      <c r="AB589" s="313">
        <f t="shared" si="223"/>
        <v>0</v>
      </c>
      <c r="AC589" s="308">
        <v>26</v>
      </c>
      <c r="AD589" s="309">
        <v>45104</v>
      </c>
      <c r="AE589" s="310">
        <f t="shared" si="224"/>
        <v>1172704</v>
      </c>
      <c r="AF589" s="350">
        <v>26</v>
      </c>
      <c r="AG589" s="351">
        <v>45010.961538461539</v>
      </c>
      <c r="AH589" s="313">
        <f t="shared" si="225"/>
        <v>1170285</v>
      </c>
      <c r="AI589" s="308"/>
      <c r="AJ589" s="309"/>
      <c r="AK589" s="310">
        <f t="shared" si="226"/>
        <v>0</v>
      </c>
      <c r="AL589" s="350"/>
      <c r="AM589" s="351"/>
      <c r="AN589" s="313">
        <f t="shared" si="227"/>
        <v>0</v>
      </c>
      <c r="AO589" s="308">
        <v>7</v>
      </c>
      <c r="AP589" s="309">
        <v>131434</v>
      </c>
      <c r="AQ589" s="310">
        <f t="shared" si="228"/>
        <v>752775.09160000004</v>
      </c>
      <c r="AR589" s="350">
        <v>7</v>
      </c>
      <c r="AS589" s="351">
        <v>131433.85714285713</v>
      </c>
      <c r="AT589" s="313">
        <f t="shared" si="229"/>
        <v>752774.27339999995</v>
      </c>
      <c r="AU589" s="308"/>
      <c r="AV589" s="309"/>
      <c r="AW589" s="310">
        <f t="shared" si="230"/>
        <v>0</v>
      </c>
      <c r="AX589" s="350"/>
      <c r="AY589" s="351"/>
      <c r="AZ589" s="313">
        <f t="shared" si="231"/>
        <v>0</v>
      </c>
      <c r="BA589" s="308"/>
      <c r="BB589" s="309"/>
      <c r="BC589" s="310">
        <f t="shared" si="232"/>
        <v>0</v>
      </c>
      <c r="BD589" s="350"/>
      <c r="BE589" s="351"/>
      <c r="BF589" s="313">
        <f t="shared" si="233"/>
        <v>0</v>
      </c>
      <c r="BG589" s="308"/>
      <c r="BH589" s="309"/>
      <c r="BI589" s="310">
        <f t="shared" si="234"/>
        <v>0</v>
      </c>
      <c r="BJ589" s="350"/>
      <c r="BK589" s="351"/>
      <c r="BL589" s="313">
        <f t="shared" si="235"/>
        <v>0</v>
      </c>
      <c r="BM589" s="308">
        <v>13</v>
      </c>
      <c r="BN589" s="309">
        <v>59517</v>
      </c>
      <c r="BO589" s="310">
        <f t="shared" si="236"/>
        <v>633058.52220000001</v>
      </c>
      <c r="BP589" s="350">
        <v>16</v>
      </c>
      <c r="BQ589" s="351">
        <v>56708.4375</v>
      </c>
      <c r="BR589" s="313">
        <f t="shared" si="237"/>
        <v>742381.49700000009</v>
      </c>
      <c r="BS589" s="308"/>
      <c r="BT589" s="309"/>
      <c r="BU589" s="310">
        <f t="shared" si="238"/>
        <v>0</v>
      </c>
      <c r="BV589" s="350"/>
      <c r="BW589" s="351"/>
      <c r="BX589" s="313">
        <f t="shared" si="239"/>
        <v>0</v>
      </c>
      <c r="BY589" s="290"/>
    </row>
    <row r="590" spans="1:77">
      <c r="A590" s="346" t="s">
        <v>408</v>
      </c>
      <c r="B590" s="347" t="s">
        <v>153</v>
      </c>
      <c r="C590" s="348">
        <v>222576</v>
      </c>
      <c r="D590" s="349">
        <v>8</v>
      </c>
      <c r="E590" s="308">
        <v>30</v>
      </c>
      <c r="F590" s="309">
        <v>59058</v>
      </c>
      <c r="G590" s="310">
        <f t="shared" si="216"/>
        <v>1771740</v>
      </c>
      <c r="H590" s="350">
        <v>32</v>
      </c>
      <c r="I590" s="351">
        <v>59551.9375</v>
      </c>
      <c r="J590" s="313">
        <f t="shared" si="217"/>
        <v>1905662</v>
      </c>
      <c r="K590" s="308">
        <v>24</v>
      </c>
      <c r="L590" s="309">
        <v>52985</v>
      </c>
      <c r="M590" s="310">
        <f t="shared" si="218"/>
        <v>1271640</v>
      </c>
      <c r="N590" s="350">
        <v>22</v>
      </c>
      <c r="O590" s="351">
        <v>52809.181818181816</v>
      </c>
      <c r="P590" s="313">
        <f t="shared" si="219"/>
        <v>1161802</v>
      </c>
      <c r="Q590" s="308">
        <v>26</v>
      </c>
      <c r="R590" s="309">
        <v>49180</v>
      </c>
      <c r="S590" s="310">
        <f t="shared" si="220"/>
        <v>1278680</v>
      </c>
      <c r="T590" s="350">
        <v>20</v>
      </c>
      <c r="U590" s="351">
        <v>50108.5</v>
      </c>
      <c r="V590" s="313">
        <f t="shared" si="221"/>
        <v>1002170</v>
      </c>
      <c r="W590" s="308">
        <v>101</v>
      </c>
      <c r="X590" s="309">
        <v>42774</v>
      </c>
      <c r="Y590" s="310">
        <f t="shared" si="222"/>
        <v>4320174</v>
      </c>
      <c r="Z590" s="350">
        <v>106</v>
      </c>
      <c r="AA590" s="351">
        <v>43670.990566037734</v>
      </c>
      <c r="AB590" s="313">
        <f t="shared" si="223"/>
        <v>4629125</v>
      </c>
      <c r="AC590" s="308"/>
      <c r="AD590" s="309"/>
      <c r="AE590" s="310">
        <f t="shared" si="224"/>
        <v>0</v>
      </c>
      <c r="AF590" s="350"/>
      <c r="AG590" s="351"/>
      <c r="AH590" s="313">
        <f t="shared" si="225"/>
        <v>0</v>
      </c>
      <c r="AI590" s="308"/>
      <c r="AJ590" s="309"/>
      <c r="AK590" s="310">
        <f t="shared" si="226"/>
        <v>0</v>
      </c>
      <c r="AL590" s="350"/>
      <c r="AM590" s="351"/>
      <c r="AN590" s="313">
        <f t="shared" si="227"/>
        <v>0</v>
      </c>
      <c r="AO590" s="308">
        <v>10</v>
      </c>
      <c r="AP590" s="309">
        <v>72371</v>
      </c>
      <c r="AQ590" s="310">
        <f t="shared" si="228"/>
        <v>592139.522</v>
      </c>
      <c r="AR590" s="350">
        <v>7</v>
      </c>
      <c r="AS590" s="351">
        <v>75222.571428571435</v>
      </c>
      <c r="AT590" s="313">
        <f t="shared" si="229"/>
        <v>430829.75560000003</v>
      </c>
      <c r="AU590" s="308">
        <v>4</v>
      </c>
      <c r="AV590" s="309">
        <v>62427</v>
      </c>
      <c r="AW590" s="310">
        <f t="shared" si="230"/>
        <v>204311.08560000002</v>
      </c>
      <c r="AX590" s="350">
        <v>6</v>
      </c>
      <c r="AY590" s="351">
        <v>62338</v>
      </c>
      <c r="AZ590" s="313">
        <f t="shared" si="231"/>
        <v>306029.7096</v>
      </c>
      <c r="BA590" s="308">
        <v>7</v>
      </c>
      <c r="BB590" s="309">
        <v>66293</v>
      </c>
      <c r="BC590" s="310">
        <f t="shared" si="232"/>
        <v>379686.5282</v>
      </c>
      <c r="BD590" s="350">
        <v>11</v>
      </c>
      <c r="BE590" s="351">
        <v>63925.36363636364</v>
      </c>
      <c r="BF590" s="313">
        <f t="shared" si="233"/>
        <v>575341.05780000007</v>
      </c>
      <c r="BG590" s="308">
        <v>23</v>
      </c>
      <c r="BH590" s="309">
        <v>56000</v>
      </c>
      <c r="BI590" s="310">
        <f t="shared" si="234"/>
        <v>1053841.6000000001</v>
      </c>
      <c r="BJ590" s="350">
        <v>24</v>
      </c>
      <c r="BK590" s="351">
        <v>55585.375</v>
      </c>
      <c r="BL590" s="313">
        <f t="shared" si="235"/>
        <v>1091518.8918000001</v>
      </c>
      <c r="BM590" s="308"/>
      <c r="BN590" s="309"/>
      <c r="BO590" s="310">
        <f t="shared" si="236"/>
        <v>0</v>
      </c>
      <c r="BP590" s="350"/>
      <c r="BQ590" s="351"/>
      <c r="BR590" s="313">
        <f t="shared" si="237"/>
        <v>0</v>
      </c>
      <c r="BS590" s="308"/>
      <c r="BT590" s="309"/>
      <c r="BU590" s="310">
        <f t="shared" si="238"/>
        <v>0</v>
      </c>
      <c r="BV590" s="350"/>
      <c r="BW590" s="351"/>
      <c r="BX590" s="313">
        <f t="shared" si="239"/>
        <v>0</v>
      </c>
      <c r="BY590" s="290"/>
    </row>
    <row r="591" spans="1:77">
      <c r="A591" s="346" t="s">
        <v>408</v>
      </c>
      <c r="B591" s="347" t="s">
        <v>154</v>
      </c>
      <c r="C591" s="348">
        <v>222992</v>
      </c>
      <c r="D591" s="349">
        <v>8</v>
      </c>
      <c r="E591" s="308">
        <v>32</v>
      </c>
      <c r="F591" s="309">
        <v>65509</v>
      </c>
      <c r="G591" s="310">
        <f t="shared" si="216"/>
        <v>2096288</v>
      </c>
      <c r="H591" s="350">
        <v>35</v>
      </c>
      <c r="I591" s="351">
        <v>67985.114285714284</v>
      </c>
      <c r="J591" s="313">
        <f t="shared" si="217"/>
        <v>2379479</v>
      </c>
      <c r="K591" s="308">
        <v>21</v>
      </c>
      <c r="L591" s="309">
        <v>52385</v>
      </c>
      <c r="M591" s="310">
        <f t="shared" si="218"/>
        <v>1100085</v>
      </c>
      <c r="N591" s="350">
        <v>18</v>
      </c>
      <c r="O591" s="351">
        <v>58573</v>
      </c>
      <c r="P591" s="313">
        <f t="shared" si="219"/>
        <v>1054314</v>
      </c>
      <c r="Q591" s="308">
        <v>8</v>
      </c>
      <c r="R591" s="309">
        <v>44084</v>
      </c>
      <c r="S591" s="310">
        <f t="shared" si="220"/>
        <v>352672</v>
      </c>
      <c r="T591" s="350">
        <v>7</v>
      </c>
      <c r="U591" s="351">
        <v>44220.142857142855</v>
      </c>
      <c r="V591" s="313">
        <f t="shared" si="221"/>
        <v>309541</v>
      </c>
      <c r="W591" s="308"/>
      <c r="X591" s="309"/>
      <c r="Y591" s="310">
        <f t="shared" si="222"/>
        <v>0</v>
      </c>
      <c r="Z591" s="350"/>
      <c r="AA591" s="351"/>
      <c r="AB591" s="313">
        <f t="shared" si="223"/>
        <v>0</v>
      </c>
      <c r="AC591" s="308"/>
      <c r="AD591" s="309"/>
      <c r="AE591" s="310">
        <f t="shared" si="224"/>
        <v>0</v>
      </c>
      <c r="AF591" s="350"/>
      <c r="AG591" s="351"/>
      <c r="AH591" s="313">
        <f t="shared" si="225"/>
        <v>0</v>
      </c>
      <c r="AI591" s="308"/>
      <c r="AJ591" s="309"/>
      <c r="AK591" s="310">
        <f t="shared" si="226"/>
        <v>0</v>
      </c>
      <c r="AL591" s="350"/>
      <c r="AM591" s="351"/>
      <c r="AN591" s="313">
        <f t="shared" si="227"/>
        <v>0</v>
      </c>
      <c r="AO591" s="308">
        <v>273</v>
      </c>
      <c r="AP591" s="309">
        <v>80977</v>
      </c>
      <c r="AQ591" s="310">
        <f t="shared" si="228"/>
        <v>18087719.122200001</v>
      </c>
      <c r="AR591" s="350">
        <v>286</v>
      </c>
      <c r="AS591" s="351">
        <v>83626.6013986014</v>
      </c>
      <c r="AT591" s="313">
        <f t="shared" si="229"/>
        <v>19569059.5856</v>
      </c>
      <c r="AU591" s="308">
        <v>116</v>
      </c>
      <c r="AV591" s="309">
        <v>62219</v>
      </c>
      <c r="AW591" s="310">
        <f t="shared" si="230"/>
        <v>5905279.9528000001</v>
      </c>
      <c r="AX591" s="350">
        <v>129</v>
      </c>
      <c r="AY591" s="351">
        <v>63541.038759689924</v>
      </c>
      <c r="AZ591" s="313">
        <f t="shared" si="231"/>
        <v>6706616.8508000001</v>
      </c>
      <c r="BA591" s="308">
        <v>49</v>
      </c>
      <c r="BB591" s="309">
        <v>53725</v>
      </c>
      <c r="BC591" s="310">
        <f t="shared" si="232"/>
        <v>2153931.9550000001</v>
      </c>
      <c r="BD591" s="350">
        <v>55</v>
      </c>
      <c r="BE591" s="351">
        <v>54096.290909090909</v>
      </c>
      <c r="BF591" s="313">
        <f t="shared" si="233"/>
        <v>2434387.1872</v>
      </c>
      <c r="BG591" s="308"/>
      <c r="BH591" s="309"/>
      <c r="BI591" s="310">
        <f t="shared" si="234"/>
        <v>0</v>
      </c>
      <c r="BJ591" s="350"/>
      <c r="BK591" s="351"/>
      <c r="BL591" s="313">
        <f t="shared" si="235"/>
        <v>0</v>
      </c>
      <c r="BM591" s="308"/>
      <c r="BN591" s="309"/>
      <c r="BO591" s="310">
        <f t="shared" si="236"/>
        <v>0</v>
      </c>
      <c r="BP591" s="350"/>
      <c r="BQ591" s="351"/>
      <c r="BR591" s="313">
        <f t="shared" si="237"/>
        <v>0</v>
      </c>
      <c r="BS591" s="308"/>
      <c r="BT591" s="309"/>
      <c r="BU591" s="310">
        <f t="shared" si="238"/>
        <v>0</v>
      </c>
      <c r="BV591" s="350"/>
      <c r="BW591" s="351"/>
      <c r="BX591" s="313">
        <f t="shared" si="239"/>
        <v>0</v>
      </c>
      <c r="BY591" s="290"/>
    </row>
    <row r="592" spans="1:77">
      <c r="A592" s="346" t="s">
        <v>408</v>
      </c>
      <c r="B592" s="347" t="s">
        <v>155</v>
      </c>
      <c r="C592" s="348">
        <v>223427</v>
      </c>
      <c r="D592" s="349">
        <v>8</v>
      </c>
      <c r="E592" s="308"/>
      <c r="F592" s="309"/>
      <c r="G592" s="310">
        <f t="shared" si="216"/>
        <v>0</v>
      </c>
      <c r="H592" s="350"/>
      <c r="I592" s="351"/>
      <c r="J592" s="313">
        <f t="shared" si="217"/>
        <v>0</v>
      </c>
      <c r="K592" s="308"/>
      <c r="L592" s="309"/>
      <c r="M592" s="310">
        <f t="shared" si="218"/>
        <v>0</v>
      </c>
      <c r="N592" s="350"/>
      <c r="O592" s="351"/>
      <c r="P592" s="313">
        <f t="shared" si="219"/>
        <v>0</v>
      </c>
      <c r="Q592" s="308"/>
      <c r="R592" s="309"/>
      <c r="S592" s="310">
        <f t="shared" si="220"/>
        <v>0</v>
      </c>
      <c r="T592" s="350"/>
      <c r="U592" s="351"/>
      <c r="V592" s="313">
        <f t="shared" si="221"/>
        <v>0</v>
      </c>
      <c r="W592" s="308"/>
      <c r="X592" s="309"/>
      <c r="Y592" s="310">
        <f t="shared" si="222"/>
        <v>0</v>
      </c>
      <c r="Z592" s="350"/>
      <c r="AA592" s="351"/>
      <c r="AB592" s="313">
        <f t="shared" si="223"/>
        <v>0</v>
      </c>
      <c r="AC592" s="308"/>
      <c r="AD592" s="309"/>
      <c r="AE592" s="310">
        <f t="shared" si="224"/>
        <v>0</v>
      </c>
      <c r="AF592" s="350"/>
      <c r="AG592" s="351"/>
      <c r="AH592" s="313">
        <f t="shared" si="225"/>
        <v>0</v>
      </c>
      <c r="AI592" s="308">
        <v>267</v>
      </c>
      <c r="AJ592" s="309">
        <v>44628</v>
      </c>
      <c r="AK592" s="310">
        <f t="shared" si="226"/>
        <v>11915676</v>
      </c>
      <c r="AL592" s="350">
        <v>256</v>
      </c>
      <c r="AM592" s="351">
        <v>49130.71484375</v>
      </c>
      <c r="AN592" s="313">
        <f t="shared" si="227"/>
        <v>12577463</v>
      </c>
      <c r="AO592" s="308"/>
      <c r="AP592" s="309"/>
      <c r="AQ592" s="310">
        <f t="shared" si="228"/>
        <v>0</v>
      </c>
      <c r="AR592" s="350"/>
      <c r="AS592" s="351"/>
      <c r="AT592" s="313">
        <f t="shared" si="229"/>
        <v>0</v>
      </c>
      <c r="AU592" s="308"/>
      <c r="AV592" s="309"/>
      <c r="AW592" s="310">
        <f t="shared" si="230"/>
        <v>0</v>
      </c>
      <c r="AX592" s="350"/>
      <c r="AY592" s="351"/>
      <c r="AZ592" s="313">
        <f t="shared" si="231"/>
        <v>0</v>
      </c>
      <c r="BA592" s="308"/>
      <c r="BB592" s="309"/>
      <c r="BC592" s="310">
        <f t="shared" si="232"/>
        <v>0</v>
      </c>
      <c r="BD592" s="350"/>
      <c r="BE592" s="351"/>
      <c r="BF592" s="313">
        <f t="shared" si="233"/>
        <v>0</v>
      </c>
      <c r="BG592" s="308"/>
      <c r="BH592" s="309"/>
      <c r="BI592" s="310">
        <f t="shared" si="234"/>
        <v>0</v>
      </c>
      <c r="BJ592" s="350"/>
      <c r="BK592" s="351"/>
      <c r="BL592" s="313">
        <f t="shared" si="235"/>
        <v>0</v>
      </c>
      <c r="BM592" s="308"/>
      <c r="BN592" s="309"/>
      <c r="BO592" s="310">
        <f t="shared" si="236"/>
        <v>0</v>
      </c>
      <c r="BP592" s="350"/>
      <c r="BQ592" s="351"/>
      <c r="BR592" s="313">
        <f t="shared" si="237"/>
        <v>0</v>
      </c>
      <c r="BS592" s="308">
        <v>27</v>
      </c>
      <c r="BT592" s="309">
        <v>47504</v>
      </c>
      <c r="BU592" s="310">
        <f t="shared" si="238"/>
        <v>1049429.8656000001</v>
      </c>
      <c r="BV592" s="350">
        <v>47</v>
      </c>
      <c r="BW592" s="351">
        <v>46201.063829787236</v>
      </c>
      <c r="BX592" s="313">
        <f t="shared" si="239"/>
        <v>1776680.3900000001</v>
      </c>
      <c r="BY592" s="290"/>
    </row>
    <row r="593" spans="1:77">
      <c r="A593" s="346" t="s">
        <v>408</v>
      </c>
      <c r="B593" s="347" t="s">
        <v>156</v>
      </c>
      <c r="C593" s="348">
        <v>223524</v>
      </c>
      <c r="D593" s="349">
        <v>8</v>
      </c>
      <c r="E593" s="308"/>
      <c r="F593" s="309"/>
      <c r="G593" s="310">
        <f t="shared" si="216"/>
        <v>0</v>
      </c>
      <c r="H593" s="350"/>
      <c r="I593" s="351"/>
      <c r="J593" s="313">
        <f t="shared" si="217"/>
        <v>0</v>
      </c>
      <c r="K593" s="308"/>
      <c r="L593" s="309"/>
      <c r="M593" s="310">
        <f t="shared" si="218"/>
        <v>0</v>
      </c>
      <c r="N593" s="350"/>
      <c r="O593" s="351"/>
      <c r="P593" s="313">
        <f t="shared" si="219"/>
        <v>0</v>
      </c>
      <c r="Q593" s="308"/>
      <c r="R593" s="309"/>
      <c r="S593" s="310">
        <f t="shared" si="220"/>
        <v>0</v>
      </c>
      <c r="T593" s="350"/>
      <c r="U593" s="351"/>
      <c r="V593" s="313">
        <f t="shared" si="221"/>
        <v>0</v>
      </c>
      <c r="W593" s="308"/>
      <c r="X593" s="309"/>
      <c r="Y593" s="310">
        <f t="shared" si="222"/>
        <v>0</v>
      </c>
      <c r="Z593" s="350"/>
      <c r="AA593" s="351"/>
      <c r="AB593" s="313">
        <f t="shared" si="223"/>
        <v>0</v>
      </c>
      <c r="AC593" s="308"/>
      <c r="AD593" s="309"/>
      <c r="AE593" s="310">
        <f t="shared" si="224"/>
        <v>0</v>
      </c>
      <c r="AF593" s="350"/>
      <c r="AG593" s="351"/>
      <c r="AH593" s="313">
        <f t="shared" si="225"/>
        <v>0</v>
      </c>
      <c r="AI593" s="308">
        <v>121</v>
      </c>
      <c r="AJ593" s="309">
        <v>59408</v>
      </c>
      <c r="AK593" s="310">
        <f t="shared" si="226"/>
        <v>7188368</v>
      </c>
      <c r="AL593" s="350">
        <v>125</v>
      </c>
      <c r="AM593" s="351">
        <v>58907.392</v>
      </c>
      <c r="AN593" s="313">
        <f t="shared" si="227"/>
        <v>7363424</v>
      </c>
      <c r="AO593" s="308"/>
      <c r="AP593" s="309"/>
      <c r="AQ593" s="310">
        <f t="shared" si="228"/>
        <v>0</v>
      </c>
      <c r="AR593" s="350"/>
      <c r="AS593" s="351"/>
      <c r="AT593" s="313">
        <f t="shared" si="229"/>
        <v>0</v>
      </c>
      <c r="AU593" s="308"/>
      <c r="AV593" s="309"/>
      <c r="AW593" s="310">
        <f t="shared" si="230"/>
        <v>0</v>
      </c>
      <c r="AX593" s="350"/>
      <c r="AY593" s="351"/>
      <c r="AZ593" s="313">
        <f t="shared" si="231"/>
        <v>0</v>
      </c>
      <c r="BA593" s="308"/>
      <c r="BB593" s="309"/>
      <c r="BC593" s="310">
        <f t="shared" si="232"/>
        <v>0</v>
      </c>
      <c r="BD593" s="350"/>
      <c r="BE593" s="351"/>
      <c r="BF593" s="313">
        <f t="shared" si="233"/>
        <v>0</v>
      </c>
      <c r="BG593" s="308"/>
      <c r="BH593" s="309"/>
      <c r="BI593" s="310">
        <f t="shared" si="234"/>
        <v>0</v>
      </c>
      <c r="BJ593" s="350"/>
      <c r="BK593" s="351"/>
      <c r="BL593" s="313">
        <f t="shared" si="235"/>
        <v>0</v>
      </c>
      <c r="BM593" s="308"/>
      <c r="BN593" s="309"/>
      <c r="BO593" s="310">
        <f t="shared" si="236"/>
        <v>0</v>
      </c>
      <c r="BP593" s="350"/>
      <c r="BQ593" s="351"/>
      <c r="BR593" s="313">
        <f t="shared" si="237"/>
        <v>0</v>
      </c>
      <c r="BS593" s="308"/>
      <c r="BT593" s="309"/>
      <c r="BU593" s="310">
        <f t="shared" si="238"/>
        <v>0</v>
      </c>
      <c r="BV593" s="350"/>
      <c r="BW593" s="351"/>
      <c r="BX593" s="313">
        <f t="shared" si="239"/>
        <v>0</v>
      </c>
      <c r="BY593" s="290"/>
    </row>
    <row r="594" spans="1:77">
      <c r="A594" s="346" t="s">
        <v>408</v>
      </c>
      <c r="B594" s="347" t="s">
        <v>157</v>
      </c>
      <c r="C594" s="348">
        <v>223816</v>
      </c>
      <c r="D594" s="349">
        <v>8</v>
      </c>
      <c r="E594" s="308">
        <v>85</v>
      </c>
      <c r="F594" s="309">
        <v>56563</v>
      </c>
      <c r="G594" s="310">
        <f t="shared" si="216"/>
        <v>4807855</v>
      </c>
      <c r="H594" s="350">
        <v>82</v>
      </c>
      <c r="I594" s="351">
        <v>60734.939024390245</v>
      </c>
      <c r="J594" s="313">
        <f t="shared" si="217"/>
        <v>4980265</v>
      </c>
      <c r="K594" s="308"/>
      <c r="L594" s="309"/>
      <c r="M594" s="310">
        <f t="shared" si="218"/>
        <v>0</v>
      </c>
      <c r="N594" s="350"/>
      <c r="O594" s="351"/>
      <c r="P594" s="313">
        <f t="shared" si="219"/>
        <v>0</v>
      </c>
      <c r="Q594" s="308"/>
      <c r="R594" s="309"/>
      <c r="S594" s="310">
        <f t="shared" si="220"/>
        <v>0</v>
      </c>
      <c r="T594" s="350"/>
      <c r="U594" s="351"/>
      <c r="V594" s="313">
        <f t="shared" si="221"/>
        <v>0</v>
      </c>
      <c r="W594" s="308"/>
      <c r="X594" s="309"/>
      <c r="Y594" s="310">
        <f t="shared" si="222"/>
        <v>0</v>
      </c>
      <c r="Z594" s="350"/>
      <c r="AA594" s="351"/>
      <c r="AB594" s="313">
        <f t="shared" si="223"/>
        <v>0</v>
      </c>
      <c r="AC594" s="308"/>
      <c r="AD594" s="309"/>
      <c r="AE594" s="310">
        <f t="shared" si="224"/>
        <v>0</v>
      </c>
      <c r="AF594" s="350"/>
      <c r="AG594" s="351"/>
      <c r="AH594" s="313">
        <f t="shared" si="225"/>
        <v>0</v>
      </c>
      <c r="AI594" s="308"/>
      <c r="AJ594" s="309"/>
      <c r="AK594" s="310">
        <f t="shared" si="226"/>
        <v>0</v>
      </c>
      <c r="AL594" s="350"/>
      <c r="AM594" s="351"/>
      <c r="AN594" s="313">
        <f t="shared" si="227"/>
        <v>0</v>
      </c>
      <c r="AO594" s="308">
        <v>70</v>
      </c>
      <c r="AP594" s="309">
        <v>66797</v>
      </c>
      <c r="AQ594" s="310">
        <f t="shared" si="228"/>
        <v>3825731.378</v>
      </c>
      <c r="AR594" s="350">
        <v>77</v>
      </c>
      <c r="AS594" s="351">
        <v>69312.857142857145</v>
      </c>
      <c r="AT594" s="313">
        <f t="shared" si="229"/>
        <v>4366807.0380000006</v>
      </c>
      <c r="AU594" s="308"/>
      <c r="AV594" s="309"/>
      <c r="AW594" s="310">
        <f t="shared" si="230"/>
        <v>0</v>
      </c>
      <c r="AX594" s="350"/>
      <c r="AY594" s="351"/>
      <c r="AZ594" s="313">
        <f t="shared" si="231"/>
        <v>0</v>
      </c>
      <c r="BA594" s="308"/>
      <c r="BB594" s="309"/>
      <c r="BC594" s="310">
        <f t="shared" si="232"/>
        <v>0</v>
      </c>
      <c r="BD594" s="350"/>
      <c r="BE594" s="351"/>
      <c r="BF594" s="313">
        <f t="shared" si="233"/>
        <v>0</v>
      </c>
      <c r="BG594" s="308">
        <v>117</v>
      </c>
      <c r="BH594" s="309">
        <v>37341</v>
      </c>
      <c r="BI594" s="310">
        <f t="shared" si="234"/>
        <v>3574631.5254000002</v>
      </c>
      <c r="BJ594" s="350">
        <v>93</v>
      </c>
      <c r="BK594" s="351">
        <v>35454.440860215051</v>
      </c>
      <c r="BL594" s="313">
        <f t="shared" si="235"/>
        <v>2697820.5865999996</v>
      </c>
      <c r="BM594" s="308"/>
      <c r="BN594" s="309"/>
      <c r="BO594" s="310">
        <f t="shared" si="236"/>
        <v>0</v>
      </c>
      <c r="BP594" s="350"/>
      <c r="BQ594" s="351"/>
      <c r="BR594" s="313">
        <f t="shared" si="237"/>
        <v>0</v>
      </c>
      <c r="BS594" s="308"/>
      <c r="BT594" s="309"/>
      <c r="BU594" s="310">
        <f t="shared" si="238"/>
        <v>0</v>
      </c>
      <c r="BV594" s="350"/>
      <c r="BW594" s="351"/>
      <c r="BX594" s="313">
        <f t="shared" si="239"/>
        <v>0</v>
      </c>
      <c r="BY594" s="290"/>
    </row>
    <row r="595" spans="1:77">
      <c r="A595" s="346" t="s">
        <v>408</v>
      </c>
      <c r="B595" s="347" t="s">
        <v>158</v>
      </c>
      <c r="C595" s="348">
        <v>247834</v>
      </c>
      <c r="D595" s="349">
        <v>8</v>
      </c>
      <c r="E595" s="308"/>
      <c r="F595" s="309"/>
      <c r="G595" s="310">
        <f t="shared" si="216"/>
        <v>0</v>
      </c>
      <c r="H595" s="350"/>
      <c r="I595" s="351"/>
      <c r="J595" s="313">
        <f t="shared" si="217"/>
        <v>0</v>
      </c>
      <c r="K595" s="308"/>
      <c r="L595" s="309"/>
      <c r="M595" s="310">
        <f t="shared" si="218"/>
        <v>0</v>
      </c>
      <c r="N595" s="350"/>
      <c r="O595" s="351"/>
      <c r="P595" s="313">
        <f t="shared" si="219"/>
        <v>0</v>
      </c>
      <c r="Q595" s="308"/>
      <c r="R595" s="309"/>
      <c r="S595" s="310">
        <f t="shared" si="220"/>
        <v>0</v>
      </c>
      <c r="T595" s="350"/>
      <c r="U595" s="351"/>
      <c r="V595" s="313">
        <f t="shared" si="221"/>
        <v>0</v>
      </c>
      <c r="W595" s="308"/>
      <c r="X595" s="309"/>
      <c r="Y595" s="310">
        <f t="shared" si="222"/>
        <v>0</v>
      </c>
      <c r="Z595" s="350"/>
      <c r="AA595" s="351"/>
      <c r="AB595" s="313">
        <f t="shared" si="223"/>
        <v>0</v>
      </c>
      <c r="AC595" s="308"/>
      <c r="AD595" s="309"/>
      <c r="AE595" s="310">
        <f t="shared" si="224"/>
        <v>0</v>
      </c>
      <c r="AF595" s="350"/>
      <c r="AG595" s="351"/>
      <c r="AH595" s="313">
        <f t="shared" si="225"/>
        <v>0</v>
      </c>
      <c r="AI595" s="308">
        <v>274</v>
      </c>
      <c r="AJ595" s="309">
        <v>58881</v>
      </c>
      <c r="AK595" s="310">
        <f t="shared" si="226"/>
        <v>16133394</v>
      </c>
      <c r="AL595" s="350">
        <v>291</v>
      </c>
      <c r="AM595" s="351">
        <v>53613.182130584195</v>
      </c>
      <c r="AN595" s="313">
        <f t="shared" si="227"/>
        <v>15601436</v>
      </c>
      <c r="AO595" s="308"/>
      <c r="AP595" s="309"/>
      <c r="AQ595" s="310">
        <f t="shared" si="228"/>
        <v>0</v>
      </c>
      <c r="AR595" s="350"/>
      <c r="AS595" s="351"/>
      <c r="AT595" s="313">
        <f t="shared" si="229"/>
        <v>0</v>
      </c>
      <c r="AU595" s="308"/>
      <c r="AV595" s="309"/>
      <c r="AW595" s="310">
        <f t="shared" si="230"/>
        <v>0</v>
      </c>
      <c r="AX595" s="350"/>
      <c r="AY595" s="351"/>
      <c r="AZ595" s="313">
        <f t="shared" si="231"/>
        <v>0</v>
      </c>
      <c r="BA595" s="308"/>
      <c r="BB595" s="309"/>
      <c r="BC595" s="310">
        <f t="shared" si="232"/>
        <v>0</v>
      </c>
      <c r="BD595" s="350"/>
      <c r="BE595" s="351"/>
      <c r="BF595" s="313">
        <f t="shared" si="233"/>
        <v>0</v>
      </c>
      <c r="BG595" s="308"/>
      <c r="BH595" s="309"/>
      <c r="BI595" s="310">
        <f t="shared" si="234"/>
        <v>0</v>
      </c>
      <c r="BJ595" s="350"/>
      <c r="BK595" s="351"/>
      <c r="BL595" s="313">
        <f t="shared" si="235"/>
        <v>0</v>
      </c>
      <c r="BM595" s="308"/>
      <c r="BN595" s="309"/>
      <c r="BO595" s="310">
        <f t="shared" si="236"/>
        <v>0</v>
      </c>
      <c r="BP595" s="350"/>
      <c r="BQ595" s="351"/>
      <c r="BR595" s="313">
        <f t="shared" si="237"/>
        <v>0</v>
      </c>
      <c r="BS595" s="308"/>
      <c r="BT595" s="309"/>
      <c r="BU595" s="310">
        <f t="shared" si="238"/>
        <v>0</v>
      </c>
      <c r="BV595" s="350">
        <v>2</v>
      </c>
      <c r="BW595" s="351">
        <v>51553</v>
      </c>
      <c r="BX595" s="313">
        <f t="shared" si="239"/>
        <v>84361.329200000007</v>
      </c>
      <c r="BY595" s="290"/>
    </row>
    <row r="596" spans="1:77">
      <c r="A596" s="346" t="s">
        <v>408</v>
      </c>
      <c r="B596" s="347" t="s">
        <v>159</v>
      </c>
      <c r="C596" s="348">
        <v>224350</v>
      </c>
      <c r="D596" s="349">
        <v>8</v>
      </c>
      <c r="E596" s="308">
        <v>93</v>
      </c>
      <c r="F596" s="309">
        <v>65734</v>
      </c>
      <c r="G596" s="310">
        <f t="shared" si="216"/>
        <v>6113262</v>
      </c>
      <c r="H596" s="350">
        <v>80</v>
      </c>
      <c r="I596" s="351">
        <v>67576.625</v>
      </c>
      <c r="J596" s="313">
        <f t="shared" si="217"/>
        <v>5406130</v>
      </c>
      <c r="K596" s="308">
        <v>31</v>
      </c>
      <c r="L596" s="309">
        <v>56365</v>
      </c>
      <c r="M596" s="310">
        <f t="shared" si="218"/>
        <v>1747315</v>
      </c>
      <c r="N596" s="350">
        <v>33</v>
      </c>
      <c r="O596" s="351">
        <v>58219.727272727272</v>
      </c>
      <c r="P596" s="313">
        <f t="shared" si="219"/>
        <v>1921251</v>
      </c>
      <c r="Q596" s="308">
        <v>72</v>
      </c>
      <c r="R596" s="309">
        <v>49279</v>
      </c>
      <c r="S596" s="310">
        <f t="shared" si="220"/>
        <v>3548088</v>
      </c>
      <c r="T596" s="350">
        <v>77</v>
      </c>
      <c r="U596" s="351">
        <v>52470.727272727272</v>
      </c>
      <c r="V596" s="313">
        <f t="shared" si="221"/>
        <v>4040246</v>
      </c>
      <c r="W596" s="308">
        <v>70</v>
      </c>
      <c r="X596" s="309">
        <v>43174</v>
      </c>
      <c r="Y596" s="310">
        <f t="shared" si="222"/>
        <v>3022180</v>
      </c>
      <c r="Z596" s="350">
        <v>59</v>
      </c>
      <c r="AA596" s="351">
        <v>45027.949152542373</v>
      </c>
      <c r="AB596" s="313">
        <f t="shared" si="223"/>
        <v>2656649</v>
      </c>
      <c r="AC596" s="308"/>
      <c r="AD596" s="309"/>
      <c r="AE596" s="310">
        <f t="shared" si="224"/>
        <v>0</v>
      </c>
      <c r="AF596" s="350"/>
      <c r="AG596" s="351"/>
      <c r="AH596" s="313">
        <f t="shared" si="225"/>
        <v>0</v>
      </c>
      <c r="AI596" s="308"/>
      <c r="AJ596" s="309"/>
      <c r="AK596" s="310">
        <f t="shared" si="226"/>
        <v>0</v>
      </c>
      <c r="AL596" s="350">
        <v>47</v>
      </c>
      <c r="AM596" s="351">
        <v>45832.255319148935</v>
      </c>
      <c r="AN596" s="313">
        <f t="shared" si="227"/>
        <v>2154116</v>
      </c>
      <c r="AO596" s="308">
        <v>2</v>
      </c>
      <c r="AP596" s="309">
        <v>85304</v>
      </c>
      <c r="AQ596" s="310">
        <f t="shared" si="228"/>
        <v>139591.4656</v>
      </c>
      <c r="AR596" s="350">
        <v>4</v>
      </c>
      <c r="AS596" s="351">
        <v>90399</v>
      </c>
      <c r="AT596" s="313">
        <f t="shared" si="229"/>
        <v>295857.84720000002</v>
      </c>
      <c r="AU596" s="308">
        <v>1</v>
      </c>
      <c r="AV596" s="309">
        <v>75996</v>
      </c>
      <c r="AW596" s="310">
        <f t="shared" si="230"/>
        <v>62179.927200000006</v>
      </c>
      <c r="AX596" s="350"/>
      <c r="AY596" s="351"/>
      <c r="AZ596" s="313">
        <f t="shared" si="231"/>
        <v>0</v>
      </c>
      <c r="BA596" s="308"/>
      <c r="BB596" s="309"/>
      <c r="BC596" s="310">
        <f t="shared" si="232"/>
        <v>0</v>
      </c>
      <c r="BD596" s="350"/>
      <c r="BE596" s="351"/>
      <c r="BF596" s="313">
        <f t="shared" si="233"/>
        <v>0</v>
      </c>
      <c r="BG596" s="308">
        <v>1</v>
      </c>
      <c r="BH596" s="309">
        <v>41191</v>
      </c>
      <c r="BI596" s="310">
        <f t="shared" si="234"/>
        <v>33702.476200000005</v>
      </c>
      <c r="BJ596" s="350"/>
      <c r="BK596" s="351"/>
      <c r="BL596" s="313">
        <f t="shared" si="235"/>
        <v>0</v>
      </c>
      <c r="BM596" s="308"/>
      <c r="BN596" s="309"/>
      <c r="BO596" s="310">
        <f t="shared" si="236"/>
        <v>0</v>
      </c>
      <c r="BP596" s="350"/>
      <c r="BQ596" s="351"/>
      <c r="BR596" s="313">
        <f t="shared" si="237"/>
        <v>0</v>
      </c>
      <c r="BS596" s="308"/>
      <c r="BT596" s="309"/>
      <c r="BU596" s="310">
        <f t="shared" si="238"/>
        <v>0</v>
      </c>
      <c r="BV596" s="350"/>
      <c r="BW596" s="351"/>
      <c r="BX596" s="313">
        <f t="shared" si="239"/>
        <v>0</v>
      </c>
      <c r="BY596" s="290"/>
    </row>
    <row r="597" spans="1:77">
      <c r="A597" s="346" t="s">
        <v>408</v>
      </c>
      <c r="B597" s="347" t="s">
        <v>160</v>
      </c>
      <c r="C597" s="348">
        <v>224572</v>
      </c>
      <c r="D597" s="349">
        <v>8</v>
      </c>
      <c r="E597" s="308"/>
      <c r="F597" s="309"/>
      <c r="G597" s="310">
        <f t="shared" si="216"/>
        <v>0</v>
      </c>
      <c r="H597" s="350"/>
      <c r="I597" s="351"/>
      <c r="J597" s="313">
        <f t="shared" si="217"/>
        <v>0</v>
      </c>
      <c r="K597" s="308"/>
      <c r="L597" s="309"/>
      <c r="M597" s="310">
        <f t="shared" si="218"/>
        <v>0</v>
      </c>
      <c r="N597" s="350"/>
      <c r="O597" s="351"/>
      <c r="P597" s="313">
        <f t="shared" si="219"/>
        <v>0</v>
      </c>
      <c r="Q597" s="308"/>
      <c r="R597" s="309"/>
      <c r="S597" s="310">
        <f t="shared" si="220"/>
        <v>0</v>
      </c>
      <c r="T597" s="350"/>
      <c r="U597" s="351"/>
      <c r="V597" s="313">
        <f t="shared" si="221"/>
        <v>0</v>
      </c>
      <c r="W597" s="308"/>
      <c r="X597" s="309"/>
      <c r="Y597" s="310">
        <f t="shared" si="222"/>
        <v>0</v>
      </c>
      <c r="Z597" s="350"/>
      <c r="AA597" s="351"/>
      <c r="AB597" s="313">
        <f t="shared" si="223"/>
        <v>0</v>
      </c>
      <c r="AC597" s="308"/>
      <c r="AD597" s="309"/>
      <c r="AE597" s="310">
        <f t="shared" si="224"/>
        <v>0</v>
      </c>
      <c r="AF597" s="350"/>
      <c r="AG597" s="351"/>
      <c r="AH597" s="313">
        <f t="shared" si="225"/>
        <v>0</v>
      </c>
      <c r="AI597" s="308">
        <v>107</v>
      </c>
      <c r="AJ597" s="309">
        <v>58197</v>
      </c>
      <c r="AK597" s="310">
        <f t="shared" si="226"/>
        <v>6227079</v>
      </c>
      <c r="AL597" s="350">
        <v>104</v>
      </c>
      <c r="AM597" s="351">
        <v>60837.528846153844</v>
      </c>
      <c r="AN597" s="313">
        <f t="shared" si="227"/>
        <v>6327103</v>
      </c>
      <c r="AO597" s="308"/>
      <c r="AP597" s="309"/>
      <c r="AQ597" s="310">
        <f t="shared" si="228"/>
        <v>0</v>
      </c>
      <c r="AR597" s="350"/>
      <c r="AS597" s="351"/>
      <c r="AT597" s="313">
        <f t="shared" si="229"/>
        <v>0</v>
      </c>
      <c r="AU597" s="308"/>
      <c r="AV597" s="309"/>
      <c r="AW597" s="310">
        <f t="shared" si="230"/>
        <v>0</v>
      </c>
      <c r="AX597" s="350"/>
      <c r="AY597" s="351"/>
      <c r="AZ597" s="313">
        <f t="shared" si="231"/>
        <v>0</v>
      </c>
      <c r="BA597" s="308"/>
      <c r="BB597" s="309"/>
      <c r="BC597" s="310">
        <f t="shared" si="232"/>
        <v>0</v>
      </c>
      <c r="BD597" s="350"/>
      <c r="BE597" s="351"/>
      <c r="BF597" s="313">
        <f t="shared" si="233"/>
        <v>0</v>
      </c>
      <c r="BG597" s="308"/>
      <c r="BH597" s="309"/>
      <c r="BI597" s="310">
        <f t="shared" si="234"/>
        <v>0</v>
      </c>
      <c r="BJ597" s="350"/>
      <c r="BK597" s="351"/>
      <c r="BL597" s="313">
        <f t="shared" si="235"/>
        <v>0</v>
      </c>
      <c r="BM597" s="308"/>
      <c r="BN597" s="309"/>
      <c r="BO597" s="310">
        <f t="shared" si="236"/>
        <v>0</v>
      </c>
      <c r="BP597" s="350"/>
      <c r="BQ597" s="351"/>
      <c r="BR597" s="313">
        <f t="shared" si="237"/>
        <v>0</v>
      </c>
      <c r="BS597" s="308"/>
      <c r="BT597" s="309"/>
      <c r="BU597" s="310">
        <f t="shared" si="238"/>
        <v>0</v>
      </c>
      <c r="BV597" s="350"/>
      <c r="BW597" s="351"/>
      <c r="BX597" s="313">
        <f t="shared" si="239"/>
        <v>0</v>
      </c>
      <c r="BY597" s="290"/>
    </row>
    <row r="598" spans="1:77">
      <c r="A598" s="346" t="s">
        <v>408</v>
      </c>
      <c r="B598" s="347" t="s">
        <v>161</v>
      </c>
      <c r="C598" s="348">
        <v>224642</v>
      </c>
      <c r="D598" s="349">
        <v>8</v>
      </c>
      <c r="E598" s="308">
        <v>168</v>
      </c>
      <c r="F598" s="309">
        <v>59495</v>
      </c>
      <c r="G598" s="310">
        <f t="shared" si="216"/>
        <v>9995160</v>
      </c>
      <c r="H598" s="350">
        <v>162</v>
      </c>
      <c r="I598" s="351">
        <v>61503.395061728392</v>
      </c>
      <c r="J598" s="313">
        <f t="shared" si="217"/>
        <v>9963550</v>
      </c>
      <c r="K598" s="308">
        <v>73</v>
      </c>
      <c r="L598" s="309">
        <v>45229</v>
      </c>
      <c r="M598" s="310">
        <f t="shared" si="218"/>
        <v>3301717</v>
      </c>
      <c r="N598" s="350">
        <v>74</v>
      </c>
      <c r="O598" s="351">
        <v>45938.445945945947</v>
      </c>
      <c r="P598" s="313">
        <f t="shared" si="219"/>
        <v>3399445</v>
      </c>
      <c r="Q598" s="308">
        <v>96</v>
      </c>
      <c r="R598" s="309">
        <v>40781</v>
      </c>
      <c r="S598" s="310">
        <f t="shared" si="220"/>
        <v>3914976</v>
      </c>
      <c r="T598" s="350">
        <v>95</v>
      </c>
      <c r="U598" s="351">
        <v>42673.905263157896</v>
      </c>
      <c r="V598" s="313">
        <f t="shared" si="221"/>
        <v>4054021</v>
      </c>
      <c r="W598" s="308">
        <v>1</v>
      </c>
      <c r="X598" s="309">
        <v>42332</v>
      </c>
      <c r="Y598" s="310">
        <f t="shared" si="222"/>
        <v>42332</v>
      </c>
      <c r="Z598" s="350">
        <v>23</v>
      </c>
      <c r="AA598" s="351">
        <v>47837.739130434784</v>
      </c>
      <c r="AB598" s="313">
        <f t="shared" si="223"/>
        <v>1100268</v>
      </c>
      <c r="AC598" s="308">
        <v>35</v>
      </c>
      <c r="AD598" s="309">
        <v>31844</v>
      </c>
      <c r="AE598" s="310">
        <f t="shared" si="224"/>
        <v>1114540</v>
      </c>
      <c r="AF598" s="350">
        <v>31</v>
      </c>
      <c r="AG598" s="351">
        <v>37489.741935483871</v>
      </c>
      <c r="AH598" s="313">
        <f t="shared" si="225"/>
        <v>1162182</v>
      </c>
      <c r="AI598" s="308"/>
      <c r="AJ598" s="309"/>
      <c r="AK598" s="310">
        <f t="shared" si="226"/>
        <v>0</v>
      </c>
      <c r="AL598" s="350">
        <v>9</v>
      </c>
      <c r="AM598" s="351">
        <v>26232.555555555555</v>
      </c>
      <c r="AN598" s="313">
        <f t="shared" si="227"/>
        <v>236093</v>
      </c>
      <c r="AO598" s="308"/>
      <c r="AP598" s="309"/>
      <c r="AQ598" s="310">
        <f t="shared" si="228"/>
        <v>0</v>
      </c>
      <c r="AR598" s="350"/>
      <c r="AS598" s="351"/>
      <c r="AT598" s="313">
        <f t="shared" si="229"/>
        <v>0</v>
      </c>
      <c r="AU598" s="308"/>
      <c r="AV598" s="309"/>
      <c r="AW598" s="310">
        <f t="shared" si="230"/>
        <v>0</v>
      </c>
      <c r="AX598" s="350"/>
      <c r="AY598" s="351"/>
      <c r="AZ598" s="313">
        <f t="shared" si="231"/>
        <v>0</v>
      </c>
      <c r="BA598" s="308"/>
      <c r="BB598" s="309"/>
      <c r="BC598" s="310">
        <f t="shared" si="232"/>
        <v>0</v>
      </c>
      <c r="BD598" s="350"/>
      <c r="BE598" s="351"/>
      <c r="BF598" s="313">
        <f t="shared" si="233"/>
        <v>0</v>
      </c>
      <c r="BG598" s="308">
        <v>24</v>
      </c>
      <c r="BH598" s="309">
        <v>47499</v>
      </c>
      <c r="BI598" s="310">
        <f t="shared" si="234"/>
        <v>932728.36320000002</v>
      </c>
      <c r="BJ598" s="350"/>
      <c r="BK598" s="351"/>
      <c r="BL598" s="313">
        <f t="shared" si="235"/>
        <v>0</v>
      </c>
      <c r="BM598" s="308"/>
      <c r="BN598" s="309"/>
      <c r="BO598" s="310">
        <f t="shared" si="236"/>
        <v>0</v>
      </c>
      <c r="BP598" s="350"/>
      <c r="BQ598" s="351"/>
      <c r="BR598" s="313">
        <f t="shared" si="237"/>
        <v>0</v>
      </c>
      <c r="BS598" s="308"/>
      <c r="BT598" s="309"/>
      <c r="BU598" s="310">
        <f t="shared" si="238"/>
        <v>0</v>
      </c>
      <c r="BV598" s="350"/>
      <c r="BW598" s="351"/>
      <c r="BX598" s="313">
        <f t="shared" si="239"/>
        <v>0</v>
      </c>
      <c r="BY598" s="290"/>
    </row>
    <row r="599" spans="1:77">
      <c r="A599" s="346" t="s">
        <v>408</v>
      </c>
      <c r="B599" s="347" t="s">
        <v>162</v>
      </c>
      <c r="C599" s="348">
        <v>225423</v>
      </c>
      <c r="D599" s="349">
        <v>8</v>
      </c>
      <c r="E599" s="308"/>
      <c r="F599" s="309"/>
      <c r="G599" s="310">
        <f t="shared" si="216"/>
        <v>0</v>
      </c>
      <c r="H599" s="350"/>
      <c r="I599" s="351"/>
      <c r="J599" s="313">
        <f t="shared" si="217"/>
        <v>0</v>
      </c>
      <c r="K599" s="308"/>
      <c r="L599" s="309"/>
      <c r="M599" s="310">
        <f t="shared" si="218"/>
        <v>0</v>
      </c>
      <c r="N599" s="350"/>
      <c r="O599" s="351"/>
      <c r="P599" s="313">
        <f t="shared" si="219"/>
        <v>0</v>
      </c>
      <c r="Q599" s="308"/>
      <c r="R599" s="309"/>
      <c r="S599" s="310">
        <f t="shared" si="220"/>
        <v>0</v>
      </c>
      <c r="T599" s="350"/>
      <c r="U599" s="351"/>
      <c r="V599" s="313">
        <f t="shared" si="221"/>
        <v>0</v>
      </c>
      <c r="W599" s="308">
        <v>530</v>
      </c>
      <c r="X599" s="309">
        <v>49171</v>
      </c>
      <c r="Y599" s="310">
        <f t="shared" si="222"/>
        <v>26060630</v>
      </c>
      <c r="Z599" s="350">
        <v>526</v>
      </c>
      <c r="AA599" s="351">
        <v>51903.44866920152</v>
      </c>
      <c r="AB599" s="313">
        <f t="shared" si="223"/>
        <v>27301214</v>
      </c>
      <c r="AC599" s="308"/>
      <c r="AD599" s="309"/>
      <c r="AE599" s="310">
        <f t="shared" si="224"/>
        <v>0</v>
      </c>
      <c r="AF599" s="350"/>
      <c r="AG599" s="351"/>
      <c r="AH599" s="313">
        <f t="shared" si="225"/>
        <v>0</v>
      </c>
      <c r="AI599" s="308"/>
      <c r="AJ599" s="309"/>
      <c r="AK599" s="310">
        <f t="shared" si="226"/>
        <v>0</v>
      </c>
      <c r="AL599" s="350"/>
      <c r="AM599" s="351"/>
      <c r="AN599" s="313">
        <f t="shared" si="227"/>
        <v>0</v>
      </c>
      <c r="AO599" s="308"/>
      <c r="AP599" s="309"/>
      <c r="AQ599" s="310">
        <f t="shared" si="228"/>
        <v>0</v>
      </c>
      <c r="AR599" s="350"/>
      <c r="AS599" s="351"/>
      <c r="AT599" s="313">
        <f t="shared" si="229"/>
        <v>0</v>
      </c>
      <c r="AU599" s="308"/>
      <c r="AV599" s="309"/>
      <c r="AW599" s="310">
        <f t="shared" si="230"/>
        <v>0</v>
      </c>
      <c r="AX599" s="350"/>
      <c r="AY599" s="351"/>
      <c r="AZ599" s="313">
        <f t="shared" si="231"/>
        <v>0</v>
      </c>
      <c r="BA599" s="308"/>
      <c r="BB599" s="309"/>
      <c r="BC599" s="310">
        <f t="shared" si="232"/>
        <v>0</v>
      </c>
      <c r="BD599" s="350"/>
      <c r="BE599" s="351"/>
      <c r="BF599" s="313">
        <f t="shared" si="233"/>
        <v>0</v>
      </c>
      <c r="BG599" s="308">
        <v>291</v>
      </c>
      <c r="BH599" s="309">
        <v>66781</v>
      </c>
      <c r="BI599" s="310">
        <f t="shared" si="234"/>
        <v>15900302.3322</v>
      </c>
      <c r="BJ599" s="350">
        <v>303</v>
      </c>
      <c r="BK599" s="351">
        <v>69043.240924092403</v>
      </c>
      <c r="BL599" s="313">
        <f t="shared" si="235"/>
        <v>17116827.4564</v>
      </c>
      <c r="BM599" s="308"/>
      <c r="BN599" s="309"/>
      <c r="BO599" s="310">
        <f t="shared" si="236"/>
        <v>0</v>
      </c>
      <c r="BP599" s="350"/>
      <c r="BQ599" s="351"/>
      <c r="BR599" s="313">
        <f t="shared" si="237"/>
        <v>0</v>
      </c>
      <c r="BS599" s="308"/>
      <c r="BT599" s="309"/>
      <c r="BU599" s="310">
        <f t="shared" si="238"/>
        <v>0</v>
      </c>
      <c r="BV599" s="350"/>
      <c r="BW599" s="351"/>
      <c r="BX599" s="313">
        <f t="shared" si="239"/>
        <v>0</v>
      </c>
      <c r="BY599" s="290"/>
    </row>
    <row r="600" spans="1:77">
      <c r="A600" s="346" t="s">
        <v>408</v>
      </c>
      <c r="B600" s="347" t="s">
        <v>163</v>
      </c>
      <c r="C600" s="348">
        <v>226134</v>
      </c>
      <c r="D600" s="349">
        <v>8</v>
      </c>
      <c r="E600" s="308"/>
      <c r="F600" s="309"/>
      <c r="G600" s="310">
        <f t="shared" si="216"/>
        <v>0</v>
      </c>
      <c r="H600" s="350"/>
      <c r="I600" s="351"/>
      <c r="J600" s="313">
        <f t="shared" si="217"/>
        <v>0</v>
      </c>
      <c r="K600" s="308"/>
      <c r="L600" s="309"/>
      <c r="M600" s="310">
        <f t="shared" si="218"/>
        <v>0</v>
      </c>
      <c r="N600" s="350"/>
      <c r="O600" s="351"/>
      <c r="P600" s="313">
        <f t="shared" si="219"/>
        <v>0</v>
      </c>
      <c r="Q600" s="308"/>
      <c r="R600" s="309"/>
      <c r="S600" s="310">
        <f t="shared" si="220"/>
        <v>0</v>
      </c>
      <c r="T600" s="350"/>
      <c r="U600" s="351"/>
      <c r="V600" s="313">
        <f t="shared" si="221"/>
        <v>0</v>
      </c>
      <c r="W600" s="308">
        <v>179</v>
      </c>
      <c r="X600" s="309">
        <v>52796</v>
      </c>
      <c r="Y600" s="310">
        <f t="shared" si="222"/>
        <v>9450484</v>
      </c>
      <c r="Z600" s="350">
        <v>177</v>
      </c>
      <c r="AA600" s="351">
        <v>54470.91525423729</v>
      </c>
      <c r="AB600" s="313">
        <f t="shared" si="223"/>
        <v>9641352</v>
      </c>
      <c r="AC600" s="308"/>
      <c r="AD600" s="309"/>
      <c r="AE600" s="310">
        <f t="shared" si="224"/>
        <v>0</v>
      </c>
      <c r="AF600" s="350"/>
      <c r="AG600" s="351"/>
      <c r="AH600" s="313">
        <f t="shared" si="225"/>
        <v>0</v>
      </c>
      <c r="AI600" s="308"/>
      <c r="AJ600" s="309"/>
      <c r="AK600" s="310">
        <f t="shared" si="226"/>
        <v>0</v>
      </c>
      <c r="AL600" s="350"/>
      <c r="AM600" s="351"/>
      <c r="AN600" s="313">
        <f t="shared" si="227"/>
        <v>0</v>
      </c>
      <c r="AO600" s="308"/>
      <c r="AP600" s="309"/>
      <c r="AQ600" s="310">
        <f t="shared" si="228"/>
        <v>0</v>
      </c>
      <c r="AR600" s="350"/>
      <c r="AS600" s="351"/>
      <c r="AT600" s="313">
        <f t="shared" si="229"/>
        <v>0</v>
      </c>
      <c r="AU600" s="308"/>
      <c r="AV600" s="309"/>
      <c r="AW600" s="310">
        <f t="shared" si="230"/>
        <v>0</v>
      </c>
      <c r="AX600" s="350"/>
      <c r="AY600" s="351"/>
      <c r="AZ600" s="313">
        <f t="shared" si="231"/>
        <v>0</v>
      </c>
      <c r="BA600" s="308"/>
      <c r="BB600" s="309"/>
      <c r="BC600" s="310">
        <f t="shared" si="232"/>
        <v>0</v>
      </c>
      <c r="BD600" s="350"/>
      <c r="BE600" s="351"/>
      <c r="BF600" s="313">
        <f t="shared" si="233"/>
        <v>0</v>
      </c>
      <c r="BG600" s="308">
        <v>14</v>
      </c>
      <c r="BH600" s="309">
        <v>66195</v>
      </c>
      <c r="BI600" s="310">
        <f t="shared" si="234"/>
        <v>758250.48600000003</v>
      </c>
      <c r="BJ600" s="350">
        <v>15</v>
      </c>
      <c r="BK600" s="351">
        <v>67580.2</v>
      </c>
      <c r="BL600" s="313">
        <f t="shared" si="235"/>
        <v>829411.79460000002</v>
      </c>
      <c r="BM600" s="308"/>
      <c r="BN600" s="309"/>
      <c r="BO600" s="310">
        <f t="shared" si="236"/>
        <v>0</v>
      </c>
      <c r="BP600" s="350"/>
      <c r="BQ600" s="351"/>
      <c r="BR600" s="313">
        <f t="shared" si="237"/>
        <v>0</v>
      </c>
      <c r="BS600" s="308"/>
      <c r="BT600" s="309"/>
      <c r="BU600" s="310">
        <f t="shared" si="238"/>
        <v>0</v>
      </c>
      <c r="BV600" s="350"/>
      <c r="BW600" s="351"/>
      <c r="BX600" s="313">
        <f t="shared" si="239"/>
        <v>0</v>
      </c>
      <c r="BY600" s="290"/>
    </row>
    <row r="601" spans="1:77">
      <c r="A601" s="346" t="s">
        <v>408</v>
      </c>
      <c r="B601" s="347" t="s">
        <v>164</v>
      </c>
      <c r="C601" s="348">
        <v>226578</v>
      </c>
      <c r="D601" s="349">
        <v>8</v>
      </c>
      <c r="E601" s="308"/>
      <c r="F601" s="309"/>
      <c r="G601" s="310">
        <f t="shared" si="216"/>
        <v>0</v>
      </c>
      <c r="H601" s="350"/>
      <c r="I601" s="351"/>
      <c r="J601" s="313">
        <f t="shared" si="217"/>
        <v>0</v>
      </c>
      <c r="K601" s="308"/>
      <c r="L601" s="309"/>
      <c r="M601" s="310">
        <f t="shared" si="218"/>
        <v>0</v>
      </c>
      <c r="N601" s="350"/>
      <c r="O601" s="351"/>
      <c r="P601" s="313">
        <f t="shared" si="219"/>
        <v>0</v>
      </c>
      <c r="Q601" s="308"/>
      <c r="R601" s="309"/>
      <c r="S601" s="310">
        <f t="shared" si="220"/>
        <v>0</v>
      </c>
      <c r="T601" s="350"/>
      <c r="U601" s="351"/>
      <c r="V601" s="313">
        <f t="shared" si="221"/>
        <v>0</v>
      </c>
      <c r="W601" s="308"/>
      <c r="X601" s="309"/>
      <c r="Y601" s="310">
        <f t="shared" si="222"/>
        <v>0</v>
      </c>
      <c r="Z601" s="350"/>
      <c r="AA601" s="351"/>
      <c r="AB601" s="313">
        <f t="shared" si="223"/>
        <v>0</v>
      </c>
      <c r="AC601" s="308"/>
      <c r="AD601" s="309"/>
      <c r="AE601" s="310">
        <f t="shared" si="224"/>
        <v>0</v>
      </c>
      <c r="AF601" s="350"/>
      <c r="AG601" s="351"/>
      <c r="AH601" s="313">
        <f t="shared" si="225"/>
        <v>0</v>
      </c>
      <c r="AI601" s="308">
        <v>167</v>
      </c>
      <c r="AJ601" s="309">
        <v>55750</v>
      </c>
      <c r="AK601" s="310">
        <f t="shared" si="226"/>
        <v>9310250</v>
      </c>
      <c r="AL601" s="350">
        <v>172</v>
      </c>
      <c r="AM601" s="351">
        <v>58105.25</v>
      </c>
      <c r="AN601" s="313">
        <f t="shared" si="227"/>
        <v>9994103</v>
      </c>
      <c r="AO601" s="308"/>
      <c r="AP601" s="309"/>
      <c r="AQ601" s="310">
        <f t="shared" si="228"/>
        <v>0</v>
      </c>
      <c r="AR601" s="350"/>
      <c r="AS601" s="351"/>
      <c r="AT601" s="313">
        <f t="shared" si="229"/>
        <v>0</v>
      </c>
      <c r="AU601" s="308"/>
      <c r="AV601" s="309"/>
      <c r="AW601" s="310">
        <f t="shared" si="230"/>
        <v>0</v>
      </c>
      <c r="AX601" s="350"/>
      <c r="AY601" s="351"/>
      <c r="AZ601" s="313">
        <f t="shared" si="231"/>
        <v>0</v>
      </c>
      <c r="BA601" s="308"/>
      <c r="BB601" s="309"/>
      <c r="BC601" s="310">
        <f t="shared" si="232"/>
        <v>0</v>
      </c>
      <c r="BD601" s="350"/>
      <c r="BE601" s="351"/>
      <c r="BF601" s="313">
        <f t="shared" si="233"/>
        <v>0</v>
      </c>
      <c r="BG601" s="308"/>
      <c r="BH601" s="309"/>
      <c r="BI601" s="310">
        <f t="shared" si="234"/>
        <v>0</v>
      </c>
      <c r="BJ601" s="350"/>
      <c r="BK601" s="351"/>
      <c r="BL601" s="313">
        <f t="shared" si="235"/>
        <v>0</v>
      </c>
      <c r="BM601" s="308"/>
      <c r="BN601" s="309"/>
      <c r="BO601" s="310">
        <f t="shared" si="236"/>
        <v>0</v>
      </c>
      <c r="BP601" s="350"/>
      <c r="BQ601" s="351"/>
      <c r="BR601" s="313">
        <f t="shared" si="237"/>
        <v>0</v>
      </c>
      <c r="BS601" s="308">
        <v>16</v>
      </c>
      <c r="BT601" s="309">
        <v>51968</v>
      </c>
      <c r="BU601" s="310">
        <f t="shared" si="238"/>
        <v>680323.48160000006</v>
      </c>
      <c r="BV601" s="350">
        <v>18</v>
      </c>
      <c r="BW601" s="351">
        <v>55742.888888888891</v>
      </c>
      <c r="BX601" s="313">
        <f t="shared" si="239"/>
        <v>820958.97039999999</v>
      </c>
      <c r="BY601" s="290"/>
    </row>
    <row r="602" spans="1:77">
      <c r="A602" s="346" t="s">
        <v>408</v>
      </c>
      <c r="B602" s="347" t="s">
        <v>196</v>
      </c>
      <c r="C602" s="348">
        <v>227146</v>
      </c>
      <c r="D602" s="349">
        <v>8</v>
      </c>
      <c r="E602" s="308"/>
      <c r="F602" s="309"/>
      <c r="G602" s="310">
        <f t="shared" si="216"/>
        <v>0</v>
      </c>
      <c r="H602" s="350">
        <v>40</v>
      </c>
      <c r="I602" s="351">
        <v>53963.3</v>
      </c>
      <c r="J602" s="313">
        <f t="shared" si="217"/>
        <v>2158532</v>
      </c>
      <c r="K602" s="308"/>
      <c r="L602" s="309"/>
      <c r="M602" s="310">
        <f t="shared" si="218"/>
        <v>0</v>
      </c>
      <c r="N602" s="350">
        <v>34</v>
      </c>
      <c r="O602" s="351">
        <v>48796.176470588238</v>
      </c>
      <c r="P602" s="313">
        <f t="shared" si="219"/>
        <v>1659070</v>
      </c>
      <c r="Q602" s="308"/>
      <c r="R602" s="309"/>
      <c r="S602" s="310">
        <f t="shared" si="220"/>
        <v>0</v>
      </c>
      <c r="T602" s="350">
        <v>3</v>
      </c>
      <c r="U602" s="351">
        <v>46548</v>
      </c>
      <c r="V602" s="313">
        <f t="shared" si="221"/>
        <v>139644</v>
      </c>
      <c r="W602" s="308">
        <v>83</v>
      </c>
      <c r="X602" s="309">
        <v>50285</v>
      </c>
      <c r="Y602" s="310">
        <f t="shared" si="222"/>
        <v>4173655</v>
      </c>
      <c r="Z602" s="350"/>
      <c r="AA602" s="351"/>
      <c r="AB602" s="313">
        <f t="shared" si="223"/>
        <v>0</v>
      </c>
      <c r="AC602" s="308"/>
      <c r="AD602" s="309"/>
      <c r="AE602" s="310">
        <f t="shared" si="224"/>
        <v>0</v>
      </c>
      <c r="AF602" s="350"/>
      <c r="AG602" s="351"/>
      <c r="AH602" s="313">
        <f t="shared" si="225"/>
        <v>0</v>
      </c>
      <c r="AI602" s="308"/>
      <c r="AJ602" s="309"/>
      <c r="AK602" s="310">
        <f t="shared" si="226"/>
        <v>0</v>
      </c>
      <c r="AL602" s="350"/>
      <c r="AM602" s="351"/>
      <c r="AN602" s="313">
        <f t="shared" si="227"/>
        <v>0</v>
      </c>
      <c r="AO602" s="308"/>
      <c r="AP602" s="309"/>
      <c r="AQ602" s="310">
        <f t="shared" si="228"/>
        <v>0</v>
      </c>
      <c r="AR602" s="350">
        <v>3</v>
      </c>
      <c r="AS602" s="351">
        <v>48561.666666666664</v>
      </c>
      <c r="AT602" s="313">
        <f t="shared" si="229"/>
        <v>119199.467</v>
      </c>
      <c r="AU602" s="308"/>
      <c r="AV602" s="309"/>
      <c r="AW602" s="310">
        <f t="shared" si="230"/>
        <v>0</v>
      </c>
      <c r="AX602" s="350">
        <v>21</v>
      </c>
      <c r="AY602" s="351">
        <v>68385.142857142855</v>
      </c>
      <c r="AZ602" s="313">
        <f t="shared" si="231"/>
        <v>1175007.2016</v>
      </c>
      <c r="BA602" s="308"/>
      <c r="BB602" s="309"/>
      <c r="BC602" s="310">
        <f t="shared" si="232"/>
        <v>0</v>
      </c>
      <c r="BD602" s="350">
        <v>12</v>
      </c>
      <c r="BE602" s="351">
        <v>59901.666666666664</v>
      </c>
      <c r="BF602" s="313">
        <f t="shared" si="233"/>
        <v>588138.52399999998</v>
      </c>
      <c r="BG602" s="308">
        <v>29</v>
      </c>
      <c r="BH602" s="309">
        <v>55211</v>
      </c>
      <c r="BI602" s="310">
        <f t="shared" si="234"/>
        <v>1310035.5658</v>
      </c>
      <c r="BJ602" s="350"/>
      <c r="BK602" s="351"/>
      <c r="BL602" s="313">
        <f t="shared" si="235"/>
        <v>0</v>
      </c>
      <c r="BM602" s="308"/>
      <c r="BN602" s="309"/>
      <c r="BO602" s="310">
        <f t="shared" si="236"/>
        <v>0</v>
      </c>
      <c r="BP602" s="350"/>
      <c r="BQ602" s="351"/>
      <c r="BR602" s="313">
        <f t="shared" si="237"/>
        <v>0</v>
      </c>
      <c r="BS602" s="308"/>
      <c r="BT602" s="309"/>
      <c r="BU602" s="310">
        <f t="shared" si="238"/>
        <v>0</v>
      </c>
      <c r="BV602" s="350"/>
      <c r="BW602" s="351"/>
      <c r="BX602" s="313">
        <f t="shared" si="239"/>
        <v>0</v>
      </c>
      <c r="BY602" s="290"/>
    </row>
    <row r="603" spans="1:77">
      <c r="A603" s="346" t="s">
        <v>408</v>
      </c>
      <c r="B603" s="347" t="s">
        <v>165</v>
      </c>
      <c r="C603" s="348">
        <v>227182</v>
      </c>
      <c r="D603" s="349">
        <v>8</v>
      </c>
      <c r="E603" s="308">
        <v>429</v>
      </c>
      <c r="F603" s="309">
        <v>65966</v>
      </c>
      <c r="G603" s="310">
        <f t="shared" si="216"/>
        <v>28299414</v>
      </c>
      <c r="H603" s="350">
        <v>450</v>
      </c>
      <c r="I603" s="351">
        <v>67570.451111111106</v>
      </c>
      <c r="J603" s="313">
        <f t="shared" si="217"/>
        <v>30406702.999999996</v>
      </c>
      <c r="K603" s="308">
        <v>114</v>
      </c>
      <c r="L603" s="309">
        <v>50639</v>
      </c>
      <c r="M603" s="310">
        <f t="shared" si="218"/>
        <v>5772846</v>
      </c>
      <c r="N603" s="350">
        <v>114</v>
      </c>
      <c r="O603" s="351">
        <v>53397.324561403511</v>
      </c>
      <c r="P603" s="313">
        <f t="shared" si="219"/>
        <v>6087295</v>
      </c>
      <c r="Q603" s="308">
        <v>31</v>
      </c>
      <c r="R603" s="309">
        <v>45676</v>
      </c>
      <c r="S603" s="310">
        <f t="shared" si="220"/>
        <v>1415956</v>
      </c>
      <c r="T603" s="350">
        <v>27</v>
      </c>
      <c r="U603" s="351">
        <v>50585.703703703701</v>
      </c>
      <c r="V603" s="313">
        <f t="shared" si="221"/>
        <v>1365814</v>
      </c>
      <c r="W603" s="308"/>
      <c r="X603" s="309"/>
      <c r="Y603" s="310">
        <f t="shared" si="222"/>
        <v>0</v>
      </c>
      <c r="Z603" s="350">
        <v>4</v>
      </c>
      <c r="AA603" s="351">
        <v>30660</v>
      </c>
      <c r="AB603" s="313">
        <f t="shared" si="223"/>
        <v>122640</v>
      </c>
      <c r="AC603" s="308"/>
      <c r="AD603" s="309"/>
      <c r="AE603" s="310">
        <f t="shared" si="224"/>
        <v>0</v>
      </c>
      <c r="AF603" s="350"/>
      <c r="AG603" s="351"/>
      <c r="AH603" s="313">
        <f t="shared" si="225"/>
        <v>0</v>
      </c>
      <c r="AI603" s="308"/>
      <c r="AJ603" s="309"/>
      <c r="AK603" s="310">
        <f t="shared" si="226"/>
        <v>0</v>
      </c>
      <c r="AL603" s="350"/>
      <c r="AM603" s="351"/>
      <c r="AN603" s="313">
        <f t="shared" si="227"/>
        <v>0</v>
      </c>
      <c r="AO603" s="308">
        <v>29</v>
      </c>
      <c r="AP603" s="309">
        <v>73878</v>
      </c>
      <c r="AQ603" s="310">
        <f t="shared" si="228"/>
        <v>1752962.4084000001</v>
      </c>
      <c r="AR603" s="350">
        <v>33</v>
      </c>
      <c r="AS603" s="351">
        <v>72692.818181818177</v>
      </c>
      <c r="AT603" s="313">
        <f t="shared" si="229"/>
        <v>1962749.7066000002</v>
      </c>
      <c r="AU603" s="308">
        <v>16</v>
      </c>
      <c r="AV603" s="309">
        <v>55238</v>
      </c>
      <c r="AW603" s="310">
        <f t="shared" si="230"/>
        <v>723131.70559999999</v>
      </c>
      <c r="AX603" s="350">
        <v>18</v>
      </c>
      <c r="AY603" s="351">
        <v>58728.111111111109</v>
      </c>
      <c r="AZ603" s="313">
        <f t="shared" si="231"/>
        <v>864924.12920000008</v>
      </c>
      <c r="BA603" s="308">
        <v>6</v>
      </c>
      <c r="BB603" s="309">
        <v>50324</v>
      </c>
      <c r="BC603" s="310">
        <f t="shared" si="232"/>
        <v>247050.58080000003</v>
      </c>
      <c r="BD603" s="350">
        <v>14</v>
      </c>
      <c r="BE603" s="351">
        <v>57442.928571428572</v>
      </c>
      <c r="BF603" s="313">
        <f t="shared" si="233"/>
        <v>657997.25820000004</v>
      </c>
      <c r="BG603" s="308"/>
      <c r="BH603" s="309"/>
      <c r="BI603" s="310">
        <f t="shared" si="234"/>
        <v>0</v>
      </c>
      <c r="BJ603" s="350"/>
      <c r="BK603" s="351"/>
      <c r="BL603" s="313">
        <f t="shared" si="235"/>
        <v>0</v>
      </c>
      <c r="BM603" s="308"/>
      <c r="BN603" s="309"/>
      <c r="BO603" s="310">
        <f t="shared" si="236"/>
        <v>0</v>
      </c>
      <c r="BP603" s="350"/>
      <c r="BQ603" s="351"/>
      <c r="BR603" s="313">
        <f t="shared" si="237"/>
        <v>0</v>
      </c>
      <c r="BS603" s="308"/>
      <c r="BT603" s="309"/>
      <c r="BU603" s="310">
        <f t="shared" si="238"/>
        <v>0</v>
      </c>
      <c r="BV603" s="350"/>
      <c r="BW603" s="351"/>
      <c r="BX603" s="313">
        <f t="shared" si="239"/>
        <v>0</v>
      </c>
      <c r="BY603" s="290"/>
    </row>
    <row r="604" spans="1:77">
      <c r="A604" s="346" t="s">
        <v>408</v>
      </c>
      <c r="B604" s="347" t="s">
        <v>166</v>
      </c>
      <c r="C604" s="348">
        <v>227191</v>
      </c>
      <c r="D604" s="349">
        <v>8</v>
      </c>
      <c r="E604" s="308"/>
      <c r="F604" s="309"/>
      <c r="G604" s="310">
        <f t="shared" si="216"/>
        <v>0</v>
      </c>
      <c r="H604" s="350"/>
      <c r="I604" s="351"/>
      <c r="J604" s="313">
        <f t="shared" si="217"/>
        <v>0</v>
      </c>
      <c r="K604" s="308"/>
      <c r="L604" s="309"/>
      <c r="M604" s="310">
        <f t="shared" si="218"/>
        <v>0</v>
      </c>
      <c r="N604" s="350"/>
      <c r="O604" s="351"/>
      <c r="P604" s="313">
        <f t="shared" si="219"/>
        <v>0</v>
      </c>
      <c r="Q604" s="308"/>
      <c r="R604" s="309"/>
      <c r="S604" s="310">
        <f t="shared" si="220"/>
        <v>0</v>
      </c>
      <c r="T604" s="350"/>
      <c r="U604" s="351"/>
      <c r="V604" s="313">
        <f t="shared" si="221"/>
        <v>0</v>
      </c>
      <c r="W604" s="308"/>
      <c r="X604" s="309"/>
      <c r="Y604" s="310">
        <f t="shared" si="222"/>
        <v>0</v>
      </c>
      <c r="Z604" s="350"/>
      <c r="AA604" s="351"/>
      <c r="AB604" s="313">
        <f t="shared" si="223"/>
        <v>0</v>
      </c>
      <c r="AC604" s="308"/>
      <c r="AD604" s="309"/>
      <c r="AE604" s="310">
        <f t="shared" si="224"/>
        <v>0</v>
      </c>
      <c r="AF604" s="350"/>
      <c r="AG604" s="351"/>
      <c r="AH604" s="313">
        <f t="shared" si="225"/>
        <v>0</v>
      </c>
      <c r="AI604" s="308">
        <v>93</v>
      </c>
      <c r="AJ604" s="309">
        <v>57248</v>
      </c>
      <c r="AK604" s="310">
        <f t="shared" si="226"/>
        <v>5324064</v>
      </c>
      <c r="AL604" s="350">
        <v>103</v>
      </c>
      <c r="AM604" s="351">
        <v>58378.2427184466</v>
      </c>
      <c r="AN604" s="313">
        <f t="shared" si="227"/>
        <v>6012959</v>
      </c>
      <c r="AO604" s="308"/>
      <c r="AP604" s="309"/>
      <c r="AQ604" s="310">
        <f t="shared" si="228"/>
        <v>0</v>
      </c>
      <c r="AR604" s="350"/>
      <c r="AS604" s="351"/>
      <c r="AT604" s="313">
        <f t="shared" si="229"/>
        <v>0</v>
      </c>
      <c r="AU604" s="308"/>
      <c r="AV604" s="309"/>
      <c r="AW604" s="310">
        <f t="shared" si="230"/>
        <v>0</v>
      </c>
      <c r="AX604" s="350"/>
      <c r="AY604" s="351"/>
      <c r="AZ604" s="313">
        <f t="shared" si="231"/>
        <v>0</v>
      </c>
      <c r="BA604" s="308"/>
      <c r="BB604" s="309"/>
      <c r="BC604" s="310">
        <f t="shared" si="232"/>
        <v>0</v>
      </c>
      <c r="BD604" s="350"/>
      <c r="BE604" s="351"/>
      <c r="BF604" s="313">
        <f t="shared" si="233"/>
        <v>0</v>
      </c>
      <c r="BG604" s="308"/>
      <c r="BH604" s="309"/>
      <c r="BI604" s="310">
        <f t="shared" si="234"/>
        <v>0</v>
      </c>
      <c r="BJ604" s="350"/>
      <c r="BK604" s="351"/>
      <c r="BL604" s="313">
        <f t="shared" si="235"/>
        <v>0</v>
      </c>
      <c r="BM604" s="308"/>
      <c r="BN604" s="309"/>
      <c r="BO604" s="310">
        <f t="shared" si="236"/>
        <v>0</v>
      </c>
      <c r="BP604" s="350"/>
      <c r="BQ604" s="351"/>
      <c r="BR604" s="313">
        <f t="shared" si="237"/>
        <v>0</v>
      </c>
      <c r="BS604" s="308"/>
      <c r="BT604" s="309"/>
      <c r="BU604" s="310">
        <f t="shared" si="238"/>
        <v>0</v>
      </c>
      <c r="BV604" s="350"/>
      <c r="BW604" s="351"/>
      <c r="BX604" s="313">
        <f t="shared" si="239"/>
        <v>0</v>
      </c>
      <c r="BY604" s="290"/>
    </row>
    <row r="605" spans="1:77">
      <c r="A605" s="346" t="s">
        <v>408</v>
      </c>
      <c r="B605" s="352" t="s">
        <v>167</v>
      </c>
      <c r="C605" s="348">
        <v>420398</v>
      </c>
      <c r="D605" s="349">
        <v>8</v>
      </c>
      <c r="E605" s="308">
        <v>1</v>
      </c>
      <c r="F605" s="309">
        <v>76707</v>
      </c>
      <c r="G605" s="310">
        <f t="shared" si="216"/>
        <v>76707</v>
      </c>
      <c r="H605" s="350">
        <v>1</v>
      </c>
      <c r="I605" s="351">
        <v>79776</v>
      </c>
      <c r="J605" s="313">
        <f t="shared" si="217"/>
        <v>79776</v>
      </c>
      <c r="K605" s="308">
        <v>7</v>
      </c>
      <c r="L605" s="309">
        <v>54383</v>
      </c>
      <c r="M605" s="310">
        <f t="shared" si="218"/>
        <v>380681</v>
      </c>
      <c r="N605" s="350">
        <v>11</v>
      </c>
      <c r="O605" s="351">
        <v>72011.363636363632</v>
      </c>
      <c r="P605" s="313">
        <f t="shared" si="219"/>
        <v>792125</v>
      </c>
      <c r="Q605" s="308">
        <v>27</v>
      </c>
      <c r="R605" s="309">
        <v>49680</v>
      </c>
      <c r="S605" s="310">
        <f t="shared" si="220"/>
        <v>1341360</v>
      </c>
      <c r="T605" s="350">
        <v>32</v>
      </c>
      <c r="U605" s="351">
        <v>67174.96875</v>
      </c>
      <c r="V605" s="313">
        <f t="shared" si="221"/>
        <v>2149599</v>
      </c>
      <c r="W605" s="308">
        <v>74</v>
      </c>
      <c r="X605" s="309">
        <v>42857</v>
      </c>
      <c r="Y605" s="310">
        <f t="shared" si="222"/>
        <v>3171418</v>
      </c>
      <c r="Z605" s="350">
        <v>75</v>
      </c>
      <c r="AA605" s="351">
        <v>58052.653333333335</v>
      </c>
      <c r="AB605" s="313">
        <f t="shared" si="223"/>
        <v>4353949</v>
      </c>
      <c r="AC605" s="308"/>
      <c r="AD605" s="309"/>
      <c r="AE605" s="310">
        <f t="shared" si="224"/>
        <v>0</v>
      </c>
      <c r="AF605" s="350">
        <v>1</v>
      </c>
      <c r="AG605" s="351">
        <v>84968</v>
      </c>
      <c r="AH605" s="313">
        <f t="shared" si="225"/>
        <v>84968</v>
      </c>
      <c r="AI605" s="308"/>
      <c r="AJ605" s="309"/>
      <c r="AK605" s="310">
        <f t="shared" si="226"/>
        <v>0</v>
      </c>
      <c r="AL605" s="350"/>
      <c r="AM605" s="351"/>
      <c r="AN605" s="313">
        <f t="shared" si="227"/>
        <v>0</v>
      </c>
      <c r="AO605" s="308"/>
      <c r="AP605" s="309"/>
      <c r="AQ605" s="310">
        <f t="shared" si="228"/>
        <v>0</v>
      </c>
      <c r="AR605" s="350"/>
      <c r="AS605" s="351"/>
      <c r="AT605" s="313">
        <f t="shared" si="229"/>
        <v>0</v>
      </c>
      <c r="AU605" s="308"/>
      <c r="AV605" s="309"/>
      <c r="AW605" s="310">
        <f t="shared" si="230"/>
        <v>0</v>
      </c>
      <c r="AX605" s="350"/>
      <c r="AY605" s="351"/>
      <c r="AZ605" s="313">
        <f t="shared" si="231"/>
        <v>0</v>
      </c>
      <c r="BA605" s="308">
        <v>1</v>
      </c>
      <c r="BB605" s="309">
        <v>66888</v>
      </c>
      <c r="BC605" s="310">
        <f t="shared" si="232"/>
        <v>54727.761600000005</v>
      </c>
      <c r="BD605" s="350">
        <v>1</v>
      </c>
      <c r="BE605" s="351">
        <v>80782</v>
      </c>
      <c r="BF605" s="313">
        <f t="shared" si="233"/>
        <v>66095.832399999999</v>
      </c>
      <c r="BG605" s="308">
        <v>3</v>
      </c>
      <c r="BH605" s="309">
        <v>61552</v>
      </c>
      <c r="BI605" s="310">
        <f t="shared" si="234"/>
        <v>151085.5392</v>
      </c>
      <c r="BJ605" s="350">
        <v>3</v>
      </c>
      <c r="BK605" s="351">
        <v>76234</v>
      </c>
      <c r="BL605" s="313">
        <f t="shared" si="235"/>
        <v>187123.97640000001</v>
      </c>
      <c r="BM605" s="308">
        <v>3</v>
      </c>
      <c r="BN605" s="309">
        <v>18735</v>
      </c>
      <c r="BO605" s="310">
        <f t="shared" si="236"/>
        <v>45986.931000000004</v>
      </c>
      <c r="BP605" s="350">
        <v>101</v>
      </c>
      <c r="BQ605" s="351">
        <v>22798.79207920792</v>
      </c>
      <c r="BR605" s="313">
        <f t="shared" si="237"/>
        <v>1884051.1396000001</v>
      </c>
      <c r="BS605" s="308"/>
      <c r="BT605" s="309"/>
      <c r="BU605" s="310">
        <f t="shared" si="238"/>
        <v>0</v>
      </c>
      <c r="BV605" s="350"/>
      <c r="BW605" s="351"/>
      <c r="BX605" s="313">
        <f t="shared" si="239"/>
        <v>0</v>
      </c>
      <c r="BY605" s="290"/>
    </row>
    <row r="606" spans="1:77">
      <c r="A606" s="346" t="s">
        <v>408</v>
      </c>
      <c r="B606" s="352" t="s">
        <v>168</v>
      </c>
      <c r="C606" s="348">
        <v>246354</v>
      </c>
      <c r="D606" s="349">
        <v>8</v>
      </c>
      <c r="E606" s="308">
        <v>21</v>
      </c>
      <c r="F606" s="309">
        <v>65769</v>
      </c>
      <c r="G606" s="310">
        <f t="shared" si="216"/>
        <v>1381149</v>
      </c>
      <c r="H606" s="350">
        <v>22</v>
      </c>
      <c r="I606" s="351">
        <v>75663.272727272721</v>
      </c>
      <c r="J606" s="313">
        <f t="shared" si="217"/>
        <v>1664591.9999999998</v>
      </c>
      <c r="K606" s="308">
        <v>14</v>
      </c>
      <c r="L606" s="309">
        <v>60395</v>
      </c>
      <c r="M606" s="310">
        <f t="shared" si="218"/>
        <v>845530</v>
      </c>
      <c r="N606" s="350">
        <v>15</v>
      </c>
      <c r="O606" s="351">
        <v>75118.133333333331</v>
      </c>
      <c r="P606" s="313">
        <f t="shared" si="219"/>
        <v>1126772</v>
      </c>
      <c r="Q606" s="308">
        <v>37</v>
      </c>
      <c r="R606" s="309">
        <v>54278</v>
      </c>
      <c r="S606" s="310">
        <f t="shared" si="220"/>
        <v>2008286</v>
      </c>
      <c r="T606" s="350">
        <v>39</v>
      </c>
      <c r="U606" s="351">
        <v>66852.564102564109</v>
      </c>
      <c r="V606" s="313">
        <f t="shared" si="221"/>
        <v>2607250.0000000005</v>
      </c>
      <c r="W606" s="308">
        <v>51</v>
      </c>
      <c r="X606" s="309">
        <v>43799</v>
      </c>
      <c r="Y606" s="310">
        <f t="shared" si="222"/>
        <v>2233749</v>
      </c>
      <c r="Z606" s="350">
        <v>49</v>
      </c>
      <c r="AA606" s="351">
        <v>55385.510204081635</v>
      </c>
      <c r="AB606" s="313">
        <f t="shared" si="223"/>
        <v>2713890</v>
      </c>
      <c r="AC606" s="308"/>
      <c r="AD606" s="309"/>
      <c r="AE606" s="310">
        <f t="shared" si="224"/>
        <v>0</v>
      </c>
      <c r="AF606" s="350">
        <v>2</v>
      </c>
      <c r="AG606" s="351">
        <v>37518.5</v>
      </c>
      <c r="AH606" s="313">
        <f t="shared" si="225"/>
        <v>75037</v>
      </c>
      <c r="AI606" s="308"/>
      <c r="AJ606" s="309"/>
      <c r="AK606" s="310">
        <f t="shared" si="226"/>
        <v>0</v>
      </c>
      <c r="AL606" s="350">
        <v>1</v>
      </c>
      <c r="AM606" s="351">
        <v>25908</v>
      </c>
      <c r="AN606" s="313">
        <f t="shared" si="227"/>
        <v>25908</v>
      </c>
      <c r="AO606" s="308"/>
      <c r="AP606" s="309"/>
      <c r="AQ606" s="310">
        <f t="shared" si="228"/>
        <v>0</v>
      </c>
      <c r="AR606" s="350"/>
      <c r="AS606" s="351"/>
      <c r="AT606" s="313">
        <f t="shared" si="229"/>
        <v>0</v>
      </c>
      <c r="AU606" s="308"/>
      <c r="AV606" s="309"/>
      <c r="AW606" s="310">
        <f t="shared" si="230"/>
        <v>0</v>
      </c>
      <c r="AX606" s="350"/>
      <c r="AY606" s="351"/>
      <c r="AZ606" s="313">
        <f t="shared" si="231"/>
        <v>0</v>
      </c>
      <c r="BA606" s="308"/>
      <c r="BB606" s="309"/>
      <c r="BC606" s="310">
        <f t="shared" si="232"/>
        <v>0</v>
      </c>
      <c r="BD606" s="350"/>
      <c r="BE606" s="351"/>
      <c r="BF606" s="313">
        <f t="shared" si="233"/>
        <v>0</v>
      </c>
      <c r="BG606" s="308">
        <v>1</v>
      </c>
      <c r="BH606" s="309">
        <v>38970</v>
      </c>
      <c r="BI606" s="310">
        <f t="shared" si="234"/>
        <v>31885.254000000001</v>
      </c>
      <c r="BJ606" s="350">
        <v>1</v>
      </c>
      <c r="BK606" s="351">
        <v>54983</v>
      </c>
      <c r="BL606" s="313">
        <f t="shared" si="235"/>
        <v>44987.090600000003</v>
      </c>
      <c r="BM606" s="308">
        <v>1</v>
      </c>
      <c r="BN606" s="309">
        <v>32410</v>
      </c>
      <c r="BO606" s="310">
        <f t="shared" si="236"/>
        <v>26517.862000000001</v>
      </c>
      <c r="BP606" s="350">
        <v>21</v>
      </c>
      <c r="BQ606" s="351">
        <v>21982.619047619046</v>
      </c>
      <c r="BR606" s="313">
        <f t="shared" si="237"/>
        <v>377709.75699999998</v>
      </c>
      <c r="BS606" s="308"/>
      <c r="BT606" s="309"/>
      <c r="BU606" s="310">
        <f t="shared" si="238"/>
        <v>0</v>
      </c>
      <c r="BV606" s="350">
        <v>1</v>
      </c>
      <c r="BW606" s="351">
        <v>32924</v>
      </c>
      <c r="BX606" s="313">
        <f t="shared" si="239"/>
        <v>26938.416800000003</v>
      </c>
      <c r="BY606" s="290"/>
    </row>
    <row r="607" spans="1:77">
      <c r="A607" s="346" t="s">
        <v>408</v>
      </c>
      <c r="B607" s="347" t="s">
        <v>169</v>
      </c>
      <c r="C607" s="348">
        <v>227766</v>
      </c>
      <c r="D607" s="349">
        <v>8</v>
      </c>
      <c r="E607" s="308"/>
      <c r="F607" s="309"/>
      <c r="G607" s="310">
        <f t="shared" si="216"/>
        <v>0</v>
      </c>
      <c r="H607" s="350"/>
      <c r="I607" s="351"/>
      <c r="J607" s="313">
        <f t="shared" si="217"/>
        <v>0</v>
      </c>
      <c r="K607" s="308"/>
      <c r="L607" s="309"/>
      <c r="M607" s="310">
        <f t="shared" si="218"/>
        <v>0</v>
      </c>
      <c r="N607" s="350"/>
      <c r="O607" s="351"/>
      <c r="P607" s="313">
        <f t="shared" si="219"/>
        <v>0</v>
      </c>
      <c r="Q607" s="308"/>
      <c r="R607" s="309"/>
      <c r="S607" s="310">
        <f t="shared" si="220"/>
        <v>0</v>
      </c>
      <c r="T607" s="350"/>
      <c r="U607" s="351"/>
      <c r="V607" s="313">
        <f t="shared" si="221"/>
        <v>0</v>
      </c>
      <c r="W607" s="308"/>
      <c r="X607" s="309"/>
      <c r="Y607" s="310">
        <f t="shared" si="222"/>
        <v>0</v>
      </c>
      <c r="Z607" s="350"/>
      <c r="AA607" s="351"/>
      <c r="AB607" s="313">
        <f t="shared" si="223"/>
        <v>0</v>
      </c>
      <c r="AC607" s="308"/>
      <c r="AD607" s="309"/>
      <c r="AE607" s="310">
        <f t="shared" si="224"/>
        <v>0</v>
      </c>
      <c r="AF607" s="350"/>
      <c r="AG607" s="351"/>
      <c r="AH607" s="313">
        <f t="shared" si="225"/>
        <v>0</v>
      </c>
      <c r="AI607" s="308">
        <v>140</v>
      </c>
      <c r="AJ607" s="309">
        <v>63011</v>
      </c>
      <c r="AK607" s="310">
        <f t="shared" si="226"/>
        <v>8821540</v>
      </c>
      <c r="AL607" s="350">
        <v>146</v>
      </c>
      <c r="AM607" s="351">
        <v>64835.095890410958</v>
      </c>
      <c r="AN607" s="313">
        <f t="shared" si="227"/>
        <v>9465924</v>
      </c>
      <c r="AO607" s="308"/>
      <c r="AP607" s="309"/>
      <c r="AQ607" s="310">
        <f t="shared" si="228"/>
        <v>0</v>
      </c>
      <c r="AR607" s="350"/>
      <c r="AS607" s="351"/>
      <c r="AT607" s="313">
        <f t="shared" si="229"/>
        <v>0</v>
      </c>
      <c r="AU607" s="308"/>
      <c r="AV607" s="309"/>
      <c r="AW607" s="310">
        <f t="shared" si="230"/>
        <v>0</v>
      </c>
      <c r="AX607" s="350"/>
      <c r="AY607" s="351"/>
      <c r="AZ607" s="313">
        <f t="shared" si="231"/>
        <v>0</v>
      </c>
      <c r="BA607" s="308"/>
      <c r="BB607" s="309"/>
      <c r="BC607" s="310">
        <f t="shared" si="232"/>
        <v>0</v>
      </c>
      <c r="BD607" s="350"/>
      <c r="BE607" s="351"/>
      <c r="BF607" s="313">
        <f t="shared" si="233"/>
        <v>0</v>
      </c>
      <c r="BG607" s="308"/>
      <c r="BH607" s="309"/>
      <c r="BI607" s="310">
        <f t="shared" si="234"/>
        <v>0</v>
      </c>
      <c r="BJ607" s="350"/>
      <c r="BK607" s="351"/>
      <c r="BL607" s="313">
        <f t="shared" si="235"/>
        <v>0</v>
      </c>
      <c r="BM607" s="308"/>
      <c r="BN607" s="309"/>
      <c r="BO607" s="310">
        <f t="shared" si="236"/>
        <v>0</v>
      </c>
      <c r="BP607" s="350"/>
      <c r="BQ607" s="351"/>
      <c r="BR607" s="313">
        <f t="shared" si="237"/>
        <v>0</v>
      </c>
      <c r="BS607" s="308"/>
      <c r="BT607" s="309"/>
      <c r="BU607" s="310">
        <f t="shared" si="238"/>
        <v>0</v>
      </c>
      <c r="BV607" s="350"/>
      <c r="BW607" s="351"/>
      <c r="BX607" s="313">
        <f t="shared" si="239"/>
        <v>0</v>
      </c>
      <c r="BY607" s="290"/>
    </row>
    <row r="608" spans="1:77">
      <c r="A608" s="346" t="s">
        <v>408</v>
      </c>
      <c r="B608" s="347" t="s">
        <v>170</v>
      </c>
      <c r="C608" s="348">
        <v>227924</v>
      </c>
      <c r="D608" s="349">
        <v>8</v>
      </c>
      <c r="E608" s="308">
        <v>134</v>
      </c>
      <c r="F608" s="309">
        <v>71679</v>
      </c>
      <c r="G608" s="310">
        <f t="shared" si="216"/>
        <v>9604986</v>
      </c>
      <c r="H608" s="350">
        <v>266</v>
      </c>
      <c r="I608" s="351">
        <v>77969.12781954887</v>
      </c>
      <c r="J608" s="313">
        <f t="shared" si="217"/>
        <v>20739788</v>
      </c>
      <c r="K608" s="308">
        <v>75</v>
      </c>
      <c r="L608" s="309">
        <v>60724</v>
      </c>
      <c r="M608" s="310">
        <f t="shared" si="218"/>
        <v>4554300</v>
      </c>
      <c r="N608" s="350">
        <v>148</v>
      </c>
      <c r="O608" s="351">
        <v>72445.972972972973</v>
      </c>
      <c r="P608" s="313">
        <f t="shared" si="219"/>
        <v>10722004</v>
      </c>
      <c r="Q608" s="308">
        <v>72</v>
      </c>
      <c r="R608" s="309">
        <v>54920</v>
      </c>
      <c r="S608" s="310">
        <f t="shared" si="220"/>
        <v>3954240</v>
      </c>
      <c r="T608" s="350">
        <v>156</v>
      </c>
      <c r="U608" s="351">
        <v>63969.256410256414</v>
      </c>
      <c r="V608" s="313">
        <f t="shared" si="221"/>
        <v>9979204</v>
      </c>
      <c r="W608" s="308">
        <v>112</v>
      </c>
      <c r="X608" s="309">
        <v>47384</v>
      </c>
      <c r="Y608" s="310">
        <f t="shared" si="222"/>
        <v>5307008</v>
      </c>
      <c r="Z608" s="350">
        <v>214</v>
      </c>
      <c r="AA608" s="351">
        <v>55097.345794392524</v>
      </c>
      <c r="AB608" s="313">
        <f t="shared" si="223"/>
        <v>11790832</v>
      </c>
      <c r="AC608" s="308"/>
      <c r="AD608" s="309"/>
      <c r="AE608" s="310">
        <f t="shared" si="224"/>
        <v>0</v>
      </c>
      <c r="AF608" s="350">
        <v>2</v>
      </c>
      <c r="AG608" s="351">
        <v>27455</v>
      </c>
      <c r="AH608" s="313">
        <f t="shared" si="225"/>
        <v>54910</v>
      </c>
      <c r="AI608" s="308"/>
      <c r="AJ608" s="309"/>
      <c r="AK608" s="310">
        <f t="shared" si="226"/>
        <v>0</v>
      </c>
      <c r="AL608" s="350"/>
      <c r="AM608" s="351"/>
      <c r="AN608" s="313">
        <f t="shared" si="227"/>
        <v>0</v>
      </c>
      <c r="AO608" s="308"/>
      <c r="AP608" s="309"/>
      <c r="AQ608" s="310">
        <f t="shared" si="228"/>
        <v>0</v>
      </c>
      <c r="AR608" s="350"/>
      <c r="AS608" s="351"/>
      <c r="AT608" s="313">
        <f t="shared" si="229"/>
        <v>0</v>
      </c>
      <c r="AU608" s="308"/>
      <c r="AV608" s="309"/>
      <c r="AW608" s="310">
        <f t="shared" si="230"/>
        <v>0</v>
      </c>
      <c r="AX608" s="350"/>
      <c r="AY608" s="351"/>
      <c r="AZ608" s="313">
        <f t="shared" si="231"/>
        <v>0</v>
      </c>
      <c r="BA608" s="308">
        <v>1</v>
      </c>
      <c r="BB608" s="309">
        <v>57546</v>
      </c>
      <c r="BC608" s="310">
        <f t="shared" si="232"/>
        <v>47084.137200000005</v>
      </c>
      <c r="BD608" s="350">
        <v>2</v>
      </c>
      <c r="BE608" s="351">
        <v>69418</v>
      </c>
      <c r="BF608" s="313">
        <f t="shared" si="233"/>
        <v>113595.6152</v>
      </c>
      <c r="BG608" s="308">
        <v>1</v>
      </c>
      <c r="BH608" s="309">
        <v>52204</v>
      </c>
      <c r="BI608" s="310">
        <f t="shared" si="234"/>
        <v>42713.3128</v>
      </c>
      <c r="BJ608" s="350">
        <v>4</v>
      </c>
      <c r="BK608" s="351">
        <v>82138</v>
      </c>
      <c r="BL608" s="313">
        <f t="shared" si="235"/>
        <v>268821.2464</v>
      </c>
      <c r="BM608" s="308">
        <v>3</v>
      </c>
      <c r="BN608" s="309">
        <v>21304</v>
      </c>
      <c r="BO608" s="310">
        <f t="shared" si="236"/>
        <v>52292.7984</v>
      </c>
      <c r="BP608" s="350">
        <v>60</v>
      </c>
      <c r="BQ608" s="351">
        <v>23606.933333333334</v>
      </c>
      <c r="BR608" s="313">
        <f t="shared" si="237"/>
        <v>1158911.5712000001</v>
      </c>
      <c r="BS608" s="308"/>
      <c r="BT608" s="309"/>
      <c r="BU608" s="310">
        <f t="shared" si="238"/>
        <v>0</v>
      </c>
      <c r="BV608" s="350"/>
      <c r="BW608" s="351"/>
      <c r="BX608" s="313">
        <f t="shared" si="239"/>
        <v>0</v>
      </c>
      <c r="BY608" s="290"/>
    </row>
    <row r="609" spans="1:77">
      <c r="A609" s="346" t="s">
        <v>408</v>
      </c>
      <c r="B609" s="347" t="s">
        <v>171</v>
      </c>
      <c r="C609" s="348">
        <v>227979</v>
      </c>
      <c r="D609" s="349">
        <v>8</v>
      </c>
      <c r="E609" s="308"/>
      <c r="F609" s="309"/>
      <c r="G609" s="310">
        <f t="shared" si="216"/>
        <v>0</v>
      </c>
      <c r="H609" s="350"/>
      <c r="I609" s="351"/>
      <c r="J609" s="313">
        <f t="shared" si="217"/>
        <v>0</v>
      </c>
      <c r="K609" s="308"/>
      <c r="L609" s="309"/>
      <c r="M609" s="310">
        <f t="shared" si="218"/>
        <v>0</v>
      </c>
      <c r="N609" s="350"/>
      <c r="O609" s="351"/>
      <c r="P609" s="313">
        <f t="shared" si="219"/>
        <v>0</v>
      </c>
      <c r="Q609" s="308"/>
      <c r="R609" s="309"/>
      <c r="S609" s="310">
        <f t="shared" si="220"/>
        <v>0</v>
      </c>
      <c r="T609" s="350"/>
      <c r="U609" s="351"/>
      <c r="V609" s="313">
        <f t="shared" si="221"/>
        <v>0</v>
      </c>
      <c r="W609" s="308"/>
      <c r="X609" s="309"/>
      <c r="Y609" s="310">
        <f t="shared" si="222"/>
        <v>0</v>
      </c>
      <c r="Z609" s="350"/>
      <c r="AA609" s="351"/>
      <c r="AB609" s="313">
        <f t="shared" si="223"/>
        <v>0</v>
      </c>
      <c r="AC609" s="308"/>
      <c r="AD609" s="309"/>
      <c r="AE609" s="310">
        <f t="shared" si="224"/>
        <v>0</v>
      </c>
      <c r="AF609" s="350"/>
      <c r="AG609" s="351"/>
      <c r="AH609" s="313">
        <f t="shared" si="225"/>
        <v>0</v>
      </c>
      <c r="AI609" s="308">
        <v>344</v>
      </c>
      <c r="AJ609" s="309">
        <v>49862</v>
      </c>
      <c r="AK609" s="310">
        <f t="shared" si="226"/>
        <v>17152528</v>
      </c>
      <c r="AL609" s="350">
        <v>336</v>
      </c>
      <c r="AM609" s="351">
        <v>57083.127976190473</v>
      </c>
      <c r="AN609" s="313">
        <f t="shared" si="227"/>
        <v>19179931</v>
      </c>
      <c r="AO609" s="308"/>
      <c r="AP609" s="309"/>
      <c r="AQ609" s="310">
        <f t="shared" si="228"/>
        <v>0</v>
      </c>
      <c r="AR609" s="350"/>
      <c r="AS609" s="351"/>
      <c r="AT609" s="313">
        <f t="shared" si="229"/>
        <v>0</v>
      </c>
      <c r="AU609" s="308"/>
      <c r="AV609" s="309"/>
      <c r="AW609" s="310">
        <f t="shared" si="230"/>
        <v>0</v>
      </c>
      <c r="AX609" s="350"/>
      <c r="AY609" s="351"/>
      <c r="AZ609" s="313">
        <f t="shared" si="231"/>
        <v>0</v>
      </c>
      <c r="BA609" s="308"/>
      <c r="BB609" s="309"/>
      <c r="BC609" s="310">
        <f t="shared" si="232"/>
        <v>0</v>
      </c>
      <c r="BD609" s="350"/>
      <c r="BE609" s="351"/>
      <c r="BF609" s="313">
        <f t="shared" si="233"/>
        <v>0</v>
      </c>
      <c r="BG609" s="308"/>
      <c r="BH609" s="309"/>
      <c r="BI609" s="310">
        <f t="shared" si="234"/>
        <v>0</v>
      </c>
      <c r="BJ609" s="350"/>
      <c r="BK609" s="351"/>
      <c r="BL609" s="313">
        <f t="shared" si="235"/>
        <v>0</v>
      </c>
      <c r="BM609" s="308"/>
      <c r="BN609" s="309"/>
      <c r="BO609" s="310">
        <f t="shared" si="236"/>
        <v>0</v>
      </c>
      <c r="BP609" s="350"/>
      <c r="BQ609" s="351"/>
      <c r="BR609" s="313">
        <f t="shared" si="237"/>
        <v>0</v>
      </c>
      <c r="BS609" s="308">
        <v>69</v>
      </c>
      <c r="BT609" s="309">
        <v>62845</v>
      </c>
      <c r="BU609" s="310">
        <f t="shared" si="238"/>
        <v>3547964.7510000002</v>
      </c>
      <c r="BV609" s="350">
        <v>78</v>
      </c>
      <c r="BW609" s="351">
        <v>72805.346153846156</v>
      </c>
      <c r="BX609" s="313">
        <f t="shared" si="239"/>
        <v>4646408.0694000004</v>
      </c>
      <c r="BY609" s="290"/>
    </row>
    <row r="610" spans="1:77">
      <c r="A610" s="346" t="s">
        <v>408</v>
      </c>
      <c r="B610" s="347" t="s">
        <v>172</v>
      </c>
      <c r="C610" s="348">
        <v>228158</v>
      </c>
      <c r="D610" s="349">
        <v>8</v>
      </c>
      <c r="E610" s="308">
        <v>39</v>
      </c>
      <c r="F610" s="309">
        <v>55292</v>
      </c>
      <c r="G610" s="310">
        <f t="shared" si="216"/>
        <v>2156388</v>
      </c>
      <c r="H610" s="350">
        <v>39</v>
      </c>
      <c r="I610" s="351">
        <v>56822.179487179485</v>
      </c>
      <c r="J610" s="313">
        <f t="shared" si="217"/>
        <v>2216065</v>
      </c>
      <c r="K610" s="308">
        <v>36</v>
      </c>
      <c r="L610" s="309">
        <v>47764</v>
      </c>
      <c r="M610" s="310">
        <f t="shared" si="218"/>
        <v>1719504</v>
      </c>
      <c r="N610" s="350">
        <v>41</v>
      </c>
      <c r="O610" s="351">
        <v>48673.268292682929</v>
      </c>
      <c r="P610" s="313">
        <f t="shared" si="219"/>
        <v>1995604</v>
      </c>
      <c r="Q610" s="308">
        <v>98</v>
      </c>
      <c r="R610" s="309">
        <v>42760</v>
      </c>
      <c r="S610" s="310">
        <f t="shared" si="220"/>
        <v>4190480</v>
      </c>
      <c r="T610" s="350">
        <v>93</v>
      </c>
      <c r="U610" s="351">
        <v>43562.795698924732</v>
      </c>
      <c r="V610" s="313">
        <f t="shared" si="221"/>
        <v>4051340</v>
      </c>
      <c r="W610" s="308">
        <v>82</v>
      </c>
      <c r="X610" s="309">
        <v>32249</v>
      </c>
      <c r="Y610" s="310">
        <f t="shared" si="222"/>
        <v>2644418</v>
      </c>
      <c r="Z610" s="350">
        <v>67</v>
      </c>
      <c r="AA610" s="351">
        <v>37281.13432835821</v>
      </c>
      <c r="AB610" s="313">
        <f t="shared" si="223"/>
        <v>2497836</v>
      </c>
      <c r="AC610" s="308"/>
      <c r="AD610" s="309"/>
      <c r="AE610" s="310">
        <f t="shared" si="224"/>
        <v>0</v>
      </c>
      <c r="AF610" s="350"/>
      <c r="AG610" s="351"/>
      <c r="AH610" s="313">
        <f t="shared" si="225"/>
        <v>0</v>
      </c>
      <c r="AI610" s="308"/>
      <c r="AJ610" s="309"/>
      <c r="AK610" s="310">
        <f t="shared" si="226"/>
        <v>0</v>
      </c>
      <c r="AL610" s="350"/>
      <c r="AM610" s="351"/>
      <c r="AN610" s="313">
        <f t="shared" si="227"/>
        <v>0</v>
      </c>
      <c r="AO610" s="308"/>
      <c r="AP610" s="309"/>
      <c r="AQ610" s="310">
        <f t="shared" si="228"/>
        <v>0</v>
      </c>
      <c r="AR610" s="350"/>
      <c r="AS610" s="351"/>
      <c r="AT610" s="313">
        <f t="shared" si="229"/>
        <v>0</v>
      </c>
      <c r="AU610" s="308">
        <v>1</v>
      </c>
      <c r="AV610" s="309">
        <v>58326</v>
      </c>
      <c r="AW610" s="310">
        <f t="shared" si="230"/>
        <v>47722.333200000001</v>
      </c>
      <c r="AX610" s="350"/>
      <c r="AY610" s="351"/>
      <c r="AZ610" s="313">
        <f t="shared" si="231"/>
        <v>0</v>
      </c>
      <c r="BA610" s="308">
        <v>11</v>
      </c>
      <c r="BB610" s="309">
        <v>22081</v>
      </c>
      <c r="BC610" s="310">
        <f t="shared" si="232"/>
        <v>198733.41620000001</v>
      </c>
      <c r="BD610" s="350">
        <v>3</v>
      </c>
      <c r="BE610" s="351">
        <v>67655.333333333328</v>
      </c>
      <c r="BF610" s="313">
        <f t="shared" si="233"/>
        <v>166066.7812</v>
      </c>
      <c r="BG610" s="308">
        <v>12</v>
      </c>
      <c r="BH610" s="309">
        <v>81524</v>
      </c>
      <c r="BI610" s="310">
        <f t="shared" si="234"/>
        <v>800435.24160000007</v>
      </c>
      <c r="BJ610" s="350">
        <v>27</v>
      </c>
      <c r="BK610" s="351">
        <v>39336.962962962964</v>
      </c>
      <c r="BL610" s="313">
        <f t="shared" si="235"/>
        <v>869008.58360000001</v>
      </c>
      <c r="BM610" s="308"/>
      <c r="BN610" s="309"/>
      <c r="BO610" s="310">
        <f t="shared" si="236"/>
        <v>0</v>
      </c>
      <c r="BP610" s="350"/>
      <c r="BQ610" s="351"/>
      <c r="BR610" s="313">
        <f t="shared" si="237"/>
        <v>0</v>
      </c>
      <c r="BS610" s="308"/>
      <c r="BT610" s="309"/>
      <c r="BU610" s="310">
        <f t="shared" si="238"/>
        <v>0</v>
      </c>
      <c r="BV610" s="350"/>
      <c r="BW610" s="351"/>
      <c r="BX610" s="313">
        <f t="shared" si="239"/>
        <v>0</v>
      </c>
      <c r="BY610" s="290"/>
    </row>
    <row r="611" spans="1:77">
      <c r="A611" s="346" t="s">
        <v>408</v>
      </c>
      <c r="B611" s="435" t="s">
        <v>173</v>
      </c>
      <c r="C611" s="348">
        <v>409315</v>
      </c>
      <c r="D611" s="349">
        <v>8</v>
      </c>
      <c r="E611" s="308"/>
      <c r="F611" s="309"/>
      <c r="G611" s="310">
        <f t="shared" si="216"/>
        <v>0</v>
      </c>
      <c r="H611" s="350">
        <v>2</v>
      </c>
      <c r="I611" s="351">
        <v>58815.5</v>
      </c>
      <c r="J611" s="313">
        <f t="shared" si="217"/>
        <v>117631</v>
      </c>
      <c r="K611" s="308"/>
      <c r="L611" s="309"/>
      <c r="M611" s="310">
        <f t="shared" si="218"/>
        <v>0</v>
      </c>
      <c r="N611" s="350">
        <v>11</v>
      </c>
      <c r="O611" s="351">
        <v>55947.818181818184</v>
      </c>
      <c r="P611" s="313">
        <f t="shared" si="219"/>
        <v>615426</v>
      </c>
      <c r="Q611" s="308"/>
      <c r="R611" s="309"/>
      <c r="S611" s="310">
        <f t="shared" si="220"/>
        <v>0</v>
      </c>
      <c r="T611" s="350">
        <v>15</v>
      </c>
      <c r="U611" s="351">
        <v>49302.26666666667</v>
      </c>
      <c r="V611" s="313">
        <f t="shared" si="221"/>
        <v>739534</v>
      </c>
      <c r="W611" s="308">
        <v>392</v>
      </c>
      <c r="X611" s="309">
        <v>46443</v>
      </c>
      <c r="Y611" s="310">
        <f t="shared" si="222"/>
        <v>18205656</v>
      </c>
      <c r="Z611" s="350">
        <v>385</v>
      </c>
      <c r="AA611" s="351">
        <v>49599.054545454543</v>
      </c>
      <c r="AB611" s="313">
        <f t="shared" si="223"/>
        <v>19095636</v>
      </c>
      <c r="AC611" s="308"/>
      <c r="AD611" s="309"/>
      <c r="AE611" s="310">
        <f t="shared" si="224"/>
        <v>0</v>
      </c>
      <c r="AF611" s="350"/>
      <c r="AG611" s="351"/>
      <c r="AH611" s="313">
        <f t="shared" si="225"/>
        <v>0</v>
      </c>
      <c r="AI611" s="308"/>
      <c r="AJ611" s="309"/>
      <c r="AK611" s="310">
        <f t="shared" si="226"/>
        <v>0</v>
      </c>
      <c r="AL611" s="350"/>
      <c r="AM611" s="351"/>
      <c r="AN611" s="313">
        <f t="shared" si="227"/>
        <v>0</v>
      </c>
      <c r="AO611" s="308"/>
      <c r="AP611" s="309"/>
      <c r="AQ611" s="310">
        <f t="shared" si="228"/>
        <v>0</v>
      </c>
      <c r="AR611" s="350"/>
      <c r="AS611" s="351"/>
      <c r="AT611" s="313">
        <f t="shared" si="229"/>
        <v>0</v>
      </c>
      <c r="AU611" s="308"/>
      <c r="AV611" s="309"/>
      <c r="AW611" s="310">
        <f t="shared" si="230"/>
        <v>0</v>
      </c>
      <c r="AX611" s="350"/>
      <c r="AY611" s="351"/>
      <c r="AZ611" s="313">
        <f t="shared" si="231"/>
        <v>0</v>
      </c>
      <c r="BA611" s="308"/>
      <c r="BB611" s="309"/>
      <c r="BC611" s="310">
        <f t="shared" si="232"/>
        <v>0</v>
      </c>
      <c r="BD611" s="350"/>
      <c r="BE611" s="351"/>
      <c r="BF611" s="313">
        <f t="shared" si="233"/>
        <v>0</v>
      </c>
      <c r="BG611" s="308">
        <v>38</v>
      </c>
      <c r="BH611" s="309">
        <v>61002</v>
      </c>
      <c r="BI611" s="310">
        <f t="shared" si="234"/>
        <v>1896649.7832000002</v>
      </c>
      <c r="BJ611" s="350">
        <v>46</v>
      </c>
      <c r="BK611" s="351">
        <v>64676.84782608696</v>
      </c>
      <c r="BL611" s="313">
        <f t="shared" si="235"/>
        <v>2434255.4569999999</v>
      </c>
      <c r="BM611" s="308"/>
      <c r="BN611" s="309"/>
      <c r="BO611" s="310">
        <f t="shared" si="236"/>
        <v>0</v>
      </c>
      <c r="BP611" s="350"/>
      <c r="BQ611" s="351"/>
      <c r="BR611" s="313">
        <f t="shared" si="237"/>
        <v>0</v>
      </c>
      <c r="BS611" s="308"/>
      <c r="BT611" s="309"/>
      <c r="BU611" s="310">
        <f t="shared" si="238"/>
        <v>0</v>
      </c>
      <c r="BV611" s="350"/>
      <c r="BW611" s="351"/>
      <c r="BX611" s="313">
        <f t="shared" si="239"/>
        <v>0</v>
      </c>
      <c r="BY611" s="290"/>
    </row>
    <row r="612" spans="1:77">
      <c r="A612" s="346" t="s">
        <v>408</v>
      </c>
      <c r="B612" s="347" t="s">
        <v>174</v>
      </c>
      <c r="C612" s="348">
        <v>227854</v>
      </c>
      <c r="D612" s="349">
        <v>8</v>
      </c>
      <c r="E612" s="308">
        <v>24</v>
      </c>
      <c r="F612" s="309">
        <v>70661</v>
      </c>
      <c r="G612" s="310">
        <f t="shared" si="216"/>
        <v>1695864</v>
      </c>
      <c r="H612" s="350">
        <v>30</v>
      </c>
      <c r="I612" s="351">
        <v>72056.5</v>
      </c>
      <c r="J612" s="313">
        <f t="shared" si="217"/>
        <v>2161695</v>
      </c>
      <c r="K612" s="308">
        <v>21</v>
      </c>
      <c r="L612" s="309">
        <v>59310</v>
      </c>
      <c r="M612" s="310">
        <f t="shared" si="218"/>
        <v>1245510</v>
      </c>
      <c r="N612" s="350">
        <v>17</v>
      </c>
      <c r="O612" s="351">
        <v>69785.647058823524</v>
      </c>
      <c r="P612" s="313">
        <f t="shared" si="219"/>
        <v>1186356</v>
      </c>
      <c r="Q612" s="308">
        <v>33</v>
      </c>
      <c r="R612" s="309">
        <v>54988</v>
      </c>
      <c r="S612" s="310">
        <f t="shared" si="220"/>
        <v>1814604</v>
      </c>
      <c r="T612" s="350">
        <v>43</v>
      </c>
      <c r="U612" s="351">
        <v>60911.837209302328</v>
      </c>
      <c r="V612" s="313">
        <f t="shared" si="221"/>
        <v>2619209</v>
      </c>
      <c r="W612" s="308">
        <v>103</v>
      </c>
      <c r="X612" s="309">
        <v>45781</v>
      </c>
      <c r="Y612" s="310">
        <f t="shared" si="222"/>
        <v>4715443</v>
      </c>
      <c r="Z612" s="350">
        <v>109</v>
      </c>
      <c r="AA612" s="351">
        <v>54874.853211009176</v>
      </c>
      <c r="AB612" s="313">
        <f t="shared" si="223"/>
        <v>5981359</v>
      </c>
      <c r="AC612" s="308">
        <v>1</v>
      </c>
      <c r="AD612" s="309">
        <v>18999</v>
      </c>
      <c r="AE612" s="310">
        <f t="shared" si="224"/>
        <v>18999</v>
      </c>
      <c r="AF612" s="350">
        <v>3</v>
      </c>
      <c r="AG612" s="351">
        <v>15497.333333333334</v>
      </c>
      <c r="AH612" s="313">
        <f t="shared" si="225"/>
        <v>46492</v>
      </c>
      <c r="AI612" s="308"/>
      <c r="AJ612" s="309"/>
      <c r="AK612" s="310">
        <f t="shared" si="226"/>
        <v>0</v>
      </c>
      <c r="AL612" s="350"/>
      <c r="AM612" s="351"/>
      <c r="AN612" s="313">
        <f t="shared" si="227"/>
        <v>0</v>
      </c>
      <c r="AO612" s="308"/>
      <c r="AP612" s="309"/>
      <c r="AQ612" s="310">
        <f t="shared" si="228"/>
        <v>0</v>
      </c>
      <c r="AR612" s="350"/>
      <c r="AS612" s="351"/>
      <c r="AT612" s="313">
        <f t="shared" si="229"/>
        <v>0</v>
      </c>
      <c r="AU612" s="308"/>
      <c r="AV612" s="309"/>
      <c r="AW612" s="310">
        <f t="shared" si="230"/>
        <v>0</v>
      </c>
      <c r="AX612" s="350">
        <v>1</v>
      </c>
      <c r="AY612" s="351">
        <v>77040</v>
      </c>
      <c r="AZ612" s="313">
        <f t="shared" si="231"/>
        <v>63034.128000000004</v>
      </c>
      <c r="BA612" s="308">
        <v>4</v>
      </c>
      <c r="BB612" s="309">
        <v>63996</v>
      </c>
      <c r="BC612" s="310">
        <f t="shared" si="232"/>
        <v>209446.10880000002</v>
      </c>
      <c r="BD612" s="350">
        <v>4</v>
      </c>
      <c r="BE612" s="351">
        <v>70645</v>
      </c>
      <c r="BF612" s="313">
        <f t="shared" si="233"/>
        <v>231206.95600000001</v>
      </c>
      <c r="BG612" s="308">
        <v>2</v>
      </c>
      <c r="BH612" s="309">
        <v>60133</v>
      </c>
      <c r="BI612" s="310">
        <f t="shared" si="234"/>
        <v>98401.641199999998</v>
      </c>
      <c r="BJ612" s="350">
        <v>1</v>
      </c>
      <c r="BK612" s="351">
        <v>67363</v>
      </c>
      <c r="BL612" s="313">
        <f t="shared" si="235"/>
        <v>55116.406600000002</v>
      </c>
      <c r="BM612" s="308">
        <v>4</v>
      </c>
      <c r="BN612" s="309">
        <v>38041</v>
      </c>
      <c r="BO612" s="310">
        <f t="shared" si="236"/>
        <v>124500.58480000001</v>
      </c>
      <c r="BP612" s="350">
        <v>35</v>
      </c>
      <c r="BQ612" s="351">
        <v>28895.82857142857</v>
      </c>
      <c r="BR612" s="313">
        <f t="shared" si="237"/>
        <v>827489.84279999998</v>
      </c>
      <c r="BS612" s="308"/>
      <c r="BT612" s="309"/>
      <c r="BU612" s="310">
        <f t="shared" si="238"/>
        <v>0</v>
      </c>
      <c r="BV612" s="350">
        <v>1</v>
      </c>
      <c r="BW612" s="351">
        <v>61802</v>
      </c>
      <c r="BX612" s="313">
        <f t="shared" si="239"/>
        <v>50566.396400000005</v>
      </c>
      <c r="BY612" s="290"/>
    </row>
    <row r="613" spans="1:77">
      <c r="A613" s="346" t="s">
        <v>408</v>
      </c>
      <c r="B613" s="347" t="s">
        <v>175</v>
      </c>
      <c r="C613" s="348">
        <v>228547</v>
      </c>
      <c r="D613" s="349">
        <v>8</v>
      </c>
      <c r="E613" s="308">
        <v>72</v>
      </c>
      <c r="F613" s="309">
        <v>64264</v>
      </c>
      <c r="G613" s="310">
        <f t="shared" si="216"/>
        <v>4627008</v>
      </c>
      <c r="H613" s="350">
        <v>66</v>
      </c>
      <c r="I613" s="351">
        <v>68991.15151515152</v>
      </c>
      <c r="J613" s="313">
        <f t="shared" si="217"/>
        <v>4553416</v>
      </c>
      <c r="K613" s="308">
        <v>125</v>
      </c>
      <c r="L613" s="309">
        <v>59683</v>
      </c>
      <c r="M613" s="310">
        <f t="shared" si="218"/>
        <v>7460375</v>
      </c>
      <c r="N613" s="350">
        <v>125</v>
      </c>
      <c r="O613" s="351">
        <v>63303.519999999997</v>
      </c>
      <c r="P613" s="313">
        <f t="shared" si="219"/>
        <v>7912940</v>
      </c>
      <c r="Q613" s="308">
        <v>135</v>
      </c>
      <c r="R613" s="309">
        <v>57816</v>
      </c>
      <c r="S613" s="310">
        <f t="shared" si="220"/>
        <v>7805160</v>
      </c>
      <c r="T613" s="350">
        <v>140</v>
      </c>
      <c r="U613" s="351">
        <v>58631.935714285712</v>
      </c>
      <c r="V613" s="313">
        <f t="shared" si="221"/>
        <v>8208471</v>
      </c>
      <c r="W613" s="308">
        <v>223</v>
      </c>
      <c r="X613" s="309">
        <v>49926</v>
      </c>
      <c r="Y613" s="310">
        <f t="shared" si="222"/>
        <v>11133498</v>
      </c>
      <c r="Z613" s="350">
        <v>240</v>
      </c>
      <c r="AA613" s="351">
        <v>51717.037499999999</v>
      </c>
      <c r="AB613" s="313">
        <f t="shared" si="223"/>
        <v>12412089</v>
      </c>
      <c r="AC613" s="308"/>
      <c r="AD613" s="309"/>
      <c r="AE613" s="310">
        <f t="shared" si="224"/>
        <v>0</v>
      </c>
      <c r="AF613" s="350"/>
      <c r="AG613" s="351"/>
      <c r="AH613" s="313">
        <f t="shared" si="225"/>
        <v>0</v>
      </c>
      <c r="AI613" s="308"/>
      <c r="AJ613" s="309"/>
      <c r="AK613" s="310">
        <f t="shared" si="226"/>
        <v>0</v>
      </c>
      <c r="AL613" s="350"/>
      <c r="AM613" s="351"/>
      <c r="AN613" s="313">
        <f t="shared" si="227"/>
        <v>0</v>
      </c>
      <c r="AO613" s="308"/>
      <c r="AP613" s="309"/>
      <c r="AQ613" s="310">
        <f t="shared" si="228"/>
        <v>0</v>
      </c>
      <c r="AR613" s="350"/>
      <c r="AS613" s="351"/>
      <c r="AT613" s="313">
        <f t="shared" si="229"/>
        <v>0</v>
      </c>
      <c r="AU613" s="308">
        <v>8</v>
      </c>
      <c r="AV613" s="309">
        <v>80617</v>
      </c>
      <c r="AW613" s="310">
        <f t="shared" si="230"/>
        <v>527686.63520000002</v>
      </c>
      <c r="AX613" s="350">
        <v>9</v>
      </c>
      <c r="AY613" s="351">
        <v>75242.555555555562</v>
      </c>
      <c r="AZ613" s="313">
        <f t="shared" si="231"/>
        <v>554071.13060000003</v>
      </c>
      <c r="BA613" s="308">
        <v>6</v>
      </c>
      <c r="BB613" s="309">
        <v>65130</v>
      </c>
      <c r="BC613" s="310">
        <f t="shared" si="232"/>
        <v>319736.196</v>
      </c>
      <c r="BD613" s="350">
        <v>5</v>
      </c>
      <c r="BE613" s="351">
        <v>82064.2</v>
      </c>
      <c r="BF613" s="313">
        <f t="shared" si="233"/>
        <v>335724.6422</v>
      </c>
      <c r="BG613" s="308">
        <v>3</v>
      </c>
      <c r="BH613" s="309">
        <v>64489</v>
      </c>
      <c r="BI613" s="310">
        <f t="shared" si="234"/>
        <v>158294.69940000001</v>
      </c>
      <c r="BJ613" s="350">
        <v>3</v>
      </c>
      <c r="BK613" s="351">
        <v>48206</v>
      </c>
      <c r="BL613" s="313">
        <f t="shared" si="235"/>
        <v>118326.4476</v>
      </c>
      <c r="BM613" s="308"/>
      <c r="BN613" s="309"/>
      <c r="BO613" s="310">
        <f t="shared" si="236"/>
        <v>0</v>
      </c>
      <c r="BP613" s="350"/>
      <c r="BQ613" s="351"/>
      <c r="BR613" s="313">
        <f t="shared" si="237"/>
        <v>0</v>
      </c>
      <c r="BS613" s="308"/>
      <c r="BT613" s="309"/>
      <c r="BU613" s="310">
        <f t="shared" si="238"/>
        <v>0</v>
      </c>
      <c r="BV613" s="350"/>
      <c r="BW613" s="351"/>
      <c r="BX613" s="313">
        <f t="shared" si="239"/>
        <v>0</v>
      </c>
      <c r="BY613" s="290"/>
    </row>
    <row r="614" spans="1:77">
      <c r="A614" s="346" t="s">
        <v>408</v>
      </c>
      <c r="B614" s="347" t="s">
        <v>176</v>
      </c>
      <c r="C614" s="348">
        <v>229072</v>
      </c>
      <c r="D614" s="349">
        <v>8</v>
      </c>
      <c r="E614" s="308"/>
      <c r="F614" s="309"/>
      <c r="G614" s="310">
        <f t="shared" si="216"/>
        <v>0</v>
      </c>
      <c r="H614" s="350"/>
      <c r="I614" s="351"/>
      <c r="J614" s="313">
        <f t="shared" si="217"/>
        <v>0</v>
      </c>
      <c r="K614" s="308"/>
      <c r="L614" s="309"/>
      <c r="M614" s="310">
        <f t="shared" si="218"/>
        <v>0</v>
      </c>
      <c r="N614" s="350"/>
      <c r="O614" s="351"/>
      <c r="P614" s="313">
        <f t="shared" si="219"/>
        <v>0</v>
      </c>
      <c r="Q614" s="308"/>
      <c r="R614" s="309"/>
      <c r="S614" s="310">
        <f t="shared" si="220"/>
        <v>0</v>
      </c>
      <c r="T614" s="350"/>
      <c r="U614" s="351"/>
      <c r="V614" s="313">
        <f t="shared" si="221"/>
        <v>0</v>
      </c>
      <c r="W614" s="308"/>
      <c r="X614" s="309"/>
      <c r="Y614" s="310">
        <f t="shared" si="222"/>
        <v>0</v>
      </c>
      <c r="Z614" s="350"/>
      <c r="AA614" s="351"/>
      <c r="AB614" s="313">
        <f t="shared" si="223"/>
        <v>0</v>
      </c>
      <c r="AC614" s="308"/>
      <c r="AD614" s="309"/>
      <c r="AE614" s="310">
        <f t="shared" si="224"/>
        <v>0</v>
      </c>
      <c r="AF614" s="350"/>
      <c r="AG614" s="351"/>
      <c r="AH614" s="313">
        <f t="shared" si="225"/>
        <v>0</v>
      </c>
      <c r="AI614" s="308"/>
      <c r="AJ614" s="309"/>
      <c r="AK614" s="310">
        <f t="shared" si="226"/>
        <v>0</v>
      </c>
      <c r="AL614" s="350"/>
      <c r="AM614" s="351"/>
      <c r="AN614" s="313">
        <f t="shared" si="227"/>
        <v>0</v>
      </c>
      <c r="AO614" s="308"/>
      <c r="AP614" s="309"/>
      <c r="AQ614" s="310">
        <f t="shared" si="228"/>
        <v>0</v>
      </c>
      <c r="AR614" s="350"/>
      <c r="AS614" s="351"/>
      <c r="AT614" s="313">
        <f t="shared" si="229"/>
        <v>0</v>
      </c>
      <c r="AU614" s="308"/>
      <c r="AV614" s="309"/>
      <c r="AW614" s="310">
        <f t="shared" si="230"/>
        <v>0</v>
      </c>
      <c r="AX614" s="350"/>
      <c r="AY614" s="351"/>
      <c r="AZ614" s="313">
        <f t="shared" si="231"/>
        <v>0</v>
      </c>
      <c r="BA614" s="308"/>
      <c r="BB614" s="309"/>
      <c r="BC614" s="310">
        <f t="shared" si="232"/>
        <v>0</v>
      </c>
      <c r="BD614" s="350"/>
      <c r="BE614" s="351"/>
      <c r="BF614" s="313">
        <f t="shared" si="233"/>
        <v>0</v>
      </c>
      <c r="BG614" s="308"/>
      <c r="BH614" s="309"/>
      <c r="BI614" s="310">
        <f t="shared" si="234"/>
        <v>0</v>
      </c>
      <c r="BJ614" s="350"/>
      <c r="BK614" s="351"/>
      <c r="BL614" s="313">
        <f t="shared" si="235"/>
        <v>0</v>
      </c>
      <c r="BM614" s="308"/>
      <c r="BN614" s="309"/>
      <c r="BO614" s="310">
        <f t="shared" si="236"/>
        <v>0</v>
      </c>
      <c r="BP614" s="350"/>
      <c r="BQ614" s="351"/>
      <c r="BR614" s="313">
        <f t="shared" si="237"/>
        <v>0</v>
      </c>
      <c r="BS614" s="308"/>
      <c r="BT614" s="309"/>
      <c r="BU614" s="310">
        <f t="shared" si="238"/>
        <v>0</v>
      </c>
      <c r="BV614" s="350"/>
      <c r="BW614" s="351"/>
      <c r="BX614" s="313">
        <f t="shared" si="239"/>
        <v>0</v>
      </c>
      <c r="BY614" s="290"/>
    </row>
    <row r="615" spans="1:77">
      <c r="A615" s="346" t="s">
        <v>408</v>
      </c>
      <c r="B615" s="347" t="s">
        <v>177</v>
      </c>
      <c r="C615" s="348">
        <v>229355</v>
      </c>
      <c r="D615" s="349">
        <v>8</v>
      </c>
      <c r="E615" s="308"/>
      <c r="F615" s="309"/>
      <c r="G615" s="310">
        <f t="shared" si="216"/>
        <v>0</v>
      </c>
      <c r="H615" s="350"/>
      <c r="I615" s="351"/>
      <c r="J615" s="313">
        <f t="shared" si="217"/>
        <v>0</v>
      </c>
      <c r="K615" s="308"/>
      <c r="L615" s="309"/>
      <c r="M615" s="310">
        <f t="shared" si="218"/>
        <v>0</v>
      </c>
      <c r="N615" s="350"/>
      <c r="O615" s="351"/>
      <c r="P615" s="313">
        <f t="shared" si="219"/>
        <v>0</v>
      </c>
      <c r="Q615" s="308"/>
      <c r="R615" s="309"/>
      <c r="S615" s="310">
        <f t="shared" si="220"/>
        <v>0</v>
      </c>
      <c r="T615" s="350"/>
      <c r="U615" s="351"/>
      <c r="V615" s="313">
        <f t="shared" si="221"/>
        <v>0</v>
      </c>
      <c r="W615" s="308">
        <v>204</v>
      </c>
      <c r="X615" s="309">
        <v>46520</v>
      </c>
      <c r="Y615" s="310">
        <f t="shared" si="222"/>
        <v>9490080</v>
      </c>
      <c r="Z615" s="350">
        <v>209</v>
      </c>
      <c r="AA615" s="351">
        <v>47048.454545454544</v>
      </c>
      <c r="AB615" s="313">
        <f t="shared" si="223"/>
        <v>9833127</v>
      </c>
      <c r="AC615" s="308"/>
      <c r="AD615" s="309"/>
      <c r="AE615" s="310">
        <f t="shared" si="224"/>
        <v>0</v>
      </c>
      <c r="AF615" s="350"/>
      <c r="AG615" s="351"/>
      <c r="AH615" s="313">
        <f t="shared" si="225"/>
        <v>0</v>
      </c>
      <c r="AI615" s="308"/>
      <c r="AJ615" s="309"/>
      <c r="AK615" s="310">
        <f t="shared" si="226"/>
        <v>0</v>
      </c>
      <c r="AL615" s="350"/>
      <c r="AM615" s="351"/>
      <c r="AN615" s="313">
        <f t="shared" si="227"/>
        <v>0</v>
      </c>
      <c r="AO615" s="308"/>
      <c r="AP615" s="309"/>
      <c r="AQ615" s="310">
        <f t="shared" si="228"/>
        <v>0</v>
      </c>
      <c r="AR615" s="350"/>
      <c r="AS615" s="351"/>
      <c r="AT615" s="313">
        <f t="shared" si="229"/>
        <v>0</v>
      </c>
      <c r="AU615" s="308"/>
      <c r="AV615" s="309"/>
      <c r="AW615" s="310">
        <f t="shared" si="230"/>
        <v>0</v>
      </c>
      <c r="AX615" s="350"/>
      <c r="AY615" s="351"/>
      <c r="AZ615" s="313">
        <f t="shared" si="231"/>
        <v>0</v>
      </c>
      <c r="BA615" s="308"/>
      <c r="BB615" s="309"/>
      <c r="BC615" s="310">
        <f t="shared" si="232"/>
        <v>0</v>
      </c>
      <c r="BD615" s="350"/>
      <c r="BE615" s="351"/>
      <c r="BF615" s="313">
        <f t="shared" si="233"/>
        <v>0</v>
      </c>
      <c r="BG615" s="308">
        <v>51</v>
      </c>
      <c r="BH615" s="309">
        <v>54208</v>
      </c>
      <c r="BI615" s="310">
        <f t="shared" si="234"/>
        <v>2262002.2656</v>
      </c>
      <c r="BJ615" s="350">
        <v>52</v>
      </c>
      <c r="BK615" s="351">
        <v>54477.365384615383</v>
      </c>
      <c r="BL615" s="313">
        <f t="shared" si="235"/>
        <v>2317815.7786000003</v>
      </c>
      <c r="BM615" s="308"/>
      <c r="BN615" s="309"/>
      <c r="BO615" s="310">
        <f t="shared" si="236"/>
        <v>0</v>
      </c>
      <c r="BP615" s="350"/>
      <c r="BQ615" s="351"/>
      <c r="BR615" s="313">
        <f t="shared" si="237"/>
        <v>0</v>
      </c>
      <c r="BS615" s="308"/>
      <c r="BT615" s="309"/>
      <c r="BU615" s="310">
        <f t="shared" si="238"/>
        <v>0</v>
      </c>
      <c r="BV615" s="350"/>
      <c r="BW615" s="351"/>
      <c r="BX615" s="313">
        <f t="shared" si="239"/>
        <v>0</v>
      </c>
      <c r="BY615" s="290"/>
    </row>
    <row r="616" spans="1:77">
      <c r="A616" s="346" t="s">
        <v>408</v>
      </c>
      <c r="B616" s="347" t="s">
        <v>178</v>
      </c>
      <c r="C616" s="348">
        <v>222567</v>
      </c>
      <c r="D616" s="349">
        <v>9</v>
      </c>
      <c r="E616" s="308"/>
      <c r="F616" s="309"/>
      <c r="G616" s="310">
        <f t="shared" si="216"/>
        <v>0</v>
      </c>
      <c r="H616" s="350"/>
      <c r="I616" s="351"/>
      <c r="J616" s="313">
        <f t="shared" si="217"/>
        <v>0</v>
      </c>
      <c r="K616" s="308"/>
      <c r="L616" s="309"/>
      <c r="M616" s="310">
        <f t="shared" si="218"/>
        <v>0</v>
      </c>
      <c r="N616" s="350"/>
      <c r="O616" s="351"/>
      <c r="P616" s="313">
        <f t="shared" si="219"/>
        <v>0</v>
      </c>
      <c r="Q616" s="308"/>
      <c r="R616" s="309"/>
      <c r="S616" s="310">
        <f t="shared" si="220"/>
        <v>0</v>
      </c>
      <c r="T616" s="350"/>
      <c r="U616" s="351"/>
      <c r="V616" s="313">
        <f t="shared" si="221"/>
        <v>0</v>
      </c>
      <c r="W616" s="308"/>
      <c r="X616" s="309"/>
      <c r="Y616" s="310">
        <f t="shared" si="222"/>
        <v>0</v>
      </c>
      <c r="Z616" s="350"/>
      <c r="AA616" s="351"/>
      <c r="AB616" s="313">
        <f t="shared" si="223"/>
        <v>0</v>
      </c>
      <c r="AC616" s="308"/>
      <c r="AD616" s="309"/>
      <c r="AE616" s="310">
        <f t="shared" si="224"/>
        <v>0</v>
      </c>
      <c r="AF616" s="350"/>
      <c r="AG616" s="351"/>
      <c r="AH616" s="313">
        <f t="shared" si="225"/>
        <v>0</v>
      </c>
      <c r="AI616" s="308">
        <v>48</v>
      </c>
      <c r="AJ616" s="309">
        <v>52858</v>
      </c>
      <c r="AK616" s="310">
        <f t="shared" si="226"/>
        <v>2537184</v>
      </c>
      <c r="AL616" s="350">
        <v>50</v>
      </c>
      <c r="AM616" s="351">
        <v>54202.74</v>
      </c>
      <c r="AN616" s="313">
        <f t="shared" si="227"/>
        <v>2710137</v>
      </c>
      <c r="AO616" s="308"/>
      <c r="AP616" s="309"/>
      <c r="AQ616" s="310">
        <f t="shared" si="228"/>
        <v>0</v>
      </c>
      <c r="AR616" s="350"/>
      <c r="AS616" s="351"/>
      <c r="AT616" s="313">
        <f t="shared" si="229"/>
        <v>0</v>
      </c>
      <c r="AU616" s="308"/>
      <c r="AV616" s="309"/>
      <c r="AW616" s="310">
        <f t="shared" si="230"/>
        <v>0</v>
      </c>
      <c r="AX616" s="350"/>
      <c r="AY616" s="351"/>
      <c r="AZ616" s="313">
        <f t="shared" si="231"/>
        <v>0</v>
      </c>
      <c r="BA616" s="308"/>
      <c r="BB616" s="309"/>
      <c r="BC616" s="310">
        <f t="shared" si="232"/>
        <v>0</v>
      </c>
      <c r="BD616" s="350"/>
      <c r="BE616" s="351"/>
      <c r="BF616" s="313">
        <f t="shared" si="233"/>
        <v>0</v>
      </c>
      <c r="BG616" s="308"/>
      <c r="BH616" s="309"/>
      <c r="BI616" s="310">
        <f t="shared" si="234"/>
        <v>0</v>
      </c>
      <c r="BJ616" s="350"/>
      <c r="BK616" s="351"/>
      <c r="BL616" s="313">
        <f t="shared" si="235"/>
        <v>0</v>
      </c>
      <c r="BM616" s="308"/>
      <c r="BN616" s="309"/>
      <c r="BO616" s="310">
        <f t="shared" si="236"/>
        <v>0</v>
      </c>
      <c r="BP616" s="350"/>
      <c r="BQ616" s="351"/>
      <c r="BR616" s="313">
        <f t="shared" si="237"/>
        <v>0</v>
      </c>
      <c r="BS616" s="308">
        <v>53</v>
      </c>
      <c r="BT616" s="309">
        <v>69728</v>
      </c>
      <c r="BU616" s="310">
        <f t="shared" si="238"/>
        <v>3023726.8288000003</v>
      </c>
      <c r="BV616" s="350">
        <v>56</v>
      </c>
      <c r="BW616" s="351">
        <v>67624.375</v>
      </c>
      <c r="BX616" s="313">
        <f t="shared" si="239"/>
        <v>3098494.7630000003</v>
      </c>
      <c r="BY616" s="290"/>
    </row>
    <row r="617" spans="1:77">
      <c r="A617" s="346" t="s">
        <v>408</v>
      </c>
      <c r="B617" s="347" t="s">
        <v>179</v>
      </c>
      <c r="C617" s="348">
        <v>222822</v>
      </c>
      <c r="D617" s="349">
        <v>9</v>
      </c>
      <c r="E617" s="308"/>
      <c r="F617" s="309"/>
      <c r="G617" s="310">
        <f t="shared" si="216"/>
        <v>0</v>
      </c>
      <c r="H617" s="350"/>
      <c r="I617" s="351"/>
      <c r="J617" s="313">
        <f t="shared" si="217"/>
        <v>0</v>
      </c>
      <c r="K617" s="308"/>
      <c r="L617" s="309"/>
      <c r="M617" s="310">
        <f t="shared" si="218"/>
        <v>0</v>
      </c>
      <c r="N617" s="350"/>
      <c r="O617" s="351"/>
      <c r="P617" s="313">
        <f t="shared" si="219"/>
        <v>0</v>
      </c>
      <c r="Q617" s="308"/>
      <c r="R617" s="309"/>
      <c r="S617" s="310">
        <f t="shared" si="220"/>
        <v>0</v>
      </c>
      <c r="T617" s="350"/>
      <c r="U617" s="351"/>
      <c r="V617" s="313">
        <f t="shared" si="221"/>
        <v>0</v>
      </c>
      <c r="W617" s="308">
        <v>93</v>
      </c>
      <c r="X617" s="309">
        <v>45931</v>
      </c>
      <c r="Y617" s="310">
        <f t="shared" si="222"/>
        <v>4271583</v>
      </c>
      <c r="Z617" s="350">
        <v>91</v>
      </c>
      <c r="AA617" s="351">
        <v>46652.527472527472</v>
      </c>
      <c r="AB617" s="313">
        <f t="shared" si="223"/>
        <v>4245380</v>
      </c>
      <c r="AC617" s="308"/>
      <c r="AD617" s="309"/>
      <c r="AE617" s="310">
        <f t="shared" si="224"/>
        <v>0</v>
      </c>
      <c r="AF617" s="350"/>
      <c r="AG617" s="351"/>
      <c r="AH617" s="313">
        <f t="shared" si="225"/>
        <v>0</v>
      </c>
      <c r="AI617" s="308"/>
      <c r="AJ617" s="309"/>
      <c r="AK617" s="310">
        <f t="shared" si="226"/>
        <v>0</v>
      </c>
      <c r="AL617" s="350"/>
      <c r="AM617" s="351"/>
      <c r="AN617" s="313">
        <f t="shared" si="227"/>
        <v>0</v>
      </c>
      <c r="AO617" s="308"/>
      <c r="AP617" s="309"/>
      <c r="AQ617" s="310">
        <f t="shared" si="228"/>
        <v>0</v>
      </c>
      <c r="AR617" s="350"/>
      <c r="AS617" s="351"/>
      <c r="AT617" s="313">
        <f t="shared" si="229"/>
        <v>0</v>
      </c>
      <c r="AU617" s="308"/>
      <c r="AV617" s="309"/>
      <c r="AW617" s="310">
        <f t="shared" si="230"/>
        <v>0</v>
      </c>
      <c r="AX617" s="350"/>
      <c r="AY617" s="351"/>
      <c r="AZ617" s="313">
        <f t="shared" si="231"/>
        <v>0</v>
      </c>
      <c r="BA617" s="308"/>
      <c r="BB617" s="309"/>
      <c r="BC617" s="310">
        <f t="shared" si="232"/>
        <v>0</v>
      </c>
      <c r="BD617" s="350"/>
      <c r="BE617" s="351"/>
      <c r="BF617" s="313">
        <f t="shared" si="233"/>
        <v>0</v>
      </c>
      <c r="BG617" s="308">
        <v>20</v>
      </c>
      <c r="BH617" s="309">
        <v>51682</v>
      </c>
      <c r="BI617" s="310">
        <f t="shared" si="234"/>
        <v>845724.24800000002</v>
      </c>
      <c r="BJ617" s="350">
        <v>26</v>
      </c>
      <c r="BK617" s="351">
        <v>50886.923076923078</v>
      </c>
      <c r="BL617" s="313">
        <f t="shared" si="235"/>
        <v>1082527.692</v>
      </c>
      <c r="BM617" s="308"/>
      <c r="BN617" s="309"/>
      <c r="BO617" s="310">
        <f t="shared" si="236"/>
        <v>0</v>
      </c>
      <c r="BP617" s="350"/>
      <c r="BQ617" s="351"/>
      <c r="BR617" s="313">
        <f t="shared" si="237"/>
        <v>0</v>
      </c>
      <c r="BS617" s="308"/>
      <c r="BT617" s="309"/>
      <c r="BU617" s="310">
        <f t="shared" si="238"/>
        <v>0</v>
      </c>
      <c r="BV617" s="350"/>
      <c r="BW617" s="351"/>
      <c r="BX617" s="313">
        <f t="shared" si="239"/>
        <v>0</v>
      </c>
      <c r="BY617" s="290"/>
    </row>
    <row r="618" spans="1:77">
      <c r="A618" s="346" t="s">
        <v>408</v>
      </c>
      <c r="B618" s="435" t="s">
        <v>180</v>
      </c>
      <c r="C618" s="348">
        <v>223506</v>
      </c>
      <c r="D618" s="349">
        <v>9</v>
      </c>
      <c r="E618" s="308">
        <v>1</v>
      </c>
      <c r="F618" s="309">
        <v>64233</v>
      </c>
      <c r="G618" s="310">
        <f t="shared" si="216"/>
        <v>64233</v>
      </c>
      <c r="H618" s="350">
        <v>1</v>
      </c>
      <c r="I618" s="351">
        <v>66158</v>
      </c>
      <c r="J618" s="313">
        <f t="shared" si="217"/>
        <v>66158</v>
      </c>
      <c r="K618" s="308">
        <v>11</v>
      </c>
      <c r="L618" s="309">
        <v>50551</v>
      </c>
      <c r="M618" s="310">
        <f t="shared" si="218"/>
        <v>556061</v>
      </c>
      <c r="N618" s="350">
        <v>16</v>
      </c>
      <c r="O618" s="351">
        <v>49471</v>
      </c>
      <c r="P618" s="313">
        <f t="shared" si="219"/>
        <v>791536</v>
      </c>
      <c r="Q618" s="308">
        <v>26</v>
      </c>
      <c r="R618" s="309">
        <v>46317</v>
      </c>
      <c r="S618" s="310">
        <f t="shared" si="220"/>
        <v>1204242</v>
      </c>
      <c r="T618" s="350">
        <v>29</v>
      </c>
      <c r="U618" s="351">
        <v>46404.310344827587</v>
      </c>
      <c r="V618" s="313">
        <f t="shared" si="221"/>
        <v>1345725</v>
      </c>
      <c r="W618" s="308">
        <v>16</v>
      </c>
      <c r="X618" s="309">
        <v>40929</v>
      </c>
      <c r="Y618" s="310">
        <f t="shared" si="222"/>
        <v>654864</v>
      </c>
      <c r="Z618" s="350">
        <v>15</v>
      </c>
      <c r="AA618" s="351">
        <v>33770.333333333336</v>
      </c>
      <c r="AB618" s="313">
        <f t="shared" si="223"/>
        <v>506555.00000000006</v>
      </c>
      <c r="AC618" s="308"/>
      <c r="AD618" s="309"/>
      <c r="AE618" s="310">
        <f t="shared" si="224"/>
        <v>0</v>
      </c>
      <c r="AF618" s="350"/>
      <c r="AG618" s="351"/>
      <c r="AH618" s="313">
        <f t="shared" si="225"/>
        <v>0</v>
      </c>
      <c r="AI618" s="308"/>
      <c r="AJ618" s="309"/>
      <c r="AK618" s="310">
        <f t="shared" si="226"/>
        <v>0</v>
      </c>
      <c r="AL618" s="350"/>
      <c r="AM618" s="351"/>
      <c r="AN618" s="313">
        <f t="shared" si="227"/>
        <v>0</v>
      </c>
      <c r="AO618" s="308">
        <v>17</v>
      </c>
      <c r="AP618" s="309">
        <v>88283</v>
      </c>
      <c r="AQ618" s="310">
        <f t="shared" si="228"/>
        <v>1227963.5601999999</v>
      </c>
      <c r="AR618" s="350">
        <v>18</v>
      </c>
      <c r="AS618" s="351">
        <v>89165.388888888891</v>
      </c>
      <c r="AT618" s="313">
        <f t="shared" si="229"/>
        <v>1313192.1814000001</v>
      </c>
      <c r="AU618" s="308">
        <v>3</v>
      </c>
      <c r="AV618" s="309">
        <v>76943</v>
      </c>
      <c r="AW618" s="310">
        <f t="shared" si="230"/>
        <v>188864.28780000002</v>
      </c>
      <c r="AX618" s="350">
        <v>3</v>
      </c>
      <c r="AY618" s="351">
        <v>75300.666666666672</v>
      </c>
      <c r="AZ618" s="313">
        <f t="shared" si="231"/>
        <v>184833.01640000002</v>
      </c>
      <c r="BA618" s="308">
        <v>3</v>
      </c>
      <c r="BB618" s="309">
        <v>70248</v>
      </c>
      <c r="BC618" s="310">
        <f t="shared" si="232"/>
        <v>172430.7408</v>
      </c>
      <c r="BD618" s="350">
        <v>4</v>
      </c>
      <c r="BE618" s="351">
        <v>65364.5</v>
      </c>
      <c r="BF618" s="313">
        <f t="shared" si="233"/>
        <v>213924.9356</v>
      </c>
      <c r="BG618" s="308"/>
      <c r="BH618" s="309"/>
      <c r="BI618" s="310">
        <f t="shared" si="234"/>
        <v>0</v>
      </c>
      <c r="BJ618" s="350"/>
      <c r="BK618" s="351"/>
      <c r="BL618" s="313">
        <f t="shared" si="235"/>
        <v>0</v>
      </c>
      <c r="BM618" s="308">
        <v>1</v>
      </c>
      <c r="BN618" s="309">
        <v>50736</v>
      </c>
      <c r="BO618" s="310">
        <f t="shared" si="236"/>
        <v>41512.195200000002</v>
      </c>
      <c r="BP618" s="350"/>
      <c r="BQ618" s="351"/>
      <c r="BR618" s="313">
        <f t="shared" si="237"/>
        <v>0</v>
      </c>
      <c r="BS618" s="308"/>
      <c r="BT618" s="309"/>
      <c r="BU618" s="310">
        <f t="shared" si="238"/>
        <v>0</v>
      </c>
      <c r="BV618" s="350">
        <v>1</v>
      </c>
      <c r="BW618" s="351">
        <v>52260</v>
      </c>
      <c r="BX618" s="313">
        <f t="shared" si="239"/>
        <v>42759.132000000005</v>
      </c>
      <c r="BY618" s="290"/>
    </row>
    <row r="619" spans="1:77">
      <c r="A619" s="346" t="s">
        <v>408</v>
      </c>
      <c r="B619" s="347" t="s">
        <v>181</v>
      </c>
      <c r="C619" s="348">
        <v>223773</v>
      </c>
      <c r="D619" s="349">
        <v>9</v>
      </c>
      <c r="E619" s="308"/>
      <c r="F619" s="309"/>
      <c r="G619" s="310">
        <f t="shared" si="216"/>
        <v>0</v>
      </c>
      <c r="H619" s="350"/>
      <c r="I619" s="351"/>
      <c r="J619" s="313">
        <f t="shared" si="217"/>
        <v>0</v>
      </c>
      <c r="K619" s="308"/>
      <c r="L619" s="309"/>
      <c r="M619" s="310">
        <f t="shared" si="218"/>
        <v>0</v>
      </c>
      <c r="N619" s="350"/>
      <c r="O619" s="351"/>
      <c r="P619" s="313">
        <f t="shared" si="219"/>
        <v>0</v>
      </c>
      <c r="Q619" s="308"/>
      <c r="R619" s="309"/>
      <c r="S619" s="310">
        <f t="shared" si="220"/>
        <v>0</v>
      </c>
      <c r="T619" s="350"/>
      <c r="U619" s="351"/>
      <c r="V619" s="313">
        <f t="shared" si="221"/>
        <v>0</v>
      </c>
      <c r="W619" s="308"/>
      <c r="X619" s="309"/>
      <c r="Y619" s="310">
        <f t="shared" si="222"/>
        <v>0</v>
      </c>
      <c r="Z619" s="350"/>
      <c r="AA619" s="351"/>
      <c r="AB619" s="313">
        <f t="shared" si="223"/>
        <v>0</v>
      </c>
      <c r="AC619" s="308"/>
      <c r="AD619" s="309"/>
      <c r="AE619" s="310">
        <f t="shared" si="224"/>
        <v>0</v>
      </c>
      <c r="AF619" s="350"/>
      <c r="AG619" s="351"/>
      <c r="AH619" s="313">
        <f t="shared" si="225"/>
        <v>0</v>
      </c>
      <c r="AI619" s="308">
        <v>65</v>
      </c>
      <c r="AJ619" s="309">
        <v>55464</v>
      </c>
      <c r="AK619" s="310">
        <f t="shared" si="226"/>
        <v>3605160</v>
      </c>
      <c r="AL619" s="350">
        <v>60</v>
      </c>
      <c r="AM619" s="351">
        <v>57138.666666666664</v>
      </c>
      <c r="AN619" s="313">
        <f t="shared" si="227"/>
        <v>3428320</v>
      </c>
      <c r="AO619" s="308"/>
      <c r="AP619" s="309"/>
      <c r="AQ619" s="310">
        <f t="shared" si="228"/>
        <v>0</v>
      </c>
      <c r="AR619" s="350"/>
      <c r="AS619" s="351"/>
      <c r="AT619" s="313">
        <f t="shared" si="229"/>
        <v>0</v>
      </c>
      <c r="AU619" s="308"/>
      <c r="AV619" s="309"/>
      <c r="AW619" s="310">
        <f t="shared" si="230"/>
        <v>0</v>
      </c>
      <c r="AX619" s="350"/>
      <c r="AY619" s="351"/>
      <c r="AZ619" s="313">
        <f t="shared" si="231"/>
        <v>0</v>
      </c>
      <c r="BA619" s="308"/>
      <c r="BB619" s="309"/>
      <c r="BC619" s="310">
        <f t="shared" si="232"/>
        <v>0</v>
      </c>
      <c r="BD619" s="350"/>
      <c r="BE619" s="351"/>
      <c r="BF619" s="313">
        <f t="shared" si="233"/>
        <v>0</v>
      </c>
      <c r="BG619" s="308"/>
      <c r="BH619" s="309"/>
      <c r="BI619" s="310">
        <f t="shared" si="234"/>
        <v>0</v>
      </c>
      <c r="BJ619" s="350"/>
      <c r="BK619" s="351"/>
      <c r="BL619" s="313">
        <f t="shared" si="235"/>
        <v>0</v>
      </c>
      <c r="BM619" s="308"/>
      <c r="BN619" s="309"/>
      <c r="BO619" s="310">
        <f t="shared" si="236"/>
        <v>0</v>
      </c>
      <c r="BP619" s="350"/>
      <c r="BQ619" s="351"/>
      <c r="BR619" s="313">
        <f t="shared" si="237"/>
        <v>0</v>
      </c>
      <c r="BS619" s="308"/>
      <c r="BT619" s="309"/>
      <c r="BU619" s="310">
        <f t="shared" si="238"/>
        <v>0</v>
      </c>
      <c r="BV619" s="350"/>
      <c r="BW619" s="351"/>
      <c r="BX619" s="313">
        <f t="shared" si="239"/>
        <v>0</v>
      </c>
      <c r="BY619" s="290"/>
    </row>
    <row r="620" spans="1:77">
      <c r="A620" s="346" t="s">
        <v>408</v>
      </c>
      <c r="B620" s="347" t="s">
        <v>182</v>
      </c>
      <c r="C620" s="348">
        <v>223898</v>
      </c>
      <c r="D620" s="349">
        <v>9</v>
      </c>
      <c r="E620" s="308"/>
      <c r="F620" s="309"/>
      <c r="G620" s="310">
        <f t="shared" si="216"/>
        <v>0</v>
      </c>
      <c r="H620" s="350"/>
      <c r="I620" s="351"/>
      <c r="J620" s="313">
        <f t="shared" si="217"/>
        <v>0</v>
      </c>
      <c r="K620" s="308"/>
      <c r="L620" s="309"/>
      <c r="M620" s="310">
        <f t="shared" si="218"/>
        <v>0</v>
      </c>
      <c r="N620" s="350"/>
      <c r="O620" s="351"/>
      <c r="P620" s="313">
        <f t="shared" si="219"/>
        <v>0</v>
      </c>
      <c r="Q620" s="308"/>
      <c r="R620" s="309"/>
      <c r="S620" s="310">
        <f t="shared" si="220"/>
        <v>0</v>
      </c>
      <c r="T620" s="350"/>
      <c r="U620" s="351"/>
      <c r="V620" s="313">
        <f t="shared" si="221"/>
        <v>0</v>
      </c>
      <c r="W620" s="308">
        <v>54</v>
      </c>
      <c r="X620" s="309">
        <v>40700</v>
      </c>
      <c r="Y620" s="310">
        <f t="shared" si="222"/>
        <v>2197800</v>
      </c>
      <c r="Z620" s="350">
        <v>50</v>
      </c>
      <c r="AA620" s="351">
        <v>41811.620000000003</v>
      </c>
      <c r="AB620" s="313">
        <f t="shared" si="223"/>
        <v>2090581.0000000002</v>
      </c>
      <c r="AC620" s="308"/>
      <c r="AD620" s="309"/>
      <c r="AE620" s="310">
        <f t="shared" si="224"/>
        <v>0</v>
      </c>
      <c r="AF620" s="350"/>
      <c r="AG620" s="351"/>
      <c r="AH620" s="313">
        <f t="shared" si="225"/>
        <v>0</v>
      </c>
      <c r="AI620" s="308"/>
      <c r="AJ620" s="309"/>
      <c r="AK620" s="310">
        <f t="shared" si="226"/>
        <v>0</v>
      </c>
      <c r="AL620" s="350"/>
      <c r="AM620" s="351"/>
      <c r="AN620" s="313">
        <f t="shared" si="227"/>
        <v>0</v>
      </c>
      <c r="AO620" s="308"/>
      <c r="AP620" s="309"/>
      <c r="AQ620" s="310">
        <f t="shared" si="228"/>
        <v>0</v>
      </c>
      <c r="AR620" s="350"/>
      <c r="AS620" s="351"/>
      <c r="AT620" s="313">
        <f t="shared" si="229"/>
        <v>0</v>
      </c>
      <c r="AU620" s="308"/>
      <c r="AV620" s="309"/>
      <c r="AW620" s="310">
        <f t="shared" si="230"/>
        <v>0</v>
      </c>
      <c r="AX620" s="350"/>
      <c r="AY620" s="351"/>
      <c r="AZ620" s="313">
        <f t="shared" si="231"/>
        <v>0</v>
      </c>
      <c r="BA620" s="308"/>
      <c r="BB620" s="309"/>
      <c r="BC620" s="310">
        <f t="shared" si="232"/>
        <v>0</v>
      </c>
      <c r="BD620" s="350"/>
      <c r="BE620" s="351"/>
      <c r="BF620" s="313">
        <f t="shared" si="233"/>
        <v>0</v>
      </c>
      <c r="BG620" s="308">
        <v>19</v>
      </c>
      <c r="BH620" s="309">
        <v>48150</v>
      </c>
      <c r="BI620" s="310">
        <f t="shared" si="234"/>
        <v>748530.27</v>
      </c>
      <c r="BJ620" s="350">
        <v>21</v>
      </c>
      <c r="BK620" s="351">
        <v>48849.190476190473</v>
      </c>
      <c r="BL620" s="313">
        <f t="shared" si="235"/>
        <v>839336.56060000008</v>
      </c>
      <c r="BM620" s="308"/>
      <c r="BN620" s="309"/>
      <c r="BO620" s="310">
        <f t="shared" si="236"/>
        <v>0</v>
      </c>
      <c r="BP620" s="350"/>
      <c r="BQ620" s="351"/>
      <c r="BR620" s="313">
        <f t="shared" si="237"/>
        <v>0</v>
      </c>
      <c r="BS620" s="308"/>
      <c r="BT620" s="309"/>
      <c r="BU620" s="310">
        <f t="shared" si="238"/>
        <v>0</v>
      </c>
      <c r="BV620" s="350"/>
      <c r="BW620" s="351"/>
      <c r="BX620" s="313">
        <f t="shared" si="239"/>
        <v>0</v>
      </c>
      <c r="BY620" s="290"/>
    </row>
    <row r="621" spans="1:77">
      <c r="A621" s="346" t="s">
        <v>408</v>
      </c>
      <c r="B621" s="347" t="s">
        <v>183</v>
      </c>
      <c r="C621" s="348">
        <v>223320</v>
      </c>
      <c r="D621" s="349">
        <v>9</v>
      </c>
      <c r="E621" s="308">
        <v>57</v>
      </c>
      <c r="F621" s="309">
        <v>44163</v>
      </c>
      <c r="G621" s="310">
        <f t="shared" si="216"/>
        <v>2517291</v>
      </c>
      <c r="H621" s="350">
        <v>58</v>
      </c>
      <c r="I621" s="351">
        <v>42931.603448275862</v>
      </c>
      <c r="J621" s="313">
        <f t="shared" si="217"/>
        <v>2490033</v>
      </c>
      <c r="K621" s="308"/>
      <c r="L621" s="309"/>
      <c r="M621" s="310">
        <f t="shared" si="218"/>
        <v>0</v>
      </c>
      <c r="N621" s="350"/>
      <c r="O621" s="351"/>
      <c r="P621" s="313">
        <f t="shared" si="219"/>
        <v>0</v>
      </c>
      <c r="Q621" s="308"/>
      <c r="R621" s="309"/>
      <c r="S621" s="310">
        <f t="shared" si="220"/>
        <v>0</v>
      </c>
      <c r="T621" s="350"/>
      <c r="U621" s="351"/>
      <c r="V621" s="313">
        <f t="shared" si="221"/>
        <v>0</v>
      </c>
      <c r="W621" s="308"/>
      <c r="X621" s="309"/>
      <c r="Y621" s="310">
        <f t="shared" si="222"/>
        <v>0</v>
      </c>
      <c r="Z621" s="350"/>
      <c r="AA621" s="351"/>
      <c r="AB621" s="313">
        <f t="shared" si="223"/>
        <v>0</v>
      </c>
      <c r="AC621" s="308"/>
      <c r="AD621" s="309"/>
      <c r="AE621" s="310">
        <f t="shared" si="224"/>
        <v>0</v>
      </c>
      <c r="AF621" s="350"/>
      <c r="AG621" s="351"/>
      <c r="AH621" s="313">
        <f t="shared" si="225"/>
        <v>0</v>
      </c>
      <c r="AI621" s="308"/>
      <c r="AJ621" s="309"/>
      <c r="AK621" s="310">
        <f t="shared" si="226"/>
        <v>0</v>
      </c>
      <c r="AL621" s="350"/>
      <c r="AM621" s="351"/>
      <c r="AN621" s="313">
        <f t="shared" si="227"/>
        <v>0</v>
      </c>
      <c r="AO621" s="308">
        <v>28</v>
      </c>
      <c r="AP621" s="309">
        <v>50037</v>
      </c>
      <c r="AQ621" s="310">
        <f t="shared" si="228"/>
        <v>1146327.6552000002</v>
      </c>
      <c r="AR621" s="350">
        <v>36</v>
      </c>
      <c r="AS621" s="351">
        <v>49917.333333333336</v>
      </c>
      <c r="AT621" s="313">
        <f t="shared" si="229"/>
        <v>1470325.0368000001</v>
      </c>
      <c r="AU621" s="308"/>
      <c r="AV621" s="309"/>
      <c r="AW621" s="310">
        <f t="shared" si="230"/>
        <v>0</v>
      </c>
      <c r="AX621" s="350"/>
      <c r="AY621" s="351"/>
      <c r="AZ621" s="313">
        <f t="shared" si="231"/>
        <v>0</v>
      </c>
      <c r="BA621" s="308"/>
      <c r="BB621" s="309"/>
      <c r="BC621" s="310">
        <f t="shared" si="232"/>
        <v>0</v>
      </c>
      <c r="BD621" s="350"/>
      <c r="BE621" s="351"/>
      <c r="BF621" s="313">
        <f t="shared" si="233"/>
        <v>0</v>
      </c>
      <c r="BG621" s="308"/>
      <c r="BH621" s="309"/>
      <c r="BI621" s="310">
        <f t="shared" si="234"/>
        <v>0</v>
      </c>
      <c r="BJ621" s="350"/>
      <c r="BK621" s="351"/>
      <c r="BL621" s="313">
        <f t="shared" si="235"/>
        <v>0</v>
      </c>
      <c r="BM621" s="308"/>
      <c r="BN621" s="309"/>
      <c r="BO621" s="310">
        <f t="shared" si="236"/>
        <v>0</v>
      </c>
      <c r="BP621" s="350"/>
      <c r="BQ621" s="351"/>
      <c r="BR621" s="313">
        <f t="shared" si="237"/>
        <v>0</v>
      </c>
      <c r="BS621" s="308"/>
      <c r="BT621" s="309"/>
      <c r="BU621" s="310">
        <f t="shared" si="238"/>
        <v>0</v>
      </c>
      <c r="BV621" s="350"/>
      <c r="BW621" s="351"/>
      <c r="BX621" s="313">
        <f t="shared" si="239"/>
        <v>0</v>
      </c>
      <c r="BY621" s="290"/>
    </row>
    <row r="622" spans="1:77">
      <c r="A622" s="346" t="s">
        <v>408</v>
      </c>
      <c r="B622" s="347" t="s">
        <v>185</v>
      </c>
      <c r="C622" s="348">
        <v>226408</v>
      </c>
      <c r="D622" s="349">
        <v>9</v>
      </c>
      <c r="E622" s="308">
        <v>10</v>
      </c>
      <c r="F622" s="309">
        <v>57049</v>
      </c>
      <c r="G622" s="310">
        <f t="shared" si="216"/>
        <v>570490</v>
      </c>
      <c r="H622" s="350">
        <v>5</v>
      </c>
      <c r="I622" s="351">
        <v>61878.400000000001</v>
      </c>
      <c r="J622" s="313">
        <f t="shared" si="217"/>
        <v>309392</v>
      </c>
      <c r="K622" s="308">
        <v>9</v>
      </c>
      <c r="L622" s="309">
        <v>46634</v>
      </c>
      <c r="M622" s="310">
        <f t="shared" si="218"/>
        <v>419706</v>
      </c>
      <c r="N622" s="350">
        <v>11</v>
      </c>
      <c r="O622" s="351">
        <v>49874.818181818184</v>
      </c>
      <c r="P622" s="313">
        <f t="shared" si="219"/>
        <v>548623</v>
      </c>
      <c r="Q622" s="308">
        <v>12</v>
      </c>
      <c r="R622" s="309">
        <v>44092</v>
      </c>
      <c r="S622" s="310">
        <f t="shared" si="220"/>
        <v>529104</v>
      </c>
      <c r="T622" s="350">
        <v>13</v>
      </c>
      <c r="U622" s="351">
        <v>48767</v>
      </c>
      <c r="V622" s="313">
        <f t="shared" si="221"/>
        <v>633971</v>
      </c>
      <c r="W622" s="308"/>
      <c r="X622" s="309"/>
      <c r="Y622" s="310">
        <f t="shared" si="222"/>
        <v>0</v>
      </c>
      <c r="Z622" s="350"/>
      <c r="AA622" s="351"/>
      <c r="AB622" s="313">
        <f t="shared" si="223"/>
        <v>0</v>
      </c>
      <c r="AC622" s="308"/>
      <c r="AD622" s="309"/>
      <c r="AE622" s="310">
        <f t="shared" si="224"/>
        <v>0</v>
      </c>
      <c r="AF622" s="350"/>
      <c r="AG622" s="351"/>
      <c r="AH622" s="313">
        <f t="shared" si="225"/>
        <v>0</v>
      </c>
      <c r="AI622" s="308"/>
      <c r="AJ622" s="309"/>
      <c r="AK622" s="310">
        <f t="shared" si="226"/>
        <v>0</v>
      </c>
      <c r="AL622" s="350"/>
      <c r="AM622" s="351"/>
      <c r="AN622" s="313">
        <f t="shared" si="227"/>
        <v>0</v>
      </c>
      <c r="AO622" s="308">
        <v>23</v>
      </c>
      <c r="AP622" s="309">
        <v>68874</v>
      </c>
      <c r="AQ622" s="310">
        <f t="shared" si="228"/>
        <v>1296112.2564000001</v>
      </c>
      <c r="AR622" s="350">
        <v>22</v>
      </c>
      <c r="AS622" s="351">
        <v>73489.681818181823</v>
      </c>
      <c r="AT622" s="313">
        <f t="shared" si="229"/>
        <v>1322843.6686</v>
      </c>
      <c r="AU622" s="308">
        <v>14</v>
      </c>
      <c r="AV622" s="309">
        <v>58500</v>
      </c>
      <c r="AW622" s="310">
        <f t="shared" si="230"/>
        <v>670105.80000000005</v>
      </c>
      <c r="AX622" s="350">
        <v>22</v>
      </c>
      <c r="AY622" s="351">
        <v>62686.181818181816</v>
      </c>
      <c r="AZ622" s="313">
        <f t="shared" si="231"/>
        <v>1128376.3472</v>
      </c>
      <c r="BA622" s="308">
        <v>38</v>
      </c>
      <c r="BB622" s="309">
        <v>54297</v>
      </c>
      <c r="BC622" s="310">
        <f t="shared" si="232"/>
        <v>1688180.6052000001</v>
      </c>
      <c r="BD622" s="350">
        <v>27</v>
      </c>
      <c r="BE622" s="351">
        <v>59036.444444444445</v>
      </c>
      <c r="BF622" s="313">
        <f t="shared" si="233"/>
        <v>1304197.7088000001</v>
      </c>
      <c r="BG622" s="308"/>
      <c r="BH622" s="309"/>
      <c r="BI622" s="310">
        <f t="shared" si="234"/>
        <v>0</v>
      </c>
      <c r="BJ622" s="350"/>
      <c r="BK622" s="351"/>
      <c r="BL622" s="313">
        <f t="shared" si="235"/>
        <v>0</v>
      </c>
      <c r="BM622" s="308"/>
      <c r="BN622" s="309"/>
      <c r="BO622" s="310">
        <f t="shared" si="236"/>
        <v>0</v>
      </c>
      <c r="BP622" s="350"/>
      <c r="BQ622" s="351"/>
      <c r="BR622" s="313">
        <f t="shared" si="237"/>
        <v>0</v>
      </c>
      <c r="BS622" s="308"/>
      <c r="BT622" s="309"/>
      <c r="BU622" s="310">
        <f t="shared" si="238"/>
        <v>0</v>
      </c>
      <c r="BV622" s="350"/>
      <c r="BW622" s="351"/>
      <c r="BX622" s="313">
        <f t="shared" si="239"/>
        <v>0</v>
      </c>
      <c r="BY622" s="290"/>
    </row>
    <row r="623" spans="1:77">
      <c r="A623" s="346" t="s">
        <v>408</v>
      </c>
      <c r="B623" s="435" t="s">
        <v>186</v>
      </c>
      <c r="C623" s="348">
        <v>224615</v>
      </c>
      <c r="D623" s="349">
        <v>9</v>
      </c>
      <c r="E623" s="308"/>
      <c r="F623" s="309"/>
      <c r="G623" s="310">
        <f t="shared" si="216"/>
        <v>0</v>
      </c>
      <c r="H623" s="350"/>
      <c r="I623" s="351"/>
      <c r="J623" s="313">
        <f t="shared" si="217"/>
        <v>0</v>
      </c>
      <c r="K623" s="308"/>
      <c r="L623" s="309"/>
      <c r="M623" s="310">
        <f t="shared" si="218"/>
        <v>0</v>
      </c>
      <c r="N623" s="350"/>
      <c r="O623" s="351"/>
      <c r="P623" s="313">
        <f t="shared" si="219"/>
        <v>0</v>
      </c>
      <c r="Q623" s="308"/>
      <c r="R623" s="309"/>
      <c r="S623" s="310">
        <f t="shared" si="220"/>
        <v>0</v>
      </c>
      <c r="T623" s="350"/>
      <c r="U623" s="351"/>
      <c r="V623" s="313">
        <f t="shared" si="221"/>
        <v>0</v>
      </c>
      <c r="W623" s="308"/>
      <c r="X623" s="309"/>
      <c r="Y623" s="310">
        <f t="shared" si="222"/>
        <v>0</v>
      </c>
      <c r="Z623" s="350"/>
      <c r="AA623" s="351"/>
      <c r="AB623" s="313">
        <f t="shared" si="223"/>
        <v>0</v>
      </c>
      <c r="AC623" s="308"/>
      <c r="AD623" s="309"/>
      <c r="AE623" s="310">
        <f t="shared" si="224"/>
        <v>0</v>
      </c>
      <c r="AF623" s="350"/>
      <c r="AG623" s="351"/>
      <c r="AH623" s="313">
        <f t="shared" si="225"/>
        <v>0</v>
      </c>
      <c r="AI623" s="308">
        <v>125</v>
      </c>
      <c r="AJ623" s="309">
        <v>54923</v>
      </c>
      <c r="AK623" s="310">
        <f t="shared" si="226"/>
        <v>6865375</v>
      </c>
      <c r="AL623" s="350">
        <v>126</v>
      </c>
      <c r="AM623" s="351">
        <v>55158.5873015873</v>
      </c>
      <c r="AN623" s="313">
        <f t="shared" si="227"/>
        <v>6949982</v>
      </c>
      <c r="AO623" s="308"/>
      <c r="AP623" s="309"/>
      <c r="AQ623" s="310">
        <f t="shared" si="228"/>
        <v>0</v>
      </c>
      <c r="AR623" s="350"/>
      <c r="AS623" s="351"/>
      <c r="AT623" s="313">
        <f t="shared" si="229"/>
        <v>0</v>
      </c>
      <c r="AU623" s="308"/>
      <c r="AV623" s="309"/>
      <c r="AW623" s="310">
        <f t="shared" si="230"/>
        <v>0</v>
      </c>
      <c r="AX623" s="350"/>
      <c r="AY623" s="351"/>
      <c r="AZ623" s="313">
        <f t="shared" si="231"/>
        <v>0</v>
      </c>
      <c r="BA623" s="308"/>
      <c r="BB623" s="309"/>
      <c r="BC623" s="310">
        <f t="shared" si="232"/>
        <v>0</v>
      </c>
      <c r="BD623" s="350"/>
      <c r="BE623" s="351"/>
      <c r="BF623" s="313">
        <f t="shared" si="233"/>
        <v>0</v>
      </c>
      <c r="BG623" s="308"/>
      <c r="BH623" s="309"/>
      <c r="BI623" s="310">
        <f t="shared" si="234"/>
        <v>0</v>
      </c>
      <c r="BJ623" s="350"/>
      <c r="BK623" s="351"/>
      <c r="BL623" s="313">
        <f t="shared" si="235"/>
        <v>0</v>
      </c>
      <c r="BM623" s="308"/>
      <c r="BN623" s="309"/>
      <c r="BO623" s="310">
        <f t="shared" si="236"/>
        <v>0</v>
      </c>
      <c r="BP623" s="350"/>
      <c r="BQ623" s="351"/>
      <c r="BR623" s="313">
        <f t="shared" si="237"/>
        <v>0</v>
      </c>
      <c r="BS623" s="308"/>
      <c r="BT623" s="309"/>
      <c r="BU623" s="310">
        <f t="shared" si="238"/>
        <v>0</v>
      </c>
      <c r="BV623" s="350"/>
      <c r="BW623" s="351"/>
      <c r="BX623" s="313">
        <f t="shared" si="239"/>
        <v>0</v>
      </c>
      <c r="BY623" s="290"/>
    </row>
    <row r="624" spans="1:77">
      <c r="A624" s="346" t="s">
        <v>408</v>
      </c>
      <c r="B624" s="347" t="s">
        <v>187</v>
      </c>
      <c r="C624" s="348">
        <v>225070</v>
      </c>
      <c r="D624" s="349">
        <v>9</v>
      </c>
      <c r="E624" s="308">
        <v>74</v>
      </c>
      <c r="F624" s="309">
        <v>47656</v>
      </c>
      <c r="G624" s="310">
        <f t="shared" si="216"/>
        <v>3526544</v>
      </c>
      <c r="H624" s="350">
        <v>76</v>
      </c>
      <c r="I624" s="351">
        <v>51234.75</v>
      </c>
      <c r="J624" s="313">
        <f t="shared" si="217"/>
        <v>3893841</v>
      </c>
      <c r="K624" s="308"/>
      <c r="L624" s="309"/>
      <c r="M624" s="310">
        <f t="shared" si="218"/>
        <v>0</v>
      </c>
      <c r="N624" s="350"/>
      <c r="O624" s="351"/>
      <c r="P624" s="313">
        <f t="shared" si="219"/>
        <v>0</v>
      </c>
      <c r="Q624" s="308"/>
      <c r="R624" s="309"/>
      <c r="S624" s="310">
        <f t="shared" si="220"/>
        <v>0</v>
      </c>
      <c r="T624" s="350"/>
      <c r="U624" s="351"/>
      <c r="V624" s="313">
        <f t="shared" si="221"/>
        <v>0</v>
      </c>
      <c r="W624" s="308"/>
      <c r="X624" s="309"/>
      <c r="Y624" s="310">
        <f t="shared" si="222"/>
        <v>0</v>
      </c>
      <c r="Z624" s="350"/>
      <c r="AA624" s="351"/>
      <c r="AB624" s="313">
        <f t="shared" si="223"/>
        <v>0</v>
      </c>
      <c r="AC624" s="308"/>
      <c r="AD624" s="309"/>
      <c r="AE624" s="310">
        <f t="shared" si="224"/>
        <v>0</v>
      </c>
      <c r="AF624" s="350"/>
      <c r="AG624" s="351"/>
      <c r="AH624" s="313">
        <f t="shared" si="225"/>
        <v>0</v>
      </c>
      <c r="AI624" s="308"/>
      <c r="AJ624" s="309"/>
      <c r="AK624" s="310">
        <f t="shared" si="226"/>
        <v>0</v>
      </c>
      <c r="AL624" s="350"/>
      <c r="AM624" s="351"/>
      <c r="AN624" s="313">
        <f t="shared" si="227"/>
        <v>0</v>
      </c>
      <c r="AO624" s="308">
        <v>8</v>
      </c>
      <c r="AP624" s="309">
        <v>54461</v>
      </c>
      <c r="AQ624" s="310">
        <f t="shared" si="228"/>
        <v>356479.9216</v>
      </c>
      <c r="AR624" s="350">
        <v>14</v>
      </c>
      <c r="AS624" s="351">
        <v>55775.357142857145</v>
      </c>
      <c r="AT624" s="313">
        <f t="shared" si="229"/>
        <v>638895.56099999999</v>
      </c>
      <c r="AU624" s="308"/>
      <c r="AV624" s="309"/>
      <c r="AW624" s="310">
        <f t="shared" si="230"/>
        <v>0</v>
      </c>
      <c r="AX624" s="350"/>
      <c r="AY624" s="351"/>
      <c r="AZ624" s="313">
        <f t="shared" si="231"/>
        <v>0</v>
      </c>
      <c r="BA624" s="308"/>
      <c r="BB624" s="309"/>
      <c r="BC624" s="310">
        <f t="shared" si="232"/>
        <v>0</v>
      </c>
      <c r="BD624" s="350"/>
      <c r="BE624" s="351"/>
      <c r="BF624" s="313">
        <f t="shared" si="233"/>
        <v>0</v>
      </c>
      <c r="BG624" s="308"/>
      <c r="BH624" s="309"/>
      <c r="BI624" s="310">
        <f t="shared" si="234"/>
        <v>0</v>
      </c>
      <c r="BJ624" s="350"/>
      <c r="BK624" s="351"/>
      <c r="BL624" s="313">
        <f t="shared" si="235"/>
        <v>0</v>
      </c>
      <c r="BM624" s="308"/>
      <c r="BN624" s="309"/>
      <c r="BO624" s="310">
        <f t="shared" si="236"/>
        <v>0</v>
      </c>
      <c r="BP624" s="350"/>
      <c r="BQ624" s="351"/>
      <c r="BR624" s="313">
        <f t="shared" si="237"/>
        <v>0</v>
      </c>
      <c r="BS624" s="308"/>
      <c r="BT624" s="309"/>
      <c r="BU624" s="310">
        <f t="shared" si="238"/>
        <v>0</v>
      </c>
      <c r="BV624" s="350"/>
      <c r="BW624" s="351"/>
      <c r="BX624" s="313">
        <f t="shared" si="239"/>
        <v>0</v>
      </c>
      <c r="BY624" s="290"/>
    </row>
    <row r="625" spans="1:77">
      <c r="A625" s="346" t="s">
        <v>408</v>
      </c>
      <c r="B625" s="347" t="s">
        <v>188</v>
      </c>
      <c r="C625" s="348">
        <v>225371</v>
      </c>
      <c r="D625" s="349">
        <v>9</v>
      </c>
      <c r="E625" s="308"/>
      <c r="F625" s="309"/>
      <c r="G625" s="310">
        <f t="shared" si="216"/>
        <v>0</v>
      </c>
      <c r="H625" s="350"/>
      <c r="I625" s="351"/>
      <c r="J625" s="313">
        <f t="shared" si="217"/>
        <v>0</v>
      </c>
      <c r="K625" s="308"/>
      <c r="L625" s="309"/>
      <c r="M625" s="310">
        <f t="shared" si="218"/>
        <v>0</v>
      </c>
      <c r="N625" s="350"/>
      <c r="O625" s="351"/>
      <c r="P625" s="313">
        <f t="shared" si="219"/>
        <v>0</v>
      </c>
      <c r="Q625" s="308"/>
      <c r="R625" s="309"/>
      <c r="S625" s="310">
        <f t="shared" si="220"/>
        <v>0</v>
      </c>
      <c r="T625" s="350"/>
      <c r="U625" s="351"/>
      <c r="V625" s="313">
        <f t="shared" si="221"/>
        <v>0</v>
      </c>
      <c r="W625" s="308"/>
      <c r="X625" s="309"/>
      <c r="Y625" s="310">
        <f t="shared" si="222"/>
        <v>0</v>
      </c>
      <c r="Z625" s="350"/>
      <c r="AA625" s="351"/>
      <c r="AB625" s="313">
        <f t="shared" si="223"/>
        <v>0</v>
      </c>
      <c r="AC625" s="308"/>
      <c r="AD625" s="309"/>
      <c r="AE625" s="310">
        <f t="shared" si="224"/>
        <v>0</v>
      </c>
      <c r="AF625" s="350"/>
      <c r="AG625" s="351"/>
      <c r="AH625" s="313">
        <f t="shared" si="225"/>
        <v>0</v>
      </c>
      <c r="AI625" s="308">
        <v>63</v>
      </c>
      <c r="AJ625" s="309">
        <v>42164</v>
      </c>
      <c r="AK625" s="310">
        <f t="shared" si="226"/>
        <v>2656332</v>
      </c>
      <c r="AL625" s="350">
        <v>63</v>
      </c>
      <c r="AM625" s="351">
        <v>41870.380952380954</v>
      </c>
      <c r="AN625" s="313">
        <f t="shared" si="227"/>
        <v>2637834</v>
      </c>
      <c r="AO625" s="308"/>
      <c r="AP625" s="309"/>
      <c r="AQ625" s="310">
        <f t="shared" si="228"/>
        <v>0</v>
      </c>
      <c r="AR625" s="350"/>
      <c r="AS625" s="351"/>
      <c r="AT625" s="313">
        <f t="shared" si="229"/>
        <v>0</v>
      </c>
      <c r="AU625" s="308"/>
      <c r="AV625" s="309"/>
      <c r="AW625" s="310">
        <f t="shared" si="230"/>
        <v>0</v>
      </c>
      <c r="AX625" s="350"/>
      <c r="AY625" s="351"/>
      <c r="AZ625" s="313">
        <f t="shared" si="231"/>
        <v>0</v>
      </c>
      <c r="BA625" s="308"/>
      <c r="BB625" s="309"/>
      <c r="BC625" s="310">
        <f t="shared" si="232"/>
        <v>0</v>
      </c>
      <c r="BD625" s="350"/>
      <c r="BE625" s="351"/>
      <c r="BF625" s="313">
        <f t="shared" si="233"/>
        <v>0</v>
      </c>
      <c r="BG625" s="308"/>
      <c r="BH625" s="309"/>
      <c r="BI625" s="310">
        <f t="shared" si="234"/>
        <v>0</v>
      </c>
      <c r="BJ625" s="350"/>
      <c r="BK625" s="351"/>
      <c r="BL625" s="313">
        <f t="shared" si="235"/>
        <v>0</v>
      </c>
      <c r="BM625" s="308"/>
      <c r="BN625" s="309"/>
      <c r="BO625" s="310">
        <f t="shared" si="236"/>
        <v>0</v>
      </c>
      <c r="BP625" s="350"/>
      <c r="BQ625" s="351"/>
      <c r="BR625" s="313">
        <f t="shared" si="237"/>
        <v>0</v>
      </c>
      <c r="BS625" s="308">
        <v>15</v>
      </c>
      <c r="BT625" s="309">
        <v>47865</v>
      </c>
      <c r="BU625" s="310">
        <f t="shared" si="238"/>
        <v>587447.14500000002</v>
      </c>
      <c r="BV625" s="350">
        <v>15</v>
      </c>
      <c r="BW625" s="351">
        <v>48394.400000000001</v>
      </c>
      <c r="BX625" s="313">
        <f t="shared" si="239"/>
        <v>593944.47120000003</v>
      </c>
      <c r="BY625" s="290"/>
    </row>
    <row r="626" spans="1:77">
      <c r="A626" s="346" t="s">
        <v>408</v>
      </c>
      <c r="B626" s="347" t="s">
        <v>189</v>
      </c>
      <c r="C626" s="348">
        <v>225520</v>
      </c>
      <c r="D626" s="349">
        <v>9</v>
      </c>
      <c r="E626" s="308">
        <v>8</v>
      </c>
      <c r="F626" s="309">
        <v>50975</v>
      </c>
      <c r="G626" s="310">
        <f t="shared" si="216"/>
        <v>407800</v>
      </c>
      <c r="H626" s="350">
        <v>6</v>
      </c>
      <c r="I626" s="351">
        <v>54000.333333333336</v>
      </c>
      <c r="J626" s="313">
        <f t="shared" si="217"/>
        <v>324002</v>
      </c>
      <c r="K626" s="308">
        <v>14</v>
      </c>
      <c r="L626" s="309">
        <v>45550</v>
      </c>
      <c r="M626" s="310">
        <f t="shared" si="218"/>
        <v>637700</v>
      </c>
      <c r="N626" s="350">
        <v>13</v>
      </c>
      <c r="O626" s="351">
        <v>45927.769230769234</v>
      </c>
      <c r="P626" s="313">
        <f t="shared" si="219"/>
        <v>597061</v>
      </c>
      <c r="Q626" s="308">
        <v>28</v>
      </c>
      <c r="R626" s="309">
        <v>40476</v>
      </c>
      <c r="S626" s="310">
        <f t="shared" si="220"/>
        <v>1133328</v>
      </c>
      <c r="T626" s="350">
        <v>22</v>
      </c>
      <c r="U626" s="351">
        <v>39369.5</v>
      </c>
      <c r="V626" s="313">
        <f t="shared" si="221"/>
        <v>866129</v>
      </c>
      <c r="W626" s="308">
        <v>34</v>
      </c>
      <c r="X626" s="309">
        <v>37026</v>
      </c>
      <c r="Y626" s="310">
        <f t="shared" si="222"/>
        <v>1258884</v>
      </c>
      <c r="Z626" s="350">
        <v>35</v>
      </c>
      <c r="AA626" s="351">
        <v>38147.028571428571</v>
      </c>
      <c r="AB626" s="313">
        <f t="shared" si="223"/>
        <v>1335146</v>
      </c>
      <c r="AC626" s="308"/>
      <c r="AD626" s="309"/>
      <c r="AE626" s="310">
        <f t="shared" si="224"/>
        <v>0</v>
      </c>
      <c r="AF626" s="350"/>
      <c r="AG626" s="351"/>
      <c r="AH626" s="313">
        <f t="shared" si="225"/>
        <v>0</v>
      </c>
      <c r="AI626" s="308"/>
      <c r="AJ626" s="309"/>
      <c r="AK626" s="310">
        <f t="shared" si="226"/>
        <v>0</v>
      </c>
      <c r="AL626" s="350"/>
      <c r="AM626" s="351"/>
      <c r="AN626" s="313">
        <f t="shared" si="227"/>
        <v>0</v>
      </c>
      <c r="AO626" s="308"/>
      <c r="AP626" s="309"/>
      <c r="AQ626" s="310">
        <f t="shared" si="228"/>
        <v>0</v>
      </c>
      <c r="AR626" s="350">
        <v>2</v>
      </c>
      <c r="AS626" s="351">
        <v>63482.5</v>
      </c>
      <c r="AT626" s="313">
        <f t="shared" si="229"/>
        <v>103882.76300000001</v>
      </c>
      <c r="AU626" s="308">
        <v>2</v>
      </c>
      <c r="AV626" s="309">
        <v>55703</v>
      </c>
      <c r="AW626" s="310">
        <f t="shared" si="230"/>
        <v>91152.389200000005</v>
      </c>
      <c r="AX626" s="350">
        <v>2</v>
      </c>
      <c r="AY626" s="351">
        <v>57365</v>
      </c>
      <c r="AZ626" s="313">
        <f t="shared" si="231"/>
        <v>93872.08600000001</v>
      </c>
      <c r="BA626" s="308">
        <v>7</v>
      </c>
      <c r="BB626" s="309">
        <v>50378</v>
      </c>
      <c r="BC626" s="310">
        <f t="shared" si="232"/>
        <v>288534.9572</v>
      </c>
      <c r="BD626" s="350">
        <v>16</v>
      </c>
      <c r="BE626" s="351">
        <v>51073.0625</v>
      </c>
      <c r="BF626" s="313">
        <f t="shared" si="233"/>
        <v>668607.67580000008</v>
      </c>
      <c r="BG626" s="308">
        <v>38</v>
      </c>
      <c r="BH626" s="309">
        <v>42197</v>
      </c>
      <c r="BI626" s="310">
        <f t="shared" si="234"/>
        <v>1311972.2452</v>
      </c>
      <c r="BJ626" s="350">
        <v>41</v>
      </c>
      <c r="BK626" s="351">
        <v>43607.585365853658</v>
      </c>
      <c r="BL626" s="313">
        <f t="shared" si="235"/>
        <v>1462868.7802000002</v>
      </c>
      <c r="BM626" s="308"/>
      <c r="BN626" s="309"/>
      <c r="BO626" s="310">
        <f t="shared" si="236"/>
        <v>0</v>
      </c>
      <c r="BP626" s="350"/>
      <c r="BQ626" s="351"/>
      <c r="BR626" s="313">
        <f t="shared" si="237"/>
        <v>0</v>
      </c>
      <c r="BS626" s="308"/>
      <c r="BT626" s="309"/>
      <c r="BU626" s="310">
        <f t="shared" si="238"/>
        <v>0</v>
      </c>
      <c r="BV626" s="350"/>
      <c r="BW626" s="351"/>
      <c r="BX626" s="313">
        <f t="shared" si="239"/>
        <v>0</v>
      </c>
      <c r="BY626" s="290"/>
    </row>
    <row r="627" spans="1:77">
      <c r="A627" s="346" t="s">
        <v>408</v>
      </c>
      <c r="B627" s="347" t="s">
        <v>190</v>
      </c>
      <c r="C627" s="348">
        <v>226019</v>
      </c>
      <c r="D627" s="349">
        <v>9</v>
      </c>
      <c r="E627" s="308"/>
      <c r="F627" s="309"/>
      <c r="G627" s="310">
        <f t="shared" si="216"/>
        <v>0</v>
      </c>
      <c r="H627" s="350"/>
      <c r="I627" s="351"/>
      <c r="J627" s="313">
        <f t="shared" si="217"/>
        <v>0</v>
      </c>
      <c r="K627" s="308"/>
      <c r="L627" s="309"/>
      <c r="M627" s="310">
        <f t="shared" si="218"/>
        <v>0</v>
      </c>
      <c r="N627" s="350"/>
      <c r="O627" s="351"/>
      <c r="P627" s="313">
        <f t="shared" si="219"/>
        <v>0</v>
      </c>
      <c r="Q627" s="308"/>
      <c r="R627" s="309"/>
      <c r="S627" s="310">
        <f t="shared" si="220"/>
        <v>0</v>
      </c>
      <c r="T627" s="350"/>
      <c r="U627" s="351"/>
      <c r="V627" s="313">
        <f t="shared" si="221"/>
        <v>0</v>
      </c>
      <c r="W627" s="308"/>
      <c r="X627" s="309"/>
      <c r="Y627" s="310">
        <f t="shared" si="222"/>
        <v>0</v>
      </c>
      <c r="Z627" s="350"/>
      <c r="AA627" s="351"/>
      <c r="AB627" s="313">
        <f t="shared" si="223"/>
        <v>0</v>
      </c>
      <c r="AC627" s="308"/>
      <c r="AD627" s="309"/>
      <c r="AE627" s="310">
        <f t="shared" si="224"/>
        <v>0</v>
      </c>
      <c r="AF627" s="350"/>
      <c r="AG627" s="351"/>
      <c r="AH627" s="313">
        <f t="shared" si="225"/>
        <v>0</v>
      </c>
      <c r="AI627" s="308">
        <v>109</v>
      </c>
      <c r="AJ627" s="309">
        <v>48031</v>
      </c>
      <c r="AK627" s="310">
        <f t="shared" si="226"/>
        <v>5235379</v>
      </c>
      <c r="AL627" s="350">
        <v>87</v>
      </c>
      <c r="AM627" s="351">
        <v>48384.839080459773</v>
      </c>
      <c r="AN627" s="313">
        <f t="shared" si="227"/>
        <v>4209481</v>
      </c>
      <c r="AO627" s="308"/>
      <c r="AP627" s="309"/>
      <c r="AQ627" s="310">
        <f t="shared" si="228"/>
        <v>0</v>
      </c>
      <c r="AR627" s="350"/>
      <c r="AS627" s="351"/>
      <c r="AT627" s="313">
        <f t="shared" si="229"/>
        <v>0</v>
      </c>
      <c r="AU627" s="308"/>
      <c r="AV627" s="309"/>
      <c r="AW627" s="310">
        <f t="shared" si="230"/>
        <v>0</v>
      </c>
      <c r="AX627" s="350"/>
      <c r="AY627" s="351"/>
      <c r="AZ627" s="313">
        <f t="shared" si="231"/>
        <v>0</v>
      </c>
      <c r="BA627" s="308"/>
      <c r="BB627" s="309"/>
      <c r="BC627" s="310">
        <f t="shared" si="232"/>
        <v>0</v>
      </c>
      <c r="BD627" s="350"/>
      <c r="BE627" s="351"/>
      <c r="BF627" s="313">
        <f t="shared" si="233"/>
        <v>0</v>
      </c>
      <c r="BG627" s="308"/>
      <c r="BH627" s="309"/>
      <c r="BI627" s="310">
        <f t="shared" si="234"/>
        <v>0</v>
      </c>
      <c r="BJ627" s="350"/>
      <c r="BK627" s="351"/>
      <c r="BL627" s="313">
        <f t="shared" si="235"/>
        <v>0</v>
      </c>
      <c r="BM627" s="308"/>
      <c r="BN627" s="309"/>
      <c r="BO627" s="310">
        <f t="shared" si="236"/>
        <v>0</v>
      </c>
      <c r="BP627" s="350"/>
      <c r="BQ627" s="351"/>
      <c r="BR627" s="313">
        <f t="shared" si="237"/>
        <v>0</v>
      </c>
      <c r="BS627" s="308">
        <v>33</v>
      </c>
      <c r="BT627" s="309">
        <v>55254</v>
      </c>
      <c r="BU627" s="310">
        <f t="shared" si="238"/>
        <v>1491891.1524</v>
      </c>
      <c r="BV627" s="350">
        <v>61</v>
      </c>
      <c r="BW627" s="351">
        <v>54461.2131147541</v>
      </c>
      <c r="BX627" s="313">
        <f t="shared" si="239"/>
        <v>2718170.0388000002</v>
      </c>
      <c r="BY627" s="290"/>
    </row>
    <row r="628" spans="1:77">
      <c r="A628" s="346" t="s">
        <v>408</v>
      </c>
      <c r="B628" s="352" t="s">
        <v>191</v>
      </c>
      <c r="C628" s="346">
        <v>441760</v>
      </c>
      <c r="D628" s="349">
        <v>9</v>
      </c>
      <c r="E628" s="308"/>
      <c r="F628" s="309"/>
      <c r="G628" s="310">
        <f t="shared" si="216"/>
        <v>0</v>
      </c>
      <c r="H628" s="350"/>
      <c r="I628" s="351"/>
      <c r="J628" s="313">
        <f t="shared" si="217"/>
        <v>0</v>
      </c>
      <c r="K628" s="308"/>
      <c r="L628" s="309"/>
      <c r="M628" s="310">
        <f t="shared" si="218"/>
        <v>0</v>
      </c>
      <c r="N628" s="350"/>
      <c r="O628" s="351"/>
      <c r="P628" s="313">
        <f t="shared" si="219"/>
        <v>0</v>
      </c>
      <c r="Q628" s="308"/>
      <c r="R628" s="309"/>
      <c r="S628" s="310">
        <f t="shared" si="220"/>
        <v>0</v>
      </c>
      <c r="T628" s="350"/>
      <c r="U628" s="351"/>
      <c r="V628" s="313">
        <f t="shared" si="221"/>
        <v>0</v>
      </c>
      <c r="W628" s="308">
        <v>74</v>
      </c>
      <c r="X628" s="309">
        <v>44368</v>
      </c>
      <c r="Y628" s="310">
        <f t="shared" si="222"/>
        <v>3283232</v>
      </c>
      <c r="Z628" s="350">
        <v>68</v>
      </c>
      <c r="AA628" s="351">
        <v>47733.573529411762</v>
      </c>
      <c r="AB628" s="313">
        <f t="shared" si="223"/>
        <v>3245883</v>
      </c>
      <c r="AC628" s="308"/>
      <c r="AD628" s="309"/>
      <c r="AE628" s="310">
        <f t="shared" si="224"/>
        <v>0</v>
      </c>
      <c r="AF628" s="350"/>
      <c r="AG628" s="351"/>
      <c r="AH628" s="313">
        <f t="shared" si="225"/>
        <v>0</v>
      </c>
      <c r="AI628" s="308"/>
      <c r="AJ628" s="309"/>
      <c r="AK628" s="310">
        <f t="shared" si="226"/>
        <v>0</v>
      </c>
      <c r="AL628" s="350"/>
      <c r="AM628" s="351"/>
      <c r="AN628" s="313">
        <f t="shared" si="227"/>
        <v>0</v>
      </c>
      <c r="AO628" s="308"/>
      <c r="AP628" s="309"/>
      <c r="AQ628" s="310">
        <f t="shared" si="228"/>
        <v>0</v>
      </c>
      <c r="AR628" s="350"/>
      <c r="AS628" s="351"/>
      <c r="AT628" s="313">
        <f t="shared" si="229"/>
        <v>0</v>
      </c>
      <c r="AU628" s="308"/>
      <c r="AV628" s="309"/>
      <c r="AW628" s="310">
        <f t="shared" si="230"/>
        <v>0</v>
      </c>
      <c r="AX628" s="350"/>
      <c r="AY628" s="351"/>
      <c r="AZ628" s="313">
        <f t="shared" si="231"/>
        <v>0</v>
      </c>
      <c r="BA628" s="308"/>
      <c r="BB628" s="309"/>
      <c r="BC628" s="310">
        <f t="shared" si="232"/>
        <v>0</v>
      </c>
      <c r="BD628" s="350"/>
      <c r="BE628" s="351"/>
      <c r="BF628" s="313">
        <f t="shared" si="233"/>
        <v>0</v>
      </c>
      <c r="BG628" s="308"/>
      <c r="BH628" s="309"/>
      <c r="BI628" s="310">
        <f t="shared" si="234"/>
        <v>0</v>
      </c>
      <c r="BJ628" s="350"/>
      <c r="BK628" s="351"/>
      <c r="BL628" s="313">
        <f t="shared" si="235"/>
        <v>0</v>
      </c>
      <c r="BM628" s="308"/>
      <c r="BN628" s="309"/>
      <c r="BO628" s="310">
        <f t="shared" si="236"/>
        <v>0</v>
      </c>
      <c r="BP628" s="350"/>
      <c r="BQ628" s="351"/>
      <c r="BR628" s="313">
        <f t="shared" si="237"/>
        <v>0</v>
      </c>
      <c r="BS628" s="308"/>
      <c r="BT628" s="309"/>
      <c r="BU628" s="310">
        <f t="shared" si="238"/>
        <v>0</v>
      </c>
      <c r="BV628" s="350"/>
      <c r="BW628" s="351"/>
      <c r="BX628" s="313">
        <f t="shared" si="239"/>
        <v>0</v>
      </c>
      <c r="BY628" s="290"/>
    </row>
    <row r="629" spans="1:77">
      <c r="A629" s="346" t="s">
        <v>408</v>
      </c>
      <c r="B629" s="347" t="s">
        <v>193</v>
      </c>
      <c r="C629" s="348">
        <v>226204</v>
      </c>
      <c r="D629" s="349">
        <v>9</v>
      </c>
      <c r="E629" s="308"/>
      <c r="F629" s="309"/>
      <c r="G629" s="310">
        <f t="shared" si="216"/>
        <v>0</v>
      </c>
      <c r="H629" s="350"/>
      <c r="I629" s="351"/>
      <c r="J629" s="313">
        <f t="shared" si="217"/>
        <v>0</v>
      </c>
      <c r="K629" s="308"/>
      <c r="L629" s="309"/>
      <c r="M629" s="310">
        <f t="shared" si="218"/>
        <v>0</v>
      </c>
      <c r="N629" s="350"/>
      <c r="O629" s="351"/>
      <c r="P629" s="313">
        <f t="shared" si="219"/>
        <v>0</v>
      </c>
      <c r="Q629" s="308"/>
      <c r="R629" s="309"/>
      <c r="S629" s="310">
        <f t="shared" si="220"/>
        <v>0</v>
      </c>
      <c r="T629" s="350"/>
      <c r="U629" s="351"/>
      <c r="V629" s="313">
        <f t="shared" si="221"/>
        <v>0</v>
      </c>
      <c r="W629" s="308"/>
      <c r="X629" s="309"/>
      <c r="Y629" s="310">
        <f t="shared" si="222"/>
        <v>0</v>
      </c>
      <c r="Z629" s="350"/>
      <c r="AA629" s="351"/>
      <c r="AB629" s="313">
        <f t="shared" si="223"/>
        <v>0</v>
      </c>
      <c r="AC629" s="308"/>
      <c r="AD629" s="309"/>
      <c r="AE629" s="310">
        <f t="shared" si="224"/>
        <v>0</v>
      </c>
      <c r="AF629" s="350"/>
      <c r="AG629" s="351"/>
      <c r="AH629" s="313">
        <f t="shared" si="225"/>
        <v>0</v>
      </c>
      <c r="AI629" s="308">
        <v>142</v>
      </c>
      <c r="AJ629" s="309">
        <v>50704</v>
      </c>
      <c r="AK629" s="310">
        <f t="shared" si="226"/>
        <v>7199968</v>
      </c>
      <c r="AL629" s="350">
        <v>143</v>
      </c>
      <c r="AM629" s="351">
        <v>50235.63636363636</v>
      </c>
      <c r="AN629" s="313">
        <f t="shared" si="227"/>
        <v>7183695.9999999991</v>
      </c>
      <c r="AO629" s="308"/>
      <c r="AP629" s="309"/>
      <c r="AQ629" s="310">
        <f t="shared" si="228"/>
        <v>0</v>
      </c>
      <c r="AR629" s="350"/>
      <c r="AS629" s="351"/>
      <c r="AT629" s="313">
        <f t="shared" si="229"/>
        <v>0</v>
      </c>
      <c r="AU629" s="308"/>
      <c r="AV629" s="309"/>
      <c r="AW629" s="310">
        <f t="shared" si="230"/>
        <v>0</v>
      </c>
      <c r="AX629" s="350"/>
      <c r="AY629" s="351"/>
      <c r="AZ629" s="313">
        <f t="shared" si="231"/>
        <v>0</v>
      </c>
      <c r="BA629" s="308"/>
      <c r="BB629" s="309"/>
      <c r="BC629" s="310">
        <f t="shared" si="232"/>
        <v>0</v>
      </c>
      <c r="BD629" s="350"/>
      <c r="BE629" s="351"/>
      <c r="BF629" s="313">
        <f t="shared" si="233"/>
        <v>0</v>
      </c>
      <c r="BG629" s="308"/>
      <c r="BH629" s="309"/>
      <c r="BI629" s="310">
        <f t="shared" si="234"/>
        <v>0</v>
      </c>
      <c r="BJ629" s="350"/>
      <c r="BK629" s="351"/>
      <c r="BL629" s="313">
        <f t="shared" si="235"/>
        <v>0</v>
      </c>
      <c r="BM629" s="308"/>
      <c r="BN629" s="309"/>
      <c r="BO629" s="310">
        <f t="shared" si="236"/>
        <v>0</v>
      </c>
      <c r="BP629" s="350"/>
      <c r="BQ629" s="351"/>
      <c r="BR629" s="313">
        <f t="shared" si="237"/>
        <v>0</v>
      </c>
      <c r="BS629" s="308">
        <v>26</v>
      </c>
      <c r="BT629" s="309">
        <v>62797</v>
      </c>
      <c r="BU629" s="310">
        <f t="shared" si="238"/>
        <v>1335893.1404000001</v>
      </c>
      <c r="BV629" s="350">
        <v>28</v>
      </c>
      <c r="BW629" s="351">
        <v>59849.642857142855</v>
      </c>
      <c r="BX629" s="313">
        <f t="shared" si="239"/>
        <v>1371131.378</v>
      </c>
      <c r="BY629" s="290"/>
    </row>
    <row r="630" spans="1:77">
      <c r="A630" s="346" t="s">
        <v>408</v>
      </c>
      <c r="B630" s="435" t="s">
        <v>194</v>
      </c>
      <c r="C630" s="348">
        <v>226806</v>
      </c>
      <c r="D630" s="349">
        <v>9</v>
      </c>
      <c r="E630" s="308">
        <v>38</v>
      </c>
      <c r="F630" s="309">
        <v>62276</v>
      </c>
      <c r="G630" s="310">
        <f t="shared" si="216"/>
        <v>2366488</v>
      </c>
      <c r="H630" s="350">
        <v>37</v>
      </c>
      <c r="I630" s="351">
        <v>63749.135135135133</v>
      </c>
      <c r="J630" s="313">
        <f t="shared" si="217"/>
        <v>2358718</v>
      </c>
      <c r="K630" s="308">
        <v>10</v>
      </c>
      <c r="L630" s="309">
        <v>48569</v>
      </c>
      <c r="M630" s="310">
        <f t="shared" si="218"/>
        <v>485690</v>
      </c>
      <c r="N630" s="350">
        <v>11</v>
      </c>
      <c r="O630" s="351">
        <v>51046.545454545456</v>
      </c>
      <c r="P630" s="313">
        <f t="shared" si="219"/>
        <v>561512</v>
      </c>
      <c r="Q630" s="308">
        <v>15</v>
      </c>
      <c r="R630" s="309">
        <v>48374</v>
      </c>
      <c r="S630" s="310">
        <f t="shared" si="220"/>
        <v>725610</v>
      </c>
      <c r="T630" s="350">
        <v>23</v>
      </c>
      <c r="U630" s="351">
        <v>48806.478260869568</v>
      </c>
      <c r="V630" s="313">
        <f t="shared" si="221"/>
        <v>1122549</v>
      </c>
      <c r="W630" s="308">
        <v>29</v>
      </c>
      <c r="X630" s="309">
        <v>43694</v>
      </c>
      <c r="Y630" s="310">
        <f t="shared" si="222"/>
        <v>1267126</v>
      </c>
      <c r="Z630" s="350">
        <v>25</v>
      </c>
      <c r="AA630" s="351">
        <v>47870.48</v>
      </c>
      <c r="AB630" s="313">
        <f t="shared" si="223"/>
        <v>1196762</v>
      </c>
      <c r="AC630" s="308">
        <v>3</v>
      </c>
      <c r="AD630" s="309">
        <v>45301</v>
      </c>
      <c r="AE630" s="310">
        <f t="shared" si="224"/>
        <v>135903</v>
      </c>
      <c r="AF630" s="350"/>
      <c r="AG630" s="351"/>
      <c r="AH630" s="313">
        <f t="shared" si="225"/>
        <v>0</v>
      </c>
      <c r="AI630" s="308"/>
      <c r="AJ630" s="309"/>
      <c r="AK630" s="310">
        <f t="shared" si="226"/>
        <v>0</v>
      </c>
      <c r="AL630" s="350">
        <v>1</v>
      </c>
      <c r="AM630" s="351">
        <v>51106</v>
      </c>
      <c r="AN630" s="313">
        <f t="shared" si="227"/>
        <v>51106</v>
      </c>
      <c r="AO630" s="308">
        <v>6</v>
      </c>
      <c r="AP630" s="309">
        <v>68482</v>
      </c>
      <c r="AQ630" s="310">
        <f t="shared" si="228"/>
        <v>336191.83439999999</v>
      </c>
      <c r="AR630" s="350">
        <v>6</v>
      </c>
      <c r="AS630" s="351">
        <v>68497.666666666672</v>
      </c>
      <c r="AT630" s="313">
        <f t="shared" si="229"/>
        <v>336268.7452</v>
      </c>
      <c r="AU630" s="308">
        <v>7</v>
      </c>
      <c r="AV630" s="309">
        <v>54994</v>
      </c>
      <c r="AW630" s="310">
        <f t="shared" si="230"/>
        <v>314972.63560000004</v>
      </c>
      <c r="AX630" s="350">
        <v>7</v>
      </c>
      <c r="AY630" s="351">
        <v>56576.142857142855</v>
      </c>
      <c r="AZ630" s="313">
        <f t="shared" si="231"/>
        <v>324034.20060000004</v>
      </c>
      <c r="BA630" s="308">
        <v>5</v>
      </c>
      <c r="BB630" s="309">
        <v>57034</v>
      </c>
      <c r="BC630" s="310">
        <f t="shared" si="232"/>
        <v>233326.09400000001</v>
      </c>
      <c r="BD630" s="350">
        <v>6</v>
      </c>
      <c r="BE630" s="351">
        <v>59547.166666666664</v>
      </c>
      <c r="BF630" s="313">
        <f t="shared" si="233"/>
        <v>292328.95060000004</v>
      </c>
      <c r="BG630" s="308">
        <v>4</v>
      </c>
      <c r="BH630" s="309">
        <v>49077</v>
      </c>
      <c r="BI630" s="310">
        <f t="shared" si="234"/>
        <v>160619.20560000002</v>
      </c>
      <c r="BJ630" s="350">
        <v>9</v>
      </c>
      <c r="BK630" s="351">
        <v>56930.888888888891</v>
      </c>
      <c r="BL630" s="313">
        <f t="shared" si="235"/>
        <v>419227.67960000003</v>
      </c>
      <c r="BM630" s="308">
        <v>12</v>
      </c>
      <c r="BN630" s="309">
        <v>53360</v>
      </c>
      <c r="BO630" s="310">
        <f t="shared" si="236"/>
        <v>523909.82400000002</v>
      </c>
      <c r="BP630" s="350"/>
      <c r="BQ630" s="351"/>
      <c r="BR630" s="313">
        <f t="shared" si="237"/>
        <v>0</v>
      </c>
      <c r="BS630" s="308"/>
      <c r="BT630" s="309"/>
      <c r="BU630" s="310">
        <f t="shared" si="238"/>
        <v>0</v>
      </c>
      <c r="BV630" s="350">
        <v>6</v>
      </c>
      <c r="BW630" s="351">
        <v>50852</v>
      </c>
      <c r="BX630" s="313">
        <f t="shared" si="239"/>
        <v>249642.63840000003</v>
      </c>
      <c r="BY630" s="290"/>
    </row>
    <row r="631" spans="1:77">
      <c r="A631" s="346" t="s">
        <v>408</v>
      </c>
      <c r="B631" s="347" t="s">
        <v>195</v>
      </c>
      <c r="C631" s="348">
        <v>226930</v>
      </c>
      <c r="D631" s="349">
        <v>9</v>
      </c>
      <c r="E631" s="308"/>
      <c r="F631" s="309"/>
      <c r="G631" s="310">
        <f t="shared" si="216"/>
        <v>0</v>
      </c>
      <c r="H631" s="350"/>
      <c r="I631" s="351"/>
      <c r="J631" s="313">
        <f t="shared" si="217"/>
        <v>0</v>
      </c>
      <c r="K631" s="308"/>
      <c r="L631" s="309"/>
      <c r="M631" s="310">
        <f t="shared" si="218"/>
        <v>0</v>
      </c>
      <c r="N631" s="350"/>
      <c r="O631" s="351"/>
      <c r="P631" s="313">
        <f t="shared" si="219"/>
        <v>0</v>
      </c>
      <c r="Q631" s="308"/>
      <c r="R631" s="309"/>
      <c r="S631" s="310">
        <f t="shared" si="220"/>
        <v>0</v>
      </c>
      <c r="T631" s="350"/>
      <c r="U631" s="351"/>
      <c r="V631" s="313">
        <f t="shared" si="221"/>
        <v>0</v>
      </c>
      <c r="W631" s="308"/>
      <c r="X631" s="309"/>
      <c r="Y631" s="310">
        <f t="shared" si="222"/>
        <v>0</v>
      </c>
      <c r="Z631" s="350"/>
      <c r="AA631" s="351"/>
      <c r="AB631" s="313">
        <f t="shared" si="223"/>
        <v>0</v>
      </c>
      <c r="AC631" s="308"/>
      <c r="AD631" s="309"/>
      <c r="AE631" s="310">
        <f t="shared" si="224"/>
        <v>0</v>
      </c>
      <c r="AF631" s="350"/>
      <c r="AG631" s="351"/>
      <c r="AH631" s="313">
        <f t="shared" si="225"/>
        <v>0</v>
      </c>
      <c r="AI631" s="308">
        <v>80</v>
      </c>
      <c r="AJ631" s="309">
        <v>59141</v>
      </c>
      <c r="AK631" s="310">
        <f t="shared" si="226"/>
        <v>4731280</v>
      </c>
      <c r="AL631" s="350">
        <v>75</v>
      </c>
      <c r="AM631" s="351">
        <v>60678.746666666666</v>
      </c>
      <c r="AN631" s="313">
        <f t="shared" si="227"/>
        <v>4550906</v>
      </c>
      <c r="AO631" s="308"/>
      <c r="AP631" s="309"/>
      <c r="AQ631" s="310">
        <f t="shared" si="228"/>
        <v>0</v>
      </c>
      <c r="AR631" s="350"/>
      <c r="AS631" s="351"/>
      <c r="AT631" s="313">
        <f t="shared" si="229"/>
        <v>0</v>
      </c>
      <c r="AU631" s="308"/>
      <c r="AV631" s="309"/>
      <c r="AW631" s="310">
        <f t="shared" si="230"/>
        <v>0</v>
      </c>
      <c r="AX631" s="350"/>
      <c r="AY631" s="351"/>
      <c r="AZ631" s="313">
        <f t="shared" si="231"/>
        <v>0</v>
      </c>
      <c r="BA631" s="308"/>
      <c r="BB631" s="309"/>
      <c r="BC631" s="310">
        <f t="shared" si="232"/>
        <v>0</v>
      </c>
      <c r="BD631" s="350"/>
      <c r="BE631" s="351"/>
      <c r="BF631" s="313">
        <f t="shared" si="233"/>
        <v>0</v>
      </c>
      <c r="BG631" s="308"/>
      <c r="BH631" s="309"/>
      <c r="BI631" s="310">
        <f t="shared" si="234"/>
        <v>0</v>
      </c>
      <c r="BJ631" s="350"/>
      <c r="BK631" s="351"/>
      <c r="BL631" s="313">
        <f t="shared" si="235"/>
        <v>0</v>
      </c>
      <c r="BM631" s="308"/>
      <c r="BN631" s="309"/>
      <c r="BO631" s="310">
        <f t="shared" si="236"/>
        <v>0</v>
      </c>
      <c r="BP631" s="350"/>
      <c r="BQ631" s="351"/>
      <c r="BR631" s="313">
        <f t="shared" si="237"/>
        <v>0</v>
      </c>
      <c r="BS631" s="308"/>
      <c r="BT631" s="309"/>
      <c r="BU631" s="310">
        <f t="shared" si="238"/>
        <v>0</v>
      </c>
      <c r="BV631" s="350"/>
      <c r="BW631" s="351"/>
      <c r="BX631" s="313">
        <f t="shared" si="239"/>
        <v>0</v>
      </c>
      <c r="BY631" s="290"/>
    </row>
    <row r="632" spans="1:77">
      <c r="A632" s="346" t="s">
        <v>408</v>
      </c>
      <c r="B632" s="435" t="s">
        <v>197</v>
      </c>
      <c r="C632" s="348">
        <v>224110</v>
      </c>
      <c r="D632" s="349">
        <v>9</v>
      </c>
      <c r="E632" s="308"/>
      <c r="F632" s="309"/>
      <c r="G632" s="310">
        <f t="shared" si="216"/>
        <v>0</v>
      </c>
      <c r="H632" s="350"/>
      <c r="I632" s="351"/>
      <c r="J632" s="313">
        <f t="shared" si="217"/>
        <v>0</v>
      </c>
      <c r="K632" s="308"/>
      <c r="L632" s="309"/>
      <c r="M632" s="310">
        <f t="shared" si="218"/>
        <v>0</v>
      </c>
      <c r="N632" s="350"/>
      <c r="O632" s="351"/>
      <c r="P632" s="313">
        <f t="shared" si="219"/>
        <v>0</v>
      </c>
      <c r="Q632" s="308"/>
      <c r="R632" s="309"/>
      <c r="S632" s="310">
        <f t="shared" si="220"/>
        <v>0</v>
      </c>
      <c r="T632" s="350"/>
      <c r="U632" s="351"/>
      <c r="V632" s="313">
        <f t="shared" si="221"/>
        <v>0</v>
      </c>
      <c r="W632" s="308"/>
      <c r="X632" s="309"/>
      <c r="Y632" s="310">
        <f t="shared" si="222"/>
        <v>0</v>
      </c>
      <c r="Z632" s="350"/>
      <c r="AA632" s="351"/>
      <c r="AB632" s="313">
        <f t="shared" si="223"/>
        <v>0</v>
      </c>
      <c r="AC632" s="308"/>
      <c r="AD632" s="309"/>
      <c r="AE632" s="310">
        <f t="shared" si="224"/>
        <v>0</v>
      </c>
      <c r="AF632" s="350"/>
      <c r="AG632" s="351"/>
      <c r="AH632" s="313">
        <f t="shared" si="225"/>
        <v>0</v>
      </c>
      <c r="AI632" s="308">
        <v>86</v>
      </c>
      <c r="AJ632" s="309">
        <v>43588</v>
      </c>
      <c r="AK632" s="310">
        <f t="shared" si="226"/>
        <v>3748568</v>
      </c>
      <c r="AL632" s="350">
        <v>96</v>
      </c>
      <c r="AM632" s="351">
        <v>44743.604166666664</v>
      </c>
      <c r="AN632" s="313">
        <f t="shared" si="227"/>
        <v>4295386</v>
      </c>
      <c r="AO632" s="308"/>
      <c r="AP632" s="309"/>
      <c r="AQ632" s="310">
        <f t="shared" si="228"/>
        <v>0</v>
      </c>
      <c r="AR632" s="350"/>
      <c r="AS632" s="351"/>
      <c r="AT632" s="313">
        <f t="shared" si="229"/>
        <v>0</v>
      </c>
      <c r="AU632" s="308"/>
      <c r="AV632" s="309"/>
      <c r="AW632" s="310">
        <f t="shared" si="230"/>
        <v>0</v>
      </c>
      <c r="AX632" s="350"/>
      <c r="AY632" s="351"/>
      <c r="AZ632" s="313">
        <f t="shared" si="231"/>
        <v>0</v>
      </c>
      <c r="BA632" s="308"/>
      <c r="BB632" s="309"/>
      <c r="BC632" s="310">
        <f t="shared" si="232"/>
        <v>0</v>
      </c>
      <c r="BD632" s="350"/>
      <c r="BE632" s="351"/>
      <c r="BF632" s="313">
        <f t="shared" si="233"/>
        <v>0</v>
      </c>
      <c r="BG632" s="308"/>
      <c r="BH632" s="309"/>
      <c r="BI632" s="310">
        <f t="shared" si="234"/>
        <v>0</v>
      </c>
      <c r="BJ632" s="350"/>
      <c r="BK632" s="351"/>
      <c r="BL632" s="313">
        <f t="shared" si="235"/>
        <v>0</v>
      </c>
      <c r="BM632" s="308"/>
      <c r="BN632" s="309"/>
      <c r="BO632" s="310">
        <f t="shared" si="236"/>
        <v>0</v>
      </c>
      <c r="BP632" s="350"/>
      <c r="BQ632" s="351"/>
      <c r="BR632" s="313">
        <f t="shared" si="237"/>
        <v>0</v>
      </c>
      <c r="BS632" s="308">
        <v>25</v>
      </c>
      <c r="BT632" s="309">
        <v>51572</v>
      </c>
      <c r="BU632" s="310">
        <f t="shared" si="238"/>
        <v>1054905.26</v>
      </c>
      <c r="BV632" s="350">
        <v>26</v>
      </c>
      <c r="BW632" s="351">
        <v>54377.730769230766</v>
      </c>
      <c r="BX632" s="313">
        <f t="shared" si="239"/>
        <v>1156788.3422000001</v>
      </c>
      <c r="BY632" s="290"/>
    </row>
    <row r="633" spans="1:77">
      <c r="A633" s="346" t="s">
        <v>408</v>
      </c>
      <c r="B633" s="347" t="s">
        <v>198</v>
      </c>
      <c r="C633" s="348">
        <v>227304</v>
      </c>
      <c r="D633" s="349">
        <v>9</v>
      </c>
      <c r="E633" s="308">
        <v>16</v>
      </c>
      <c r="F633" s="309">
        <v>56768</v>
      </c>
      <c r="G633" s="310">
        <f t="shared" si="216"/>
        <v>908288</v>
      </c>
      <c r="H633" s="350">
        <v>15</v>
      </c>
      <c r="I633" s="351">
        <v>59191.333333333336</v>
      </c>
      <c r="J633" s="313">
        <f t="shared" si="217"/>
        <v>887870</v>
      </c>
      <c r="K633" s="308">
        <v>21</v>
      </c>
      <c r="L633" s="309">
        <v>47737</v>
      </c>
      <c r="M633" s="310">
        <f t="shared" si="218"/>
        <v>1002477</v>
      </c>
      <c r="N633" s="350">
        <v>23</v>
      </c>
      <c r="O633" s="351">
        <v>49894.086956521736</v>
      </c>
      <c r="P633" s="313">
        <f t="shared" si="219"/>
        <v>1147564</v>
      </c>
      <c r="Q633" s="308">
        <v>24</v>
      </c>
      <c r="R633" s="309">
        <v>45417</v>
      </c>
      <c r="S633" s="310">
        <f t="shared" si="220"/>
        <v>1090008</v>
      </c>
      <c r="T633" s="350">
        <v>25</v>
      </c>
      <c r="U633" s="351">
        <v>48710</v>
      </c>
      <c r="V633" s="313">
        <f t="shared" si="221"/>
        <v>1217750</v>
      </c>
      <c r="W633" s="308">
        <v>38</v>
      </c>
      <c r="X633" s="309">
        <v>42706</v>
      </c>
      <c r="Y633" s="310">
        <f t="shared" si="222"/>
        <v>1622828</v>
      </c>
      <c r="Z633" s="350">
        <v>31</v>
      </c>
      <c r="AA633" s="351">
        <v>44786.774193548386</v>
      </c>
      <c r="AB633" s="313">
        <f t="shared" si="223"/>
        <v>1388390</v>
      </c>
      <c r="AC633" s="308"/>
      <c r="AD633" s="309"/>
      <c r="AE633" s="310">
        <f t="shared" si="224"/>
        <v>0</v>
      </c>
      <c r="AF633" s="350"/>
      <c r="AG633" s="351"/>
      <c r="AH633" s="313">
        <f t="shared" si="225"/>
        <v>0</v>
      </c>
      <c r="AI633" s="308"/>
      <c r="AJ633" s="309"/>
      <c r="AK633" s="310">
        <f t="shared" si="226"/>
        <v>0</v>
      </c>
      <c r="AL633" s="350"/>
      <c r="AM633" s="351"/>
      <c r="AN633" s="313">
        <f t="shared" si="227"/>
        <v>0</v>
      </c>
      <c r="AO633" s="308">
        <v>1</v>
      </c>
      <c r="AP633" s="309">
        <v>61292</v>
      </c>
      <c r="AQ633" s="310">
        <f t="shared" si="228"/>
        <v>50149.114400000006</v>
      </c>
      <c r="AR633" s="350">
        <v>1</v>
      </c>
      <c r="AS633" s="351">
        <v>65195</v>
      </c>
      <c r="AT633" s="313">
        <f t="shared" si="229"/>
        <v>53342.548999999999</v>
      </c>
      <c r="AU633" s="308">
        <v>10</v>
      </c>
      <c r="AV633" s="309">
        <v>60830</v>
      </c>
      <c r="AW633" s="310">
        <f t="shared" si="230"/>
        <v>497711.06</v>
      </c>
      <c r="AX633" s="350">
        <v>9</v>
      </c>
      <c r="AY633" s="351">
        <v>66306.777777777781</v>
      </c>
      <c r="AZ633" s="313">
        <f t="shared" si="231"/>
        <v>488269.85020000004</v>
      </c>
      <c r="BA633" s="308">
        <v>4</v>
      </c>
      <c r="BB633" s="309">
        <v>57405</v>
      </c>
      <c r="BC633" s="310">
        <f t="shared" si="232"/>
        <v>187875.084</v>
      </c>
      <c r="BD633" s="350">
        <v>5</v>
      </c>
      <c r="BE633" s="351">
        <v>59377</v>
      </c>
      <c r="BF633" s="313">
        <f t="shared" si="233"/>
        <v>242911.307</v>
      </c>
      <c r="BG633" s="308">
        <v>4</v>
      </c>
      <c r="BH633" s="309">
        <v>50637</v>
      </c>
      <c r="BI633" s="310">
        <f t="shared" si="234"/>
        <v>165724.77360000001</v>
      </c>
      <c r="BJ633" s="350">
        <v>5</v>
      </c>
      <c r="BK633" s="351">
        <v>52401.4</v>
      </c>
      <c r="BL633" s="313">
        <f t="shared" si="235"/>
        <v>214374.1274</v>
      </c>
      <c r="BM633" s="308"/>
      <c r="BN633" s="309"/>
      <c r="BO633" s="310">
        <f t="shared" si="236"/>
        <v>0</v>
      </c>
      <c r="BP633" s="350"/>
      <c r="BQ633" s="351"/>
      <c r="BR633" s="313">
        <f t="shared" si="237"/>
        <v>0</v>
      </c>
      <c r="BS633" s="308"/>
      <c r="BT633" s="309"/>
      <c r="BU633" s="310">
        <f t="shared" si="238"/>
        <v>0</v>
      </c>
      <c r="BV633" s="350"/>
      <c r="BW633" s="351"/>
      <c r="BX633" s="313">
        <f t="shared" si="239"/>
        <v>0</v>
      </c>
      <c r="BY633" s="290"/>
    </row>
    <row r="634" spans="1:77">
      <c r="A634" s="346" t="s">
        <v>408</v>
      </c>
      <c r="B634" s="347" t="s">
        <v>199</v>
      </c>
      <c r="C634" s="348">
        <v>227401</v>
      </c>
      <c r="D634" s="349">
        <v>9</v>
      </c>
      <c r="E634" s="308"/>
      <c r="F634" s="309"/>
      <c r="G634" s="310">
        <f t="shared" si="216"/>
        <v>0</v>
      </c>
      <c r="H634" s="350"/>
      <c r="I634" s="351"/>
      <c r="J634" s="313">
        <f t="shared" si="217"/>
        <v>0</v>
      </c>
      <c r="K634" s="308"/>
      <c r="L634" s="309"/>
      <c r="M634" s="310">
        <f t="shared" si="218"/>
        <v>0</v>
      </c>
      <c r="N634" s="350"/>
      <c r="O634" s="351"/>
      <c r="P634" s="313">
        <f t="shared" si="219"/>
        <v>0</v>
      </c>
      <c r="Q634" s="308"/>
      <c r="R634" s="309"/>
      <c r="S634" s="310">
        <f t="shared" si="220"/>
        <v>0</v>
      </c>
      <c r="T634" s="350"/>
      <c r="U634" s="351"/>
      <c r="V634" s="313">
        <f t="shared" si="221"/>
        <v>0</v>
      </c>
      <c r="W634" s="308">
        <v>73</v>
      </c>
      <c r="X634" s="309">
        <v>48208</v>
      </c>
      <c r="Y634" s="310">
        <f t="shared" si="222"/>
        <v>3519184</v>
      </c>
      <c r="Z634" s="350">
        <v>70</v>
      </c>
      <c r="AA634" s="351">
        <v>49699.742857142854</v>
      </c>
      <c r="AB634" s="313">
        <f t="shared" si="223"/>
        <v>3478981.9999999995</v>
      </c>
      <c r="AC634" s="308"/>
      <c r="AD634" s="309"/>
      <c r="AE634" s="310">
        <f t="shared" si="224"/>
        <v>0</v>
      </c>
      <c r="AF634" s="350"/>
      <c r="AG634" s="351"/>
      <c r="AH634" s="313">
        <f t="shared" si="225"/>
        <v>0</v>
      </c>
      <c r="AI634" s="308"/>
      <c r="AJ634" s="309"/>
      <c r="AK634" s="310">
        <f t="shared" si="226"/>
        <v>0</v>
      </c>
      <c r="AL634" s="350"/>
      <c r="AM634" s="351"/>
      <c r="AN634" s="313">
        <f t="shared" si="227"/>
        <v>0</v>
      </c>
      <c r="AO634" s="308"/>
      <c r="AP634" s="309"/>
      <c r="AQ634" s="310">
        <f t="shared" si="228"/>
        <v>0</v>
      </c>
      <c r="AR634" s="350"/>
      <c r="AS634" s="351"/>
      <c r="AT634" s="313">
        <f t="shared" si="229"/>
        <v>0</v>
      </c>
      <c r="AU634" s="308"/>
      <c r="AV634" s="309"/>
      <c r="AW634" s="310">
        <f t="shared" si="230"/>
        <v>0</v>
      </c>
      <c r="AX634" s="350"/>
      <c r="AY634" s="351"/>
      <c r="AZ634" s="313">
        <f t="shared" si="231"/>
        <v>0</v>
      </c>
      <c r="BA634" s="308"/>
      <c r="BB634" s="309"/>
      <c r="BC634" s="310">
        <f t="shared" si="232"/>
        <v>0</v>
      </c>
      <c r="BD634" s="350"/>
      <c r="BE634" s="351"/>
      <c r="BF634" s="313">
        <f t="shared" si="233"/>
        <v>0</v>
      </c>
      <c r="BG634" s="308">
        <v>11</v>
      </c>
      <c r="BH634" s="309">
        <v>57171</v>
      </c>
      <c r="BI634" s="310">
        <f t="shared" si="234"/>
        <v>514550.43420000002</v>
      </c>
      <c r="BJ634" s="350">
        <v>23</v>
      </c>
      <c r="BK634" s="351">
        <v>60860.695652173912</v>
      </c>
      <c r="BL634" s="313">
        <f t="shared" si="235"/>
        <v>1145313.0872</v>
      </c>
      <c r="BM634" s="308"/>
      <c r="BN634" s="309"/>
      <c r="BO634" s="310">
        <f t="shared" si="236"/>
        <v>0</v>
      </c>
      <c r="BP634" s="350"/>
      <c r="BQ634" s="351"/>
      <c r="BR634" s="313">
        <f t="shared" si="237"/>
        <v>0</v>
      </c>
      <c r="BS634" s="308"/>
      <c r="BT634" s="309"/>
      <c r="BU634" s="310">
        <f t="shared" si="238"/>
        <v>0</v>
      </c>
      <c r="BV634" s="350"/>
      <c r="BW634" s="351"/>
      <c r="BX634" s="313">
        <f t="shared" si="239"/>
        <v>0</v>
      </c>
      <c r="BY634" s="290"/>
    </row>
    <row r="635" spans="1:77">
      <c r="A635" s="346" t="s">
        <v>408</v>
      </c>
      <c r="B635" s="347" t="s">
        <v>200</v>
      </c>
      <c r="C635" s="348">
        <v>228316</v>
      </c>
      <c r="D635" s="349">
        <v>9</v>
      </c>
      <c r="E635" s="308"/>
      <c r="F635" s="309"/>
      <c r="G635" s="310">
        <f t="shared" si="216"/>
        <v>0</v>
      </c>
      <c r="H635" s="350"/>
      <c r="I635" s="351"/>
      <c r="J635" s="313">
        <f t="shared" si="217"/>
        <v>0</v>
      </c>
      <c r="K635" s="308"/>
      <c r="L635" s="309"/>
      <c r="M635" s="310">
        <f t="shared" si="218"/>
        <v>0</v>
      </c>
      <c r="N635" s="350"/>
      <c r="O635" s="351"/>
      <c r="P635" s="313">
        <f t="shared" si="219"/>
        <v>0</v>
      </c>
      <c r="Q635" s="308"/>
      <c r="R635" s="309"/>
      <c r="S635" s="310">
        <f t="shared" si="220"/>
        <v>0</v>
      </c>
      <c r="T635" s="350"/>
      <c r="U635" s="351"/>
      <c r="V635" s="313">
        <f t="shared" si="221"/>
        <v>0</v>
      </c>
      <c r="W635" s="308">
        <v>108</v>
      </c>
      <c r="X635" s="309">
        <v>45692</v>
      </c>
      <c r="Y635" s="310">
        <f t="shared" si="222"/>
        <v>4934736</v>
      </c>
      <c r="Z635" s="350">
        <v>108</v>
      </c>
      <c r="AA635" s="351">
        <v>45714.222222222219</v>
      </c>
      <c r="AB635" s="313">
        <f t="shared" si="223"/>
        <v>4937136</v>
      </c>
      <c r="AC635" s="308"/>
      <c r="AD635" s="309"/>
      <c r="AE635" s="310">
        <f t="shared" si="224"/>
        <v>0</v>
      </c>
      <c r="AF635" s="350"/>
      <c r="AG635" s="351"/>
      <c r="AH635" s="313">
        <f t="shared" si="225"/>
        <v>0</v>
      </c>
      <c r="AI635" s="308"/>
      <c r="AJ635" s="309"/>
      <c r="AK635" s="310">
        <f t="shared" si="226"/>
        <v>0</v>
      </c>
      <c r="AL635" s="350"/>
      <c r="AM635" s="351"/>
      <c r="AN635" s="313">
        <f t="shared" si="227"/>
        <v>0</v>
      </c>
      <c r="AO635" s="308"/>
      <c r="AP635" s="309"/>
      <c r="AQ635" s="310">
        <f t="shared" si="228"/>
        <v>0</v>
      </c>
      <c r="AR635" s="350"/>
      <c r="AS635" s="351"/>
      <c r="AT635" s="313">
        <f t="shared" si="229"/>
        <v>0</v>
      </c>
      <c r="AU635" s="308"/>
      <c r="AV635" s="309"/>
      <c r="AW635" s="310">
        <f t="shared" si="230"/>
        <v>0</v>
      </c>
      <c r="AX635" s="350"/>
      <c r="AY635" s="351"/>
      <c r="AZ635" s="313">
        <f t="shared" si="231"/>
        <v>0</v>
      </c>
      <c r="BA635" s="308"/>
      <c r="BB635" s="309"/>
      <c r="BC635" s="310">
        <f t="shared" si="232"/>
        <v>0</v>
      </c>
      <c r="BD635" s="350"/>
      <c r="BE635" s="351"/>
      <c r="BF635" s="313">
        <f t="shared" si="233"/>
        <v>0</v>
      </c>
      <c r="BG635" s="308">
        <v>6</v>
      </c>
      <c r="BH635" s="309">
        <v>59728</v>
      </c>
      <c r="BI635" s="310">
        <f t="shared" si="234"/>
        <v>293216.69760000001</v>
      </c>
      <c r="BJ635" s="350">
        <v>6</v>
      </c>
      <c r="BK635" s="351">
        <v>66625.333333333328</v>
      </c>
      <c r="BL635" s="313">
        <f t="shared" si="235"/>
        <v>327077.08640000003</v>
      </c>
      <c r="BM635" s="308"/>
      <c r="BN635" s="309"/>
      <c r="BO635" s="310">
        <f t="shared" si="236"/>
        <v>0</v>
      </c>
      <c r="BP635" s="350"/>
      <c r="BQ635" s="351"/>
      <c r="BR635" s="313">
        <f t="shared" si="237"/>
        <v>0</v>
      </c>
      <c r="BS635" s="308"/>
      <c r="BT635" s="309"/>
      <c r="BU635" s="310">
        <f t="shared" si="238"/>
        <v>0</v>
      </c>
      <c r="BV635" s="350"/>
      <c r="BW635" s="351"/>
      <c r="BX635" s="313">
        <f t="shared" si="239"/>
        <v>0</v>
      </c>
      <c r="BY635" s="290"/>
    </row>
    <row r="636" spans="1:77">
      <c r="A636" s="346" t="s">
        <v>408</v>
      </c>
      <c r="B636" s="347" t="s">
        <v>201</v>
      </c>
      <c r="C636" s="348">
        <v>228608</v>
      </c>
      <c r="D636" s="349">
        <v>9</v>
      </c>
      <c r="E636" s="308"/>
      <c r="F636" s="309"/>
      <c r="G636" s="310">
        <f t="shared" si="216"/>
        <v>0</v>
      </c>
      <c r="H636" s="350"/>
      <c r="I636" s="351"/>
      <c r="J636" s="313">
        <f t="shared" si="217"/>
        <v>0</v>
      </c>
      <c r="K636" s="308"/>
      <c r="L636" s="309"/>
      <c r="M636" s="310">
        <f t="shared" si="218"/>
        <v>0</v>
      </c>
      <c r="N636" s="350"/>
      <c r="O636" s="351"/>
      <c r="P636" s="313">
        <f t="shared" si="219"/>
        <v>0</v>
      </c>
      <c r="Q636" s="308"/>
      <c r="R636" s="309"/>
      <c r="S636" s="310">
        <f t="shared" si="220"/>
        <v>0</v>
      </c>
      <c r="T636" s="350"/>
      <c r="U636" s="351"/>
      <c r="V636" s="313">
        <f t="shared" si="221"/>
        <v>0</v>
      </c>
      <c r="W636" s="308">
        <v>69</v>
      </c>
      <c r="X636" s="309">
        <v>48606</v>
      </c>
      <c r="Y636" s="310">
        <f t="shared" si="222"/>
        <v>3353814</v>
      </c>
      <c r="Z636" s="350">
        <v>76</v>
      </c>
      <c r="AA636" s="351">
        <v>55753.723684210527</v>
      </c>
      <c r="AB636" s="313">
        <f t="shared" si="223"/>
        <v>4237283</v>
      </c>
      <c r="AC636" s="308"/>
      <c r="AD636" s="309"/>
      <c r="AE636" s="310">
        <f t="shared" si="224"/>
        <v>0</v>
      </c>
      <c r="AF636" s="350"/>
      <c r="AG636" s="351"/>
      <c r="AH636" s="313">
        <f t="shared" si="225"/>
        <v>0</v>
      </c>
      <c r="AI636" s="308"/>
      <c r="AJ636" s="309"/>
      <c r="AK636" s="310">
        <f t="shared" si="226"/>
        <v>0</v>
      </c>
      <c r="AL636" s="350"/>
      <c r="AM636" s="351"/>
      <c r="AN636" s="313">
        <f t="shared" si="227"/>
        <v>0</v>
      </c>
      <c r="AO636" s="308"/>
      <c r="AP636" s="309"/>
      <c r="AQ636" s="310">
        <f t="shared" si="228"/>
        <v>0</v>
      </c>
      <c r="AR636" s="350"/>
      <c r="AS636" s="351"/>
      <c r="AT636" s="313">
        <f t="shared" si="229"/>
        <v>0</v>
      </c>
      <c r="AU636" s="308"/>
      <c r="AV636" s="309"/>
      <c r="AW636" s="310">
        <f t="shared" si="230"/>
        <v>0</v>
      </c>
      <c r="AX636" s="350"/>
      <c r="AY636" s="351"/>
      <c r="AZ636" s="313">
        <f t="shared" si="231"/>
        <v>0</v>
      </c>
      <c r="BA636" s="308"/>
      <c r="BB636" s="309"/>
      <c r="BC636" s="310">
        <f t="shared" si="232"/>
        <v>0</v>
      </c>
      <c r="BD636" s="350"/>
      <c r="BE636" s="351"/>
      <c r="BF636" s="313">
        <f t="shared" si="233"/>
        <v>0</v>
      </c>
      <c r="BG636" s="308">
        <v>28</v>
      </c>
      <c r="BH636" s="309">
        <v>56432</v>
      </c>
      <c r="BI636" s="310">
        <f t="shared" si="234"/>
        <v>1292834.5472000001</v>
      </c>
      <c r="BJ636" s="350">
        <v>31</v>
      </c>
      <c r="BK636" s="351">
        <v>60807.483870967742</v>
      </c>
      <c r="BL636" s="313">
        <f t="shared" si="235"/>
        <v>1542333.1824</v>
      </c>
      <c r="BM636" s="308"/>
      <c r="BN636" s="309"/>
      <c r="BO636" s="310">
        <f t="shared" si="236"/>
        <v>0</v>
      </c>
      <c r="BP636" s="350"/>
      <c r="BQ636" s="351"/>
      <c r="BR636" s="313">
        <f t="shared" si="237"/>
        <v>0</v>
      </c>
      <c r="BS636" s="308"/>
      <c r="BT636" s="309"/>
      <c r="BU636" s="310">
        <f t="shared" si="238"/>
        <v>0</v>
      </c>
      <c r="BV636" s="350"/>
      <c r="BW636" s="351"/>
      <c r="BX636" s="313">
        <f t="shared" si="239"/>
        <v>0</v>
      </c>
      <c r="BY636" s="290"/>
    </row>
    <row r="637" spans="1:77">
      <c r="A637" s="346" t="s">
        <v>408</v>
      </c>
      <c r="B637" s="347" t="s">
        <v>202</v>
      </c>
      <c r="C637" s="348">
        <v>228699</v>
      </c>
      <c r="D637" s="349">
        <v>9</v>
      </c>
      <c r="E637" s="308">
        <v>32</v>
      </c>
      <c r="F637" s="309">
        <v>59300</v>
      </c>
      <c r="G637" s="310">
        <f t="shared" si="216"/>
        <v>1897600</v>
      </c>
      <c r="H637" s="350">
        <v>32</v>
      </c>
      <c r="I637" s="351">
        <v>62550.28125</v>
      </c>
      <c r="J637" s="313">
        <f t="shared" si="217"/>
        <v>2001609</v>
      </c>
      <c r="K637" s="308">
        <v>28</v>
      </c>
      <c r="L637" s="309">
        <v>50596</v>
      </c>
      <c r="M637" s="310">
        <f t="shared" si="218"/>
        <v>1416688</v>
      </c>
      <c r="N637" s="350">
        <v>23</v>
      </c>
      <c r="O637" s="351">
        <v>51733</v>
      </c>
      <c r="P637" s="313">
        <f t="shared" si="219"/>
        <v>1189859</v>
      </c>
      <c r="Q637" s="308">
        <v>8</v>
      </c>
      <c r="R637" s="309">
        <v>48455</v>
      </c>
      <c r="S637" s="310">
        <f t="shared" si="220"/>
        <v>387640</v>
      </c>
      <c r="T637" s="350">
        <v>10</v>
      </c>
      <c r="U637" s="351">
        <v>47940.9</v>
      </c>
      <c r="V637" s="313">
        <f t="shared" si="221"/>
        <v>479409</v>
      </c>
      <c r="W637" s="308">
        <v>3</v>
      </c>
      <c r="X637" s="309">
        <v>44041</v>
      </c>
      <c r="Y637" s="310">
        <f t="shared" si="222"/>
        <v>132123</v>
      </c>
      <c r="Z637" s="350">
        <v>5</v>
      </c>
      <c r="AA637" s="351">
        <v>45485.4</v>
      </c>
      <c r="AB637" s="313">
        <f t="shared" si="223"/>
        <v>227427</v>
      </c>
      <c r="AC637" s="308"/>
      <c r="AD637" s="309"/>
      <c r="AE637" s="310">
        <f t="shared" si="224"/>
        <v>0</v>
      </c>
      <c r="AF637" s="350"/>
      <c r="AG637" s="351"/>
      <c r="AH637" s="313">
        <f t="shared" si="225"/>
        <v>0</v>
      </c>
      <c r="AI637" s="308"/>
      <c r="AJ637" s="309"/>
      <c r="AK637" s="310">
        <f t="shared" si="226"/>
        <v>0</v>
      </c>
      <c r="AL637" s="350"/>
      <c r="AM637" s="351"/>
      <c r="AN637" s="313">
        <f t="shared" si="227"/>
        <v>0</v>
      </c>
      <c r="AO637" s="308">
        <v>5</v>
      </c>
      <c r="AP637" s="309">
        <v>79108</v>
      </c>
      <c r="AQ637" s="310">
        <f t="shared" si="228"/>
        <v>323630.82800000004</v>
      </c>
      <c r="AR637" s="350">
        <v>5</v>
      </c>
      <c r="AS637" s="351">
        <v>81266</v>
      </c>
      <c r="AT637" s="313">
        <f t="shared" si="229"/>
        <v>332459.20600000001</v>
      </c>
      <c r="AU637" s="308">
        <v>5</v>
      </c>
      <c r="AV637" s="309">
        <v>67811</v>
      </c>
      <c r="AW637" s="310">
        <f t="shared" si="230"/>
        <v>277414.80100000004</v>
      </c>
      <c r="AX637" s="350">
        <v>4</v>
      </c>
      <c r="AY637" s="351">
        <v>68954.25</v>
      </c>
      <c r="AZ637" s="313">
        <f t="shared" si="231"/>
        <v>225673.4694</v>
      </c>
      <c r="BA637" s="308">
        <v>2</v>
      </c>
      <c r="BB637" s="309">
        <v>65160</v>
      </c>
      <c r="BC637" s="310">
        <f t="shared" si="232"/>
        <v>106627.82400000001</v>
      </c>
      <c r="BD637" s="350">
        <v>5</v>
      </c>
      <c r="BE637" s="351">
        <v>61097</v>
      </c>
      <c r="BF637" s="313">
        <f t="shared" si="233"/>
        <v>249947.82700000002</v>
      </c>
      <c r="BG637" s="308">
        <v>24</v>
      </c>
      <c r="BH637" s="309">
        <v>62004</v>
      </c>
      <c r="BI637" s="310">
        <f t="shared" si="234"/>
        <v>1217560.1472</v>
      </c>
      <c r="BJ637" s="350">
        <v>24</v>
      </c>
      <c r="BK637" s="351">
        <v>61820.416666666664</v>
      </c>
      <c r="BL637" s="313">
        <f t="shared" si="235"/>
        <v>1213955.1580000001</v>
      </c>
      <c r="BM637" s="308"/>
      <c r="BN637" s="309"/>
      <c r="BO637" s="310">
        <f t="shared" si="236"/>
        <v>0</v>
      </c>
      <c r="BP637" s="350"/>
      <c r="BQ637" s="351"/>
      <c r="BR637" s="313">
        <f t="shared" si="237"/>
        <v>0</v>
      </c>
      <c r="BS637" s="308"/>
      <c r="BT637" s="309"/>
      <c r="BU637" s="310">
        <f t="shared" si="238"/>
        <v>0</v>
      </c>
      <c r="BV637" s="350"/>
      <c r="BW637" s="351"/>
      <c r="BX637" s="313">
        <f t="shared" si="239"/>
        <v>0</v>
      </c>
      <c r="BY637" s="290"/>
    </row>
    <row r="638" spans="1:77">
      <c r="A638" s="346" t="s">
        <v>408</v>
      </c>
      <c r="B638" s="347" t="s">
        <v>203</v>
      </c>
      <c r="C638" s="348">
        <v>229319</v>
      </c>
      <c r="D638" s="349">
        <v>9</v>
      </c>
      <c r="E638" s="308"/>
      <c r="F638" s="309"/>
      <c r="G638" s="310">
        <f t="shared" si="216"/>
        <v>0</v>
      </c>
      <c r="H638" s="350"/>
      <c r="I638" s="351"/>
      <c r="J638" s="313">
        <f t="shared" si="217"/>
        <v>0</v>
      </c>
      <c r="K638" s="308">
        <v>1</v>
      </c>
      <c r="L638" s="309">
        <v>64764</v>
      </c>
      <c r="M638" s="310">
        <f t="shared" si="218"/>
        <v>64764</v>
      </c>
      <c r="N638" s="350">
        <v>1</v>
      </c>
      <c r="O638" s="351">
        <v>62760</v>
      </c>
      <c r="P638" s="313">
        <f t="shared" si="219"/>
        <v>62760</v>
      </c>
      <c r="Q638" s="308"/>
      <c r="R638" s="309"/>
      <c r="S638" s="310">
        <f t="shared" si="220"/>
        <v>0</v>
      </c>
      <c r="T638" s="350"/>
      <c r="U638" s="351"/>
      <c r="V638" s="313">
        <f t="shared" si="221"/>
        <v>0</v>
      </c>
      <c r="W638" s="308">
        <v>25</v>
      </c>
      <c r="X638" s="309">
        <v>40213</v>
      </c>
      <c r="Y638" s="310">
        <f t="shared" si="222"/>
        <v>1005325</v>
      </c>
      <c r="Z638" s="350">
        <v>25</v>
      </c>
      <c r="AA638" s="351">
        <v>39968.160000000003</v>
      </c>
      <c r="AB638" s="313">
        <f t="shared" si="223"/>
        <v>999204.00000000012</v>
      </c>
      <c r="AC638" s="308"/>
      <c r="AD638" s="309"/>
      <c r="AE638" s="310">
        <f t="shared" si="224"/>
        <v>0</v>
      </c>
      <c r="AF638" s="350"/>
      <c r="AG638" s="351"/>
      <c r="AH638" s="313">
        <f t="shared" si="225"/>
        <v>0</v>
      </c>
      <c r="AI638" s="308"/>
      <c r="AJ638" s="309"/>
      <c r="AK638" s="310">
        <f t="shared" si="226"/>
        <v>0</v>
      </c>
      <c r="AL638" s="350"/>
      <c r="AM638" s="351"/>
      <c r="AN638" s="313">
        <f t="shared" si="227"/>
        <v>0</v>
      </c>
      <c r="AO638" s="308">
        <v>5</v>
      </c>
      <c r="AP638" s="309">
        <v>59995</v>
      </c>
      <c r="AQ638" s="310">
        <f t="shared" si="228"/>
        <v>245439.54500000001</v>
      </c>
      <c r="AR638" s="350">
        <v>6</v>
      </c>
      <c r="AS638" s="351">
        <v>58080</v>
      </c>
      <c r="AT638" s="313">
        <f t="shared" si="229"/>
        <v>285126.33600000001</v>
      </c>
      <c r="AU638" s="308">
        <v>17</v>
      </c>
      <c r="AV638" s="309">
        <v>53173</v>
      </c>
      <c r="AW638" s="310">
        <f t="shared" si="230"/>
        <v>739604.52620000008</v>
      </c>
      <c r="AX638" s="350">
        <v>14</v>
      </c>
      <c r="AY638" s="351">
        <v>53632.285714285717</v>
      </c>
      <c r="AZ638" s="313">
        <f t="shared" si="231"/>
        <v>614347.10640000005</v>
      </c>
      <c r="BA638" s="308"/>
      <c r="BB638" s="309"/>
      <c r="BC638" s="310">
        <f t="shared" si="232"/>
        <v>0</v>
      </c>
      <c r="BD638" s="350"/>
      <c r="BE638" s="351"/>
      <c r="BF638" s="313">
        <f t="shared" si="233"/>
        <v>0</v>
      </c>
      <c r="BG638" s="308">
        <v>104</v>
      </c>
      <c r="BH638" s="309">
        <v>46115</v>
      </c>
      <c r="BI638" s="310">
        <f t="shared" si="234"/>
        <v>3924054.4720000001</v>
      </c>
      <c r="BJ638" s="350">
        <v>106</v>
      </c>
      <c r="BK638" s="351">
        <v>46545.811320754714</v>
      </c>
      <c r="BL638" s="313">
        <f t="shared" si="235"/>
        <v>4036880.9792000004</v>
      </c>
      <c r="BM638" s="308"/>
      <c r="BN638" s="309"/>
      <c r="BO638" s="310">
        <f t="shared" si="236"/>
        <v>0</v>
      </c>
      <c r="BP638" s="350"/>
      <c r="BQ638" s="351"/>
      <c r="BR638" s="313">
        <f t="shared" si="237"/>
        <v>0</v>
      </c>
      <c r="BS638" s="308"/>
      <c r="BT638" s="309"/>
      <c r="BU638" s="310">
        <f t="shared" si="238"/>
        <v>0</v>
      </c>
      <c r="BV638" s="350"/>
      <c r="BW638" s="351"/>
      <c r="BX638" s="313">
        <f t="shared" si="239"/>
        <v>0</v>
      </c>
      <c r="BY638" s="290"/>
    </row>
    <row r="639" spans="1:77">
      <c r="A639" s="346" t="s">
        <v>408</v>
      </c>
      <c r="B639" s="347" t="s">
        <v>204</v>
      </c>
      <c r="C639" s="348">
        <v>228680</v>
      </c>
      <c r="D639" s="349">
        <v>9</v>
      </c>
      <c r="E639" s="308"/>
      <c r="F639" s="309"/>
      <c r="G639" s="310">
        <f t="shared" si="216"/>
        <v>0</v>
      </c>
      <c r="H639" s="350"/>
      <c r="I639" s="351"/>
      <c r="J639" s="313">
        <f t="shared" si="217"/>
        <v>0</v>
      </c>
      <c r="K639" s="308">
        <v>5</v>
      </c>
      <c r="L639" s="309">
        <v>48928</v>
      </c>
      <c r="M639" s="310">
        <f t="shared" si="218"/>
        <v>244640</v>
      </c>
      <c r="N639" s="350">
        <v>4</v>
      </c>
      <c r="O639" s="351">
        <v>49137</v>
      </c>
      <c r="P639" s="313">
        <f t="shared" si="219"/>
        <v>196548</v>
      </c>
      <c r="Q639" s="308"/>
      <c r="R639" s="309"/>
      <c r="S639" s="310">
        <f t="shared" si="220"/>
        <v>0</v>
      </c>
      <c r="T639" s="350"/>
      <c r="U639" s="351"/>
      <c r="V639" s="313">
        <f t="shared" si="221"/>
        <v>0</v>
      </c>
      <c r="W639" s="308">
        <v>31</v>
      </c>
      <c r="X639" s="309">
        <v>41968</v>
      </c>
      <c r="Y639" s="310">
        <f t="shared" si="222"/>
        <v>1301008</v>
      </c>
      <c r="Z639" s="350">
        <v>30</v>
      </c>
      <c r="AA639" s="351">
        <v>41544.6</v>
      </c>
      <c r="AB639" s="313">
        <f t="shared" si="223"/>
        <v>1246338</v>
      </c>
      <c r="AC639" s="308"/>
      <c r="AD639" s="309"/>
      <c r="AE639" s="310">
        <f t="shared" si="224"/>
        <v>0</v>
      </c>
      <c r="AF639" s="350"/>
      <c r="AG639" s="351"/>
      <c r="AH639" s="313">
        <f t="shared" si="225"/>
        <v>0</v>
      </c>
      <c r="AI639" s="308"/>
      <c r="AJ639" s="309"/>
      <c r="AK639" s="310">
        <f t="shared" si="226"/>
        <v>0</v>
      </c>
      <c r="AL639" s="350"/>
      <c r="AM639" s="351"/>
      <c r="AN639" s="313">
        <f t="shared" si="227"/>
        <v>0</v>
      </c>
      <c r="AO639" s="308">
        <v>6</v>
      </c>
      <c r="AP639" s="309">
        <v>66392</v>
      </c>
      <c r="AQ639" s="310">
        <f t="shared" si="228"/>
        <v>325931.60639999999</v>
      </c>
      <c r="AR639" s="350">
        <v>5</v>
      </c>
      <c r="AS639" s="351">
        <v>65577.600000000006</v>
      </c>
      <c r="AT639" s="313">
        <f t="shared" si="229"/>
        <v>268277.96160000004</v>
      </c>
      <c r="AU639" s="308">
        <v>19</v>
      </c>
      <c r="AV639" s="309">
        <v>55950</v>
      </c>
      <c r="AW639" s="310">
        <f t="shared" si="230"/>
        <v>869787.51</v>
      </c>
      <c r="AX639" s="350">
        <v>16</v>
      </c>
      <c r="AY639" s="351">
        <v>53734.5</v>
      </c>
      <c r="AZ639" s="313">
        <f t="shared" si="231"/>
        <v>703449.08640000003</v>
      </c>
      <c r="BA639" s="308"/>
      <c r="BB639" s="309"/>
      <c r="BC639" s="310">
        <f t="shared" si="232"/>
        <v>0</v>
      </c>
      <c r="BD639" s="350"/>
      <c r="BE639" s="351"/>
      <c r="BF639" s="313">
        <f t="shared" si="233"/>
        <v>0</v>
      </c>
      <c r="BG639" s="308">
        <v>177</v>
      </c>
      <c r="BH639" s="309">
        <v>46517</v>
      </c>
      <c r="BI639" s="310">
        <f t="shared" si="234"/>
        <v>6736657.0638000006</v>
      </c>
      <c r="BJ639" s="350">
        <v>179</v>
      </c>
      <c r="BK639" s="351">
        <v>46050.692737430167</v>
      </c>
      <c r="BL639" s="313">
        <f t="shared" si="235"/>
        <v>6744483.1468000002</v>
      </c>
      <c r="BM639" s="308"/>
      <c r="BN639" s="309"/>
      <c r="BO639" s="310">
        <f t="shared" si="236"/>
        <v>0</v>
      </c>
      <c r="BP639" s="350"/>
      <c r="BQ639" s="351"/>
      <c r="BR639" s="313">
        <f t="shared" si="237"/>
        <v>0</v>
      </c>
      <c r="BS639" s="308"/>
      <c r="BT639" s="309"/>
      <c r="BU639" s="310">
        <f t="shared" si="238"/>
        <v>0</v>
      </c>
      <c r="BV639" s="350"/>
      <c r="BW639" s="351"/>
      <c r="BX639" s="313">
        <f t="shared" si="239"/>
        <v>0</v>
      </c>
      <c r="BY639" s="290"/>
    </row>
    <row r="640" spans="1:77">
      <c r="A640" s="346" t="s">
        <v>408</v>
      </c>
      <c r="B640" s="347" t="s">
        <v>205</v>
      </c>
      <c r="C640" s="348">
        <v>225308</v>
      </c>
      <c r="D640" s="349">
        <v>9</v>
      </c>
      <c r="E640" s="308">
        <v>104</v>
      </c>
      <c r="F640" s="309">
        <v>47721</v>
      </c>
      <c r="G640" s="310">
        <f t="shared" si="216"/>
        <v>4962984</v>
      </c>
      <c r="H640" s="350">
        <v>107</v>
      </c>
      <c r="I640" s="351">
        <v>67601.383177570096</v>
      </c>
      <c r="J640" s="313">
        <f t="shared" si="217"/>
        <v>7233348</v>
      </c>
      <c r="K640" s="308"/>
      <c r="L640" s="309"/>
      <c r="M640" s="310">
        <f t="shared" si="218"/>
        <v>0</v>
      </c>
      <c r="N640" s="350"/>
      <c r="O640" s="351"/>
      <c r="P640" s="313">
        <f t="shared" si="219"/>
        <v>0</v>
      </c>
      <c r="Q640" s="308"/>
      <c r="R640" s="309"/>
      <c r="S640" s="310">
        <f t="shared" si="220"/>
        <v>0</v>
      </c>
      <c r="T640" s="350"/>
      <c r="U640" s="351"/>
      <c r="V640" s="313">
        <f t="shared" si="221"/>
        <v>0</v>
      </c>
      <c r="W640" s="308"/>
      <c r="X640" s="309"/>
      <c r="Y640" s="310">
        <f t="shared" si="222"/>
        <v>0</v>
      </c>
      <c r="Z640" s="350"/>
      <c r="AA640" s="351"/>
      <c r="AB640" s="313">
        <f t="shared" si="223"/>
        <v>0</v>
      </c>
      <c r="AC640" s="308"/>
      <c r="AD640" s="309"/>
      <c r="AE640" s="310">
        <f t="shared" si="224"/>
        <v>0</v>
      </c>
      <c r="AF640" s="350"/>
      <c r="AG640" s="351"/>
      <c r="AH640" s="313">
        <f t="shared" si="225"/>
        <v>0</v>
      </c>
      <c r="AI640" s="308"/>
      <c r="AJ640" s="309"/>
      <c r="AK640" s="310">
        <f t="shared" si="226"/>
        <v>0</v>
      </c>
      <c r="AL640" s="350"/>
      <c r="AM640" s="351"/>
      <c r="AN640" s="313">
        <f t="shared" si="227"/>
        <v>0</v>
      </c>
      <c r="AO640" s="308">
        <v>30</v>
      </c>
      <c r="AP640" s="309">
        <v>60618</v>
      </c>
      <c r="AQ640" s="310">
        <f t="shared" si="228"/>
        <v>1487929.4280000001</v>
      </c>
      <c r="AR640" s="350">
        <v>33</v>
      </c>
      <c r="AS640" s="351">
        <v>67337.636363636368</v>
      </c>
      <c r="AT640" s="313">
        <f t="shared" si="229"/>
        <v>1818156.5844000001</v>
      </c>
      <c r="AU640" s="308"/>
      <c r="AV640" s="309"/>
      <c r="AW640" s="310">
        <f t="shared" si="230"/>
        <v>0</v>
      </c>
      <c r="AX640" s="350"/>
      <c r="AY640" s="351"/>
      <c r="AZ640" s="313">
        <f t="shared" si="231"/>
        <v>0</v>
      </c>
      <c r="BA640" s="308"/>
      <c r="BB640" s="309"/>
      <c r="BC640" s="310">
        <f t="shared" si="232"/>
        <v>0</v>
      </c>
      <c r="BD640" s="350"/>
      <c r="BE640" s="351"/>
      <c r="BF640" s="313">
        <f t="shared" si="233"/>
        <v>0</v>
      </c>
      <c r="BG640" s="308"/>
      <c r="BH640" s="309"/>
      <c r="BI640" s="310">
        <f t="shared" si="234"/>
        <v>0</v>
      </c>
      <c r="BJ640" s="350"/>
      <c r="BK640" s="351"/>
      <c r="BL640" s="313">
        <f t="shared" si="235"/>
        <v>0</v>
      </c>
      <c r="BM640" s="308"/>
      <c r="BN640" s="309"/>
      <c r="BO640" s="310">
        <f t="shared" si="236"/>
        <v>0</v>
      </c>
      <c r="BP640" s="350"/>
      <c r="BQ640" s="351"/>
      <c r="BR640" s="313">
        <f t="shared" si="237"/>
        <v>0</v>
      </c>
      <c r="BS640" s="308"/>
      <c r="BT640" s="309"/>
      <c r="BU640" s="310">
        <f t="shared" si="238"/>
        <v>0</v>
      </c>
      <c r="BV640" s="350"/>
      <c r="BW640" s="351"/>
      <c r="BX640" s="313">
        <f t="shared" si="239"/>
        <v>0</v>
      </c>
      <c r="BY640" s="290"/>
    </row>
    <row r="641" spans="1:77">
      <c r="A641" s="346" t="s">
        <v>408</v>
      </c>
      <c r="B641" s="352" t="s">
        <v>206</v>
      </c>
      <c r="C641" s="348">
        <v>229504</v>
      </c>
      <c r="D641" s="349">
        <v>9</v>
      </c>
      <c r="E641" s="308"/>
      <c r="F641" s="309"/>
      <c r="G641" s="310">
        <f t="shared" si="216"/>
        <v>0</v>
      </c>
      <c r="H641" s="350"/>
      <c r="I641" s="351"/>
      <c r="J641" s="313">
        <f t="shared" si="217"/>
        <v>0</v>
      </c>
      <c r="K641" s="308"/>
      <c r="L641" s="309"/>
      <c r="M641" s="310">
        <f t="shared" si="218"/>
        <v>0</v>
      </c>
      <c r="N641" s="350"/>
      <c r="O641" s="351"/>
      <c r="P641" s="313">
        <f t="shared" si="219"/>
        <v>0</v>
      </c>
      <c r="Q641" s="308"/>
      <c r="R641" s="309"/>
      <c r="S641" s="310">
        <f t="shared" si="220"/>
        <v>0</v>
      </c>
      <c r="T641" s="350"/>
      <c r="U641" s="351"/>
      <c r="V641" s="313">
        <f t="shared" si="221"/>
        <v>0</v>
      </c>
      <c r="W641" s="308">
        <v>48</v>
      </c>
      <c r="X641" s="309">
        <v>40600</v>
      </c>
      <c r="Y641" s="310">
        <f t="shared" si="222"/>
        <v>1948800</v>
      </c>
      <c r="Z641" s="350">
        <v>46</v>
      </c>
      <c r="AA641" s="351">
        <v>41569.260869565216</v>
      </c>
      <c r="AB641" s="313">
        <f t="shared" si="223"/>
        <v>1912186</v>
      </c>
      <c r="AC641" s="308"/>
      <c r="AD641" s="309"/>
      <c r="AE641" s="310">
        <f t="shared" si="224"/>
        <v>0</v>
      </c>
      <c r="AF641" s="350"/>
      <c r="AG641" s="351"/>
      <c r="AH641" s="313">
        <f t="shared" si="225"/>
        <v>0</v>
      </c>
      <c r="AI641" s="308"/>
      <c r="AJ641" s="309"/>
      <c r="AK641" s="310">
        <f t="shared" si="226"/>
        <v>0</v>
      </c>
      <c r="AL641" s="350"/>
      <c r="AM641" s="351"/>
      <c r="AN641" s="313">
        <f t="shared" si="227"/>
        <v>0</v>
      </c>
      <c r="AO641" s="308"/>
      <c r="AP641" s="309"/>
      <c r="AQ641" s="310">
        <f t="shared" si="228"/>
        <v>0</v>
      </c>
      <c r="AR641" s="350"/>
      <c r="AS641" s="351"/>
      <c r="AT641" s="313">
        <f t="shared" si="229"/>
        <v>0</v>
      </c>
      <c r="AU641" s="308"/>
      <c r="AV641" s="309"/>
      <c r="AW641" s="310">
        <f t="shared" si="230"/>
        <v>0</v>
      </c>
      <c r="AX641" s="350"/>
      <c r="AY641" s="351"/>
      <c r="AZ641" s="313">
        <f t="shared" si="231"/>
        <v>0</v>
      </c>
      <c r="BA641" s="308"/>
      <c r="BB641" s="309"/>
      <c r="BC641" s="310">
        <f t="shared" si="232"/>
        <v>0</v>
      </c>
      <c r="BD641" s="350"/>
      <c r="BE641" s="351"/>
      <c r="BF641" s="313">
        <f t="shared" si="233"/>
        <v>0</v>
      </c>
      <c r="BG641" s="308">
        <v>26</v>
      </c>
      <c r="BH641" s="309">
        <v>49502</v>
      </c>
      <c r="BI641" s="310">
        <f t="shared" si="234"/>
        <v>1053065.9464</v>
      </c>
      <c r="BJ641" s="350">
        <v>28</v>
      </c>
      <c r="BK641" s="351">
        <v>52174.892857142855</v>
      </c>
      <c r="BL641" s="313">
        <f t="shared" si="235"/>
        <v>1195305.9254000001</v>
      </c>
      <c r="BM641" s="308"/>
      <c r="BN641" s="309"/>
      <c r="BO641" s="310">
        <f t="shared" si="236"/>
        <v>0</v>
      </c>
      <c r="BP641" s="350"/>
      <c r="BQ641" s="351"/>
      <c r="BR641" s="313">
        <f t="shared" si="237"/>
        <v>0</v>
      </c>
      <c r="BS641" s="308"/>
      <c r="BT641" s="309"/>
      <c r="BU641" s="310">
        <f t="shared" si="238"/>
        <v>0</v>
      </c>
      <c r="BV641" s="350"/>
      <c r="BW641" s="351"/>
      <c r="BX641" s="313">
        <f t="shared" si="239"/>
        <v>0</v>
      </c>
      <c r="BY641" s="290"/>
    </row>
    <row r="642" spans="1:77">
      <c r="A642" s="346" t="s">
        <v>408</v>
      </c>
      <c r="B642" s="347" t="s">
        <v>207</v>
      </c>
      <c r="C642" s="348">
        <v>229540</v>
      </c>
      <c r="D642" s="349">
        <v>9</v>
      </c>
      <c r="E642" s="308">
        <v>71</v>
      </c>
      <c r="F642" s="309">
        <v>51298</v>
      </c>
      <c r="G642" s="310">
        <f t="shared" si="216"/>
        <v>3642158</v>
      </c>
      <c r="H642" s="350">
        <v>74</v>
      </c>
      <c r="I642" s="351">
        <v>52759.54054054054</v>
      </c>
      <c r="J642" s="313">
        <f t="shared" si="217"/>
        <v>3904206</v>
      </c>
      <c r="K642" s="308"/>
      <c r="L642" s="309"/>
      <c r="M642" s="310">
        <f t="shared" si="218"/>
        <v>0</v>
      </c>
      <c r="N642" s="350"/>
      <c r="O642" s="351"/>
      <c r="P642" s="313">
        <f t="shared" si="219"/>
        <v>0</v>
      </c>
      <c r="Q642" s="308"/>
      <c r="R642" s="309"/>
      <c r="S642" s="310">
        <f t="shared" si="220"/>
        <v>0</v>
      </c>
      <c r="T642" s="350"/>
      <c r="U642" s="351"/>
      <c r="V642" s="313">
        <f t="shared" si="221"/>
        <v>0</v>
      </c>
      <c r="W642" s="308"/>
      <c r="X642" s="309"/>
      <c r="Y642" s="310">
        <f t="shared" si="222"/>
        <v>0</v>
      </c>
      <c r="Z642" s="350"/>
      <c r="AA642" s="351"/>
      <c r="AB642" s="313">
        <f t="shared" si="223"/>
        <v>0</v>
      </c>
      <c r="AC642" s="308"/>
      <c r="AD642" s="309"/>
      <c r="AE642" s="310">
        <f t="shared" si="224"/>
        <v>0</v>
      </c>
      <c r="AF642" s="350"/>
      <c r="AG642" s="351"/>
      <c r="AH642" s="313">
        <f t="shared" si="225"/>
        <v>0</v>
      </c>
      <c r="AI642" s="308"/>
      <c r="AJ642" s="309"/>
      <c r="AK642" s="310">
        <f t="shared" si="226"/>
        <v>0</v>
      </c>
      <c r="AL642" s="350"/>
      <c r="AM642" s="351"/>
      <c r="AN642" s="313">
        <f t="shared" si="227"/>
        <v>0</v>
      </c>
      <c r="AO642" s="308">
        <v>25</v>
      </c>
      <c r="AP642" s="309">
        <v>57771</v>
      </c>
      <c r="AQ642" s="310">
        <f t="shared" si="228"/>
        <v>1181705.8050000002</v>
      </c>
      <c r="AR642" s="350">
        <v>26</v>
      </c>
      <c r="AS642" s="351">
        <v>61598.269230769234</v>
      </c>
      <c r="AT642" s="313">
        <f t="shared" si="229"/>
        <v>1310392.301</v>
      </c>
      <c r="AU642" s="308"/>
      <c r="AV642" s="309"/>
      <c r="AW642" s="310">
        <f t="shared" si="230"/>
        <v>0</v>
      </c>
      <c r="AX642" s="350"/>
      <c r="AY642" s="351"/>
      <c r="AZ642" s="313">
        <f t="shared" si="231"/>
        <v>0</v>
      </c>
      <c r="BA642" s="308"/>
      <c r="BB642" s="309"/>
      <c r="BC642" s="310">
        <f t="shared" si="232"/>
        <v>0</v>
      </c>
      <c r="BD642" s="350"/>
      <c r="BE642" s="351"/>
      <c r="BF642" s="313">
        <f t="shared" si="233"/>
        <v>0</v>
      </c>
      <c r="BG642" s="308"/>
      <c r="BH642" s="309"/>
      <c r="BI642" s="310">
        <f t="shared" si="234"/>
        <v>0</v>
      </c>
      <c r="BJ642" s="350"/>
      <c r="BK642" s="351"/>
      <c r="BL642" s="313">
        <f t="shared" si="235"/>
        <v>0</v>
      </c>
      <c r="BM642" s="308"/>
      <c r="BN642" s="309"/>
      <c r="BO642" s="310">
        <f t="shared" si="236"/>
        <v>0</v>
      </c>
      <c r="BP642" s="350"/>
      <c r="BQ642" s="351"/>
      <c r="BR642" s="313">
        <f t="shared" si="237"/>
        <v>0</v>
      </c>
      <c r="BS642" s="308"/>
      <c r="BT642" s="309"/>
      <c r="BU642" s="310">
        <f t="shared" si="238"/>
        <v>0</v>
      </c>
      <c r="BV642" s="350"/>
      <c r="BW642" s="351"/>
      <c r="BX642" s="313">
        <f t="shared" si="239"/>
        <v>0</v>
      </c>
      <c r="BY642" s="290"/>
    </row>
    <row r="643" spans="1:77">
      <c r="A643" s="346" t="s">
        <v>408</v>
      </c>
      <c r="B643" s="347" t="s">
        <v>208</v>
      </c>
      <c r="C643" s="348">
        <v>229799</v>
      </c>
      <c r="D643" s="349">
        <v>9</v>
      </c>
      <c r="E643" s="308"/>
      <c r="F643" s="309"/>
      <c r="G643" s="310">
        <f t="shared" si="216"/>
        <v>0</v>
      </c>
      <c r="H643" s="350"/>
      <c r="I643" s="351"/>
      <c r="J643" s="313">
        <f t="shared" si="217"/>
        <v>0</v>
      </c>
      <c r="K643" s="308"/>
      <c r="L643" s="309"/>
      <c r="M643" s="310">
        <f t="shared" si="218"/>
        <v>0</v>
      </c>
      <c r="N643" s="350"/>
      <c r="O643" s="351"/>
      <c r="P643" s="313">
        <f t="shared" si="219"/>
        <v>0</v>
      </c>
      <c r="Q643" s="308"/>
      <c r="R643" s="309"/>
      <c r="S643" s="310">
        <f t="shared" si="220"/>
        <v>0</v>
      </c>
      <c r="T643" s="350"/>
      <c r="U643" s="351"/>
      <c r="V643" s="313">
        <f t="shared" si="221"/>
        <v>0</v>
      </c>
      <c r="W643" s="308">
        <v>81</v>
      </c>
      <c r="X643" s="309">
        <v>48168</v>
      </c>
      <c r="Y643" s="310">
        <f t="shared" si="222"/>
        <v>3901608</v>
      </c>
      <c r="Z643" s="350">
        <v>82</v>
      </c>
      <c r="AA643" s="351">
        <v>49681.402439024387</v>
      </c>
      <c r="AB643" s="313">
        <f t="shared" si="223"/>
        <v>4073874.9999999995</v>
      </c>
      <c r="AC643" s="308"/>
      <c r="AD643" s="309"/>
      <c r="AE643" s="310">
        <f t="shared" si="224"/>
        <v>0</v>
      </c>
      <c r="AF643" s="350"/>
      <c r="AG643" s="351"/>
      <c r="AH643" s="313">
        <f t="shared" si="225"/>
        <v>0</v>
      </c>
      <c r="AI643" s="308"/>
      <c r="AJ643" s="309"/>
      <c r="AK643" s="310">
        <f t="shared" si="226"/>
        <v>0</v>
      </c>
      <c r="AL643" s="350"/>
      <c r="AM643" s="351"/>
      <c r="AN643" s="313">
        <f t="shared" si="227"/>
        <v>0</v>
      </c>
      <c r="AO643" s="308"/>
      <c r="AP643" s="309"/>
      <c r="AQ643" s="310">
        <f t="shared" si="228"/>
        <v>0</v>
      </c>
      <c r="AR643" s="350"/>
      <c r="AS643" s="351"/>
      <c r="AT643" s="313">
        <f t="shared" si="229"/>
        <v>0</v>
      </c>
      <c r="AU643" s="308"/>
      <c r="AV643" s="309"/>
      <c r="AW643" s="310">
        <f t="shared" si="230"/>
        <v>0</v>
      </c>
      <c r="AX643" s="350"/>
      <c r="AY643" s="351"/>
      <c r="AZ643" s="313">
        <f t="shared" si="231"/>
        <v>0</v>
      </c>
      <c r="BA643" s="308"/>
      <c r="BB643" s="309"/>
      <c r="BC643" s="310">
        <f t="shared" si="232"/>
        <v>0</v>
      </c>
      <c r="BD643" s="350"/>
      <c r="BE643" s="351"/>
      <c r="BF643" s="313">
        <f t="shared" si="233"/>
        <v>0</v>
      </c>
      <c r="BG643" s="308">
        <v>29</v>
      </c>
      <c r="BH643" s="309">
        <v>52974</v>
      </c>
      <c r="BI643" s="310">
        <f t="shared" si="234"/>
        <v>1256956.4772000001</v>
      </c>
      <c r="BJ643" s="350">
        <v>29</v>
      </c>
      <c r="BK643" s="351">
        <v>52961.551724137928</v>
      </c>
      <c r="BL643" s="313">
        <f t="shared" si="235"/>
        <v>1256661.1070000001</v>
      </c>
      <c r="BM643" s="308"/>
      <c r="BN643" s="309"/>
      <c r="BO643" s="310">
        <f t="shared" si="236"/>
        <v>0</v>
      </c>
      <c r="BP643" s="350"/>
      <c r="BQ643" s="351"/>
      <c r="BR643" s="313">
        <f t="shared" si="237"/>
        <v>0</v>
      </c>
      <c r="BS643" s="308"/>
      <c r="BT643" s="309"/>
      <c r="BU643" s="310">
        <f t="shared" si="238"/>
        <v>0</v>
      </c>
      <c r="BV643" s="350"/>
      <c r="BW643" s="351"/>
      <c r="BX643" s="313">
        <f t="shared" si="239"/>
        <v>0</v>
      </c>
      <c r="BY643" s="290"/>
    </row>
    <row r="644" spans="1:77">
      <c r="A644" s="346" t="s">
        <v>408</v>
      </c>
      <c r="B644" s="347" t="s">
        <v>209</v>
      </c>
      <c r="C644" s="348">
        <v>229841</v>
      </c>
      <c r="D644" s="349">
        <v>9</v>
      </c>
      <c r="E644" s="308"/>
      <c r="F644" s="309"/>
      <c r="G644" s="310">
        <f t="shared" si="216"/>
        <v>0</v>
      </c>
      <c r="H644" s="350"/>
      <c r="I644" s="351"/>
      <c r="J644" s="313">
        <f t="shared" si="217"/>
        <v>0</v>
      </c>
      <c r="K644" s="308"/>
      <c r="L644" s="309"/>
      <c r="M644" s="310">
        <f t="shared" si="218"/>
        <v>0</v>
      </c>
      <c r="N644" s="350"/>
      <c r="O644" s="351"/>
      <c r="P644" s="313">
        <f t="shared" si="219"/>
        <v>0</v>
      </c>
      <c r="Q644" s="308"/>
      <c r="R644" s="309"/>
      <c r="S644" s="310">
        <f t="shared" si="220"/>
        <v>0</v>
      </c>
      <c r="T644" s="350"/>
      <c r="U644" s="351"/>
      <c r="V644" s="313">
        <f t="shared" si="221"/>
        <v>0</v>
      </c>
      <c r="W644" s="308"/>
      <c r="X644" s="309"/>
      <c r="Y644" s="310">
        <f t="shared" si="222"/>
        <v>0</v>
      </c>
      <c r="Z644" s="350"/>
      <c r="AA644" s="351"/>
      <c r="AB644" s="313">
        <f t="shared" si="223"/>
        <v>0</v>
      </c>
      <c r="AC644" s="308"/>
      <c r="AD644" s="309"/>
      <c r="AE644" s="310">
        <f t="shared" si="224"/>
        <v>0</v>
      </c>
      <c r="AF644" s="350"/>
      <c r="AG644" s="351"/>
      <c r="AH644" s="313">
        <f t="shared" si="225"/>
        <v>0</v>
      </c>
      <c r="AI644" s="308">
        <v>103</v>
      </c>
      <c r="AJ644" s="309">
        <v>47323</v>
      </c>
      <c r="AK644" s="310">
        <f t="shared" si="226"/>
        <v>4874269</v>
      </c>
      <c r="AL644" s="350">
        <v>102</v>
      </c>
      <c r="AM644" s="351">
        <v>49335.401960784315</v>
      </c>
      <c r="AN644" s="313">
        <f t="shared" si="227"/>
        <v>5032211</v>
      </c>
      <c r="AO644" s="308"/>
      <c r="AP644" s="309"/>
      <c r="AQ644" s="310">
        <f t="shared" si="228"/>
        <v>0</v>
      </c>
      <c r="AR644" s="350"/>
      <c r="AS644" s="351"/>
      <c r="AT644" s="313">
        <f t="shared" si="229"/>
        <v>0</v>
      </c>
      <c r="AU644" s="308"/>
      <c r="AV644" s="309"/>
      <c r="AW644" s="310">
        <f t="shared" si="230"/>
        <v>0</v>
      </c>
      <c r="AX644" s="350"/>
      <c r="AY644" s="351"/>
      <c r="AZ644" s="313">
        <f t="shared" si="231"/>
        <v>0</v>
      </c>
      <c r="BA644" s="308"/>
      <c r="BB644" s="309"/>
      <c r="BC644" s="310">
        <f t="shared" si="232"/>
        <v>0</v>
      </c>
      <c r="BD644" s="350"/>
      <c r="BE644" s="351"/>
      <c r="BF644" s="313">
        <f t="shared" si="233"/>
        <v>0</v>
      </c>
      <c r="BG644" s="308"/>
      <c r="BH644" s="309"/>
      <c r="BI644" s="310">
        <f t="shared" si="234"/>
        <v>0</v>
      </c>
      <c r="BJ644" s="350"/>
      <c r="BK644" s="351"/>
      <c r="BL644" s="313">
        <f t="shared" si="235"/>
        <v>0</v>
      </c>
      <c r="BM644" s="308"/>
      <c r="BN644" s="309"/>
      <c r="BO644" s="310">
        <f t="shared" si="236"/>
        <v>0</v>
      </c>
      <c r="BP644" s="350"/>
      <c r="BQ644" s="351"/>
      <c r="BR644" s="313">
        <f t="shared" si="237"/>
        <v>0</v>
      </c>
      <c r="BS644" s="308">
        <v>41</v>
      </c>
      <c r="BT644" s="309">
        <v>58362</v>
      </c>
      <c r="BU644" s="310">
        <f t="shared" si="238"/>
        <v>1957823.3244</v>
      </c>
      <c r="BV644" s="350">
        <v>48</v>
      </c>
      <c r="BW644" s="351">
        <v>59416.6875</v>
      </c>
      <c r="BX644" s="313">
        <f t="shared" si="239"/>
        <v>2333507.2182</v>
      </c>
      <c r="BY644" s="290"/>
    </row>
    <row r="645" spans="1:77">
      <c r="A645" s="346" t="s">
        <v>408</v>
      </c>
      <c r="B645" s="347" t="s">
        <v>210</v>
      </c>
      <c r="C645" s="348">
        <v>223922</v>
      </c>
      <c r="D645" s="349">
        <v>10</v>
      </c>
      <c r="E645" s="308">
        <v>4</v>
      </c>
      <c r="F645" s="309">
        <v>43506</v>
      </c>
      <c r="G645" s="310">
        <f t="shared" si="216"/>
        <v>174024</v>
      </c>
      <c r="H645" s="350">
        <v>4</v>
      </c>
      <c r="I645" s="351">
        <v>44203.75</v>
      </c>
      <c r="J645" s="313">
        <f t="shared" si="217"/>
        <v>176815</v>
      </c>
      <c r="K645" s="308">
        <v>8</v>
      </c>
      <c r="L645" s="309">
        <v>38145</v>
      </c>
      <c r="M645" s="310">
        <f t="shared" si="218"/>
        <v>305160</v>
      </c>
      <c r="N645" s="350">
        <v>6</v>
      </c>
      <c r="O645" s="351">
        <v>43419.833333333336</v>
      </c>
      <c r="P645" s="313">
        <f t="shared" si="219"/>
        <v>260519</v>
      </c>
      <c r="Q645" s="308">
        <v>8</v>
      </c>
      <c r="R645" s="309">
        <v>44390</v>
      </c>
      <c r="S645" s="310">
        <f t="shared" si="220"/>
        <v>355120</v>
      </c>
      <c r="T645" s="350">
        <v>8</v>
      </c>
      <c r="U645" s="351">
        <v>39932.125</v>
      </c>
      <c r="V645" s="313">
        <f t="shared" si="221"/>
        <v>319457</v>
      </c>
      <c r="W645" s="308">
        <v>8</v>
      </c>
      <c r="X645" s="309">
        <v>34086</v>
      </c>
      <c r="Y645" s="310">
        <f t="shared" si="222"/>
        <v>272688</v>
      </c>
      <c r="Z645" s="350">
        <v>8</v>
      </c>
      <c r="AA645" s="351">
        <v>34060</v>
      </c>
      <c r="AB645" s="313">
        <f t="shared" si="223"/>
        <v>272480</v>
      </c>
      <c r="AC645" s="308"/>
      <c r="AD645" s="309"/>
      <c r="AE645" s="310">
        <f t="shared" si="224"/>
        <v>0</v>
      </c>
      <c r="AF645" s="350"/>
      <c r="AG645" s="351"/>
      <c r="AH645" s="313">
        <f t="shared" si="225"/>
        <v>0</v>
      </c>
      <c r="AI645" s="308"/>
      <c r="AJ645" s="309"/>
      <c r="AK645" s="310">
        <f t="shared" si="226"/>
        <v>0</v>
      </c>
      <c r="AL645" s="350"/>
      <c r="AM645" s="351"/>
      <c r="AN645" s="313">
        <f t="shared" si="227"/>
        <v>0</v>
      </c>
      <c r="AO645" s="308"/>
      <c r="AP645" s="309"/>
      <c r="AQ645" s="310">
        <f t="shared" si="228"/>
        <v>0</v>
      </c>
      <c r="AR645" s="350"/>
      <c r="AS645" s="351"/>
      <c r="AT645" s="313">
        <f t="shared" si="229"/>
        <v>0</v>
      </c>
      <c r="AU645" s="308">
        <v>2</v>
      </c>
      <c r="AV645" s="309">
        <v>47603</v>
      </c>
      <c r="AW645" s="310">
        <f t="shared" si="230"/>
        <v>77897.549200000009</v>
      </c>
      <c r="AX645" s="350">
        <v>3</v>
      </c>
      <c r="AY645" s="351">
        <v>47707.666666666664</v>
      </c>
      <c r="AZ645" s="313">
        <f t="shared" si="231"/>
        <v>117103.23860000001</v>
      </c>
      <c r="BA645" s="308">
        <v>2</v>
      </c>
      <c r="BB645" s="309">
        <v>48800</v>
      </c>
      <c r="BC645" s="310">
        <f t="shared" si="232"/>
        <v>79856.320000000007</v>
      </c>
      <c r="BD645" s="350">
        <v>2</v>
      </c>
      <c r="BE645" s="351">
        <v>46638</v>
      </c>
      <c r="BF645" s="313">
        <f t="shared" si="233"/>
        <v>76318.423200000005</v>
      </c>
      <c r="BG645" s="308"/>
      <c r="BH645" s="309"/>
      <c r="BI645" s="310">
        <f t="shared" si="234"/>
        <v>0</v>
      </c>
      <c r="BJ645" s="350"/>
      <c r="BK645" s="351"/>
      <c r="BL645" s="313">
        <f t="shared" si="235"/>
        <v>0</v>
      </c>
      <c r="BM645" s="308"/>
      <c r="BN645" s="309"/>
      <c r="BO645" s="310">
        <f t="shared" si="236"/>
        <v>0</v>
      </c>
      <c r="BP645" s="350"/>
      <c r="BQ645" s="351"/>
      <c r="BR645" s="313">
        <f t="shared" si="237"/>
        <v>0</v>
      </c>
      <c r="BS645" s="308"/>
      <c r="BT645" s="309"/>
      <c r="BU645" s="310">
        <f t="shared" si="238"/>
        <v>0</v>
      </c>
      <c r="BV645" s="350"/>
      <c r="BW645" s="351"/>
      <c r="BX645" s="313">
        <f t="shared" si="239"/>
        <v>0</v>
      </c>
      <c r="BY645" s="290"/>
    </row>
    <row r="646" spans="1:77">
      <c r="A646" s="346" t="s">
        <v>408</v>
      </c>
      <c r="B646" s="347" t="s">
        <v>211</v>
      </c>
      <c r="C646" s="348">
        <v>224891</v>
      </c>
      <c r="D646" s="349">
        <v>10</v>
      </c>
      <c r="E646" s="308"/>
      <c r="F646" s="309"/>
      <c r="G646" s="310">
        <f t="shared" si="216"/>
        <v>0</v>
      </c>
      <c r="H646" s="350"/>
      <c r="I646" s="351"/>
      <c r="J646" s="313">
        <f t="shared" si="217"/>
        <v>0</v>
      </c>
      <c r="K646" s="308"/>
      <c r="L646" s="309"/>
      <c r="M646" s="310">
        <f t="shared" si="218"/>
        <v>0</v>
      </c>
      <c r="N646" s="350"/>
      <c r="O646" s="351"/>
      <c r="P646" s="313">
        <f t="shared" si="219"/>
        <v>0</v>
      </c>
      <c r="Q646" s="308"/>
      <c r="R646" s="309"/>
      <c r="S646" s="310">
        <f t="shared" si="220"/>
        <v>0</v>
      </c>
      <c r="T646" s="350"/>
      <c r="U646" s="351"/>
      <c r="V646" s="313">
        <f t="shared" si="221"/>
        <v>0</v>
      </c>
      <c r="W646" s="308">
        <v>24</v>
      </c>
      <c r="X646" s="309">
        <v>35940</v>
      </c>
      <c r="Y646" s="310">
        <f t="shared" si="222"/>
        <v>862560</v>
      </c>
      <c r="Z646" s="350">
        <v>25</v>
      </c>
      <c r="AA646" s="351">
        <v>34502.839999999997</v>
      </c>
      <c r="AB646" s="313">
        <f t="shared" si="223"/>
        <v>862570.99999999988</v>
      </c>
      <c r="AC646" s="308"/>
      <c r="AD646" s="309"/>
      <c r="AE646" s="310">
        <f t="shared" si="224"/>
        <v>0</v>
      </c>
      <c r="AF646" s="350"/>
      <c r="AG646" s="351"/>
      <c r="AH646" s="313">
        <f t="shared" si="225"/>
        <v>0</v>
      </c>
      <c r="AI646" s="308"/>
      <c r="AJ646" s="309"/>
      <c r="AK646" s="310">
        <f t="shared" si="226"/>
        <v>0</v>
      </c>
      <c r="AL646" s="350"/>
      <c r="AM646" s="351"/>
      <c r="AN646" s="313">
        <f t="shared" si="227"/>
        <v>0</v>
      </c>
      <c r="AO646" s="308"/>
      <c r="AP646" s="309"/>
      <c r="AQ646" s="310">
        <f t="shared" si="228"/>
        <v>0</v>
      </c>
      <c r="AR646" s="350"/>
      <c r="AS646" s="351"/>
      <c r="AT646" s="313">
        <f t="shared" si="229"/>
        <v>0</v>
      </c>
      <c r="AU646" s="308"/>
      <c r="AV646" s="309"/>
      <c r="AW646" s="310">
        <f t="shared" si="230"/>
        <v>0</v>
      </c>
      <c r="AX646" s="350"/>
      <c r="AY646" s="351"/>
      <c r="AZ646" s="313">
        <f t="shared" si="231"/>
        <v>0</v>
      </c>
      <c r="BA646" s="308"/>
      <c r="BB646" s="309"/>
      <c r="BC646" s="310">
        <f t="shared" si="232"/>
        <v>0</v>
      </c>
      <c r="BD646" s="350"/>
      <c r="BE646" s="351"/>
      <c r="BF646" s="313">
        <f t="shared" si="233"/>
        <v>0</v>
      </c>
      <c r="BG646" s="308">
        <v>6</v>
      </c>
      <c r="BH646" s="309">
        <v>41685</v>
      </c>
      <c r="BI646" s="310">
        <f t="shared" si="234"/>
        <v>204640.00200000001</v>
      </c>
      <c r="BJ646" s="350">
        <v>4</v>
      </c>
      <c r="BK646" s="351">
        <v>40221.25</v>
      </c>
      <c r="BL646" s="313">
        <f t="shared" si="235"/>
        <v>131636.10700000002</v>
      </c>
      <c r="BM646" s="308"/>
      <c r="BN646" s="309"/>
      <c r="BO646" s="310">
        <f t="shared" si="236"/>
        <v>0</v>
      </c>
      <c r="BP646" s="350"/>
      <c r="BQ646" s="351"/>
      <c r="BR646" s="313">
        <f t="shared" si="237"/>
        <v>0</v>
      </c>
      <c r="BS646" s="308"/>
      <c r="BT646" s="309"/>
      <c r="BU646" s="310">
        <f t="shared" si="238"/>
        <v>0</v>
      </c>
      <c r="BV646" s="350"/>
      <c r="BW646" s="351"/>
      <c r="BX646" s="313">
        <f t="shared" si="239"/>
        <v>0</v>
      </c>
      <c r="BY646" s="290"/>
    </row>
    <row r="647" spans="1:77">
      <c r="A647" s="346" t="s">
        <v>408</v>
      </c>
      <c r="B647" s="347" t="s">
        <v>212</v>
      </c>
      <c r="C647" s="348">
        <v>224961</v>
      </c>
      <c r="D647" s="349">
        <v>10</v>
      </c>
      <c r="E647" s="308">
        <v>6</v>
      </c>
      <c r="F647" s="309">
        <v>68185</v>
      </c>
      <c r="G647" s="310">
        <f t="shared" si="216"/>
        <v>409110</v>
      </c>
      <c r="H647" s="350">
        <v>5</v>
      </c>
      <c r="I647" s="351">
        <v>72073.2</v>
      </c>
      <c r="J647" s="313">
        <f t="shared" si="217"/>
        <v>360366</v>
      </c>
      <c r="K647" s="308">
        <v>6</v>
      </c>
      <c r="L647" s="309">
        <v>62955</v>
      </c>
      <c r="M647" s="310">
        <f t="shared" si="218"/>
        <v>377730</v>
      </c>
      <c r="N647" s="350">
        <v>5</v>
      </c>
      <c r="O647" s="351">
        <v>68874.600000000006</v>
      </c>
      <c r="P647" s="313">
        <f t="shared" si="219"/>
        <v>344373</v>
      </c>
      <c r="Q647" s="308">
        <v>8</v>
      </c>
      <c r="R647" s="309">
        <v>57008</v>
      </c>
      <c r="S647" s="310">
        <f t="shared" si="220"/>
        <v>456064</v>
      </c>
      <c r="T647" s="350">
        <v>9</v>
      </c>
      <c r="U647" s="351">
        <v>60111.222222222219</v>
      </c>
      <c r="V647" s="313">
        <f t="shared" si="221"/>
        <v>541001</v>
      </c>
      <c r="W647" s="308">
        <v>31</v>
      </c>
      <c r="X647" s="309">
        <v>58101</v>
      </c>
      <c r="Y647" s="310">
        <f t="shared" si="222"/>
        <v>1801131</v>
      </c>
      <c r="Z647" s="350">
        <v>31</v>
      </c>
      <c r="AA647" s="351">
        <v>58208.580645161288</v>
      </c>
      <c r="AB647" s="313">
        <f t="shared" si="223"/>
        <v>1804466</v>
      </c>
      <c r="AC647" s="308"/>
      <c r="AD647" s="309"/>
      <c r="AE647" s="310">
        <f t="shared" si="224"/>
        <v>0</v>
      </c>
      <c r="AF647" s="350"/>
      <c r="AG647" s="351"/>
      <c r="AH647" s="313">
        <f t="shared" si="225"/>
        <v>0</v>
      </c>
      <c r="AI647" s="308"/>
      <c r="AJ647" s="309"/>
      <c r="AK647" s="310">
        <f t="shared" si="226"/>
        <v>0</v>
      </c>
      <c r="AL647" s="350"/>
      <c r="AM647" s="351"/>
      <c r="AN647" s="313">
        <f t="shared" si="227"/>
        <v>0</v>
      </c>
      <c r="AO647" s="308"/>
      <c r="AP647" s="309"/>
      <c r="AQ647" s="310">
        <f t="shared" si="228"/>
        <v>0</v>
      </c>
      <c r="AR647" s="350"/>
      <c r="AS647" s="351"/>
      <c r="AT647" s="313">
        <f t="shared" si="229"/>
        <v>0</v>
      </c>
      <c r="AU647" s="308"/>
      <c r="AV647" s="309"/>
      <c r="AW647" s="310">
        <f t="shared" si="230"/>
        <v>0</v>
      </c>
      <c r="AX647" s="350"/>
      <c r="AY647" s="351"/>
      <c r="AZ647" s="313">
        <f t="shared" si="231"/>
        <v>0</v>
      </c>
      <c r="BA647" s="308"/>
      <c r="BB647" s="309"/>
      <c r="BC647" s="310">
        <f t="shared" si="232"/>
        <v>0</v>
      </c>
      <c r="BD647" s="350"/>
      <c r="BE647" s="351"/>
      <c r="BF647" s="313">
        <f t="shared" si="233"/>
        <v>0</v>
      </c>
      <c r="BG647" s="308">
        <v>4</v>
      </c>
      <c r="BH647" s="309">
        <v>79580</v>
      </c>
      <c r="BI647" s="310">
        <f t="shared" si="234"/>
        <v>260449.424</v>
      </c>
      <c r="BJ647" s="350">
        <v>6</v>
      </c>
      <c r="BK647" s="351">
        <v>70406.5</v>
      </c>
      <c r="BL647" s="313">
        <f t="shared" si="235"/>
        <v>345639.58980000002</v>
      </c>
      <c r="BM647" s="308">
        <v>1</v>
      </c>
      <c r="BN647" s="309">
        <v>67734</v>
      </c>
      <c r="BO647" s="310">
        <f t="shared" si="236"/>
        <v>55419.9588</v>
      </c>
      <c r="BP647" s="350"/>
      <c r="BQ647" s="351"/>
      <c r="BR647" s="313">
        <f t="shared" si="237"/>
        <v>0</v>
      </c>
      <c r="BS647" s="308"/>
      <c r="BT647" s="309"/>
      <c r="BU647" s="310">
        <f t="shared" si="238"/>
        <v>0</v>
      </c>
      <c r="BV647" s="350">
        <v>1</v>
      </c>
      <c r="BW647" s="351">
        <v>62220</v>
      </c>
      <c r="BX647" s="313">
        <f t="shared" si="239"/>
        <v>50908.404000000002</v>
      </c>
      <c r="BY647" s="290"/>
    </row>
    <row r="648" spans="1:77">
      <c r="A648" s="346" t="s">
        <v>408</v>
      </c>
      <c r="B648" s="352" t="s">
        <v>221</v>
      </c>
      <c r="C648" s="348">
        <v>226107</v>
      </c>
      <c r="D648" s="349">
        <v>10</v>
      </c>
      <c r="E648" s="308">
        <v>1</v>
      </c>
      <c r="F648" s="309">
        <v>47679</v>
      </c>
      <c r="G648" s="310">
        <f t="shared" si="216"/>
        <v>47679</v>
      </c>
      <c r="H648" s="350">
        <v>2</v>
      </c>
      <c r="I648" s="351">
        <v>49509</v>
      </c>
      <c r="J648" s="313">
        <f t="shared" si="217"/>
        <v>99018</v>
      </c>
      <c r="K648" s="308">
        <v>3</v>
      </c>
      <c r="L648" s="309">
        <v>46085</v>
      </c>
      <c r="M648" s="310">
        <f t="shared" si="218"/>
        <v>138255</v>
      </c>
      <c r="N648" s="350">
        <v>2</v>
      </c>
      <c r="O648" s="351">
        <v>46247</v>
      </c>
      <c r="P648" s="313">
        <f t="shared" si="219"/>
        <v>92494</v>
      </c>
      <c r="Q648" s="308">
        <v>9</v>
      </c>
      <c r="R648" s="309">
        <v>46621</v>
      </c>
      <c r="S648" s="310">
        <f t="shared" si="220"/>
        <v>419589</v>
      </c>
      <c r="T648" s="350">
        <v>9</v>
      </c>
      <c r="U648" s="351">
        <v>48020.111111111109</v>
      </c>
      <c r="V648" s="313">
        <f t="shared" si="221"/>
        <v>432181</v>
      </c>
      <c r="W648" s="308">
        <v>30</v>
      </c>
      <c r="X648" s="309">
        <v>38077</v>
      </c>
      <c r="Y648" s="310">
        <f t="shared" si="222"/>
        <v>1142310</v>
      </c>
      <c r="Z648" s="350">
        <v>33</v>
      </c>
      <c r="AA648" s="351">
        <v>38580.878787878784</v>
      </c>
      <c r="AB648" s="313">
        <f t="shared" si="223"/>
        <v>1273169</v>
      </c>
      <c r="AC648" s="308"/>
      <c r="AD648" s="309"/>
      <c r="AE648" s="310">
        <f t="shared" si="224"/>
        <v>0</v>
      </c>
      <c r="AF648" s="350"/>
      <c r="AG648" s="351"/>
      <c r="AH648" s="313">
        <f t="shared" si="225"/>
        <v>0</v>
      </c>
      <c r="AI648" s="308"/>
      <c r="AJ648" s="309"/>
      <c r="AK648" s="310">
        <f t="shared" si="226"/>
        <v>0</v>
      </c>
      <c r="AL648" s="350"/>
      <c r="AM648" s="351"/>
      <c r="AN648" s="313">
        <f t="shared" si="227"/>
        <v>0</v>
      </c>
      <c r="AO648" s="308"/>
      <c r="AP648" s="309"/>
      <c r="AQ648" s="310">
        <f t="shared" si="228"/>
        <v>0</v>
      </c>
      <c r="AR648" s="350"/>
      <c r="AS648" s="351"/>
      <c r="AT648" s="313">
        <f t="shared" si="229"/>
        <v>0</v>
      </c>
      <c r="AU648" s="308"/>
      <c r="AV648" s="309"/>
      <c r="AW648" s="310">
        <f t="shared" si="230"/>
        <v>0</v>
      </c>
      <c r="AX648" s="350"/>
      <c r="AY648" s="351"/>
      <c r="AZ648" s="313">
        <f t="shared" si="231"/>
        <v>0</v>
      </c>
      <c r="BA648" s="308">
        <v>1</v>
      </c>
      <c r="BB648" s="309">
        <v>51839</v>
      </c>
      <c r="BC648" s="310">
        <f t="shared" si="232"/>
        <v>42414.669800000003</v>
      </c>
      <c r="BD648" s="350">
        <v>1</v>
      </c>
      <c r="BE648" s="351">
        <v>53394</v>
      </c>
      <c r="BF648" s="313">
        <f t="shared" si="233"/>
        <v>43686.970800000003</v>
      </c>
      <c r="BG648" s="308">
        <v>4</v>
      </c>
      <c r="BH648" s="309">
        <v>41669</v>
      </c>
      <c r="BI648" s="310">
        <f t="shared" si="234"/>
        <v>136374.30319999999</v>
      </c>
      <c r="BJ648" s="350">
        <v>5</v>
      </c>
      <c r="BK648" s="351">
        <v>41973.8</v>
      </c>
      <c r="BL648" s="313">
        <f t="shared" si="235"/>
        <v>171714.81580000001</v>
      </c>
      <c r="BM648" s="308"/>
      <c r="BN648" s="309"/>
      <c r="BO648" s="310">
        <f t="shared" si="236"/>
        <v>0</v>
      </c>
      <c r="BP648" s="350"/>
      <c r="BQ648" s="351"/>
      <c r="BR648" s="313">
        <f t="shared" si="237"/>
        <v>0</v>
      </c>
      <c r="BS648" s="308"/>
      <c r="BT648" s="309"/>
      <c r="BU648" s="310">
        <f t="shared" si="238"/>
        <v>0</v>
      </c>
      <c r="BV648" s="350"/>
      <c r="BW648" s="351"/>
      <c r="BX648" s="313">
        <f t="shared" si="239"/>
        <v>0</v>
      </c>
      <c r="BY648" s="290"/>
    </row>
    <row r="649" spans="1:77">
      <c r="A649" s="346" t="s">
        <v>408</v>
      </c>
      <c r="B649" s="352" t="s">
        <v>192</v>
      </c>
      <c r="C649" s="348">
        <v>226116</v>
      </c>
      <c r="D649" s="349">
        <v>10</v>
      </c>
      <c r="E649" s="308">
        <v>1</v>
      </c>
      <c r="F649" s="309">
        <v>52445</v>
      </c>
      <c r="G649" s="310">
        <f t="shared" si="216"/>
        <v>52445</v>
      </c>
      <c r="H649" s="350">
        <v>1</v>
      </c>
      <c r="I649" s="351">
        <v>52445</v>
      </c>
      <c r="J649" s="313">
        <f t="shared" si="217"/>
        <v>52445</v>
      </c>
      <c r="K649" s="308">
        <v>3</v>
      </c>
      <c r="L649" s="309">
        <v>47143</v>
      </c>
      <c r="M649" s="310">
        <f t="shared" si="218"/>
        <v>141429</v>
      </c>
      <c r="N649" s="350">
        <v>3</v>
      </c>
      <c r="O649" s="351">
        <v>47143</v>
      </c>
      <c r="P649" s="313">
        <f t="shared" si="219"/>
        <v>141429</v>
      </c>
      <c r="Q649" s="308">
        <v>4</v>
      </c>
      <c r="R649" s="309">
        <v>44021</v>
      </c>
      <c r="S649" s="310">
        <f t="shared" si="220"/>
        <v>176084</v>
      </c>
      <c r="T649" s="350">
        <v>4</v>
      </c>
      <c r="U649" s="351">
        <v>44020.5</v>
      </c>
      <c r="V649" s="313">
        <f t="shared" si="221"/>
        <v>176082</v>
      </c>
      <c r="W649" s="308">
        <v>44</v>
      </c>
      <c r="X649" s="309">
        <v>41777</v>
      </c>
      <c r="Y649" s="310">
        <f t="shared" si="222"/>
        <v>1838188</v>
      </c>
      <c r="Z649" s="350">
        <v>36</v>
      </c>
      <c r="AA649" s="351">
        <v>41167.111111111109</v>
      </c>
      <c r="AB649" s="313">
        <f t="shared" si="223"/>
        <v>1482016</v>
      </c>
      <c r="AC649" s="308"/>
      <c r="AD649" s="309"/>
      <c r="AE649" s="310">
        <f t="shared" si="224"/>
        <v>0</v>
      </c>
      <c r="AF649" s="350"/>
      <c r="AG649" s="351"/>
      <c r="AH649" s="313">
        <f t="shared" si="225"/>
        <v>0</v>
      </c>
      <c r="AI649" s="308"/>
      <c r="AJ649" s="309"/>
      <c r="AK649" s="310">
        <f t="shared" si="226"/>
        <v>0</v>
      </c>
      <c r="AL649" s="350"/>
      <c r="AM649" s="351"/>
      <c r="AN649" s="313">
        <f t="shared" si="227"/>
        <v>0</v>
      </c>
      <c r="AO649" s="308"/>
      <c r="AP649" s="309"/>
      <c r="AQ649" s="310">
        <f t="shared" si="228"/>
        <v>0</v>
      </c>
      <c r="AR649" s="350"/>
      <c r="AS649" s="351"/>
      <c r="AT649" s="313">
        <f t="shared" si="229"/>
        <v>0</v>
      </c>
      <c r="AU649" s="308"/>
      <c r="AV649" s="309"/>
      <c r="AW649" s="310">
        <f t="shared" si="230"/>
        <v>0</v>
      </c>
      <c r="AX649" s="350"/>
      <c r="AY649" s="351"/>
      <c r="AZ649" s="313">
        <f t="shared" si="231"/>
        <v>0</v>
      </c>
      <c r="BA649" s="308"/>
      <c r="BB649" s="309"/>
      <c r="BC649" s="310">
        <f t="shared" si="232"/>
        <v>0</v>
      </c>
      <c r="BD649" s="350"/>
      <c r="BE649" s="351"/>
      <c r="BF649" s="313">
        <f t="shared" si="233"/>
        <v>0</v>
      </c>
      <c r="BG649" s="308">
        <v>18</v>
      </c>
      <c r="BH649" s="309">
        <v>49174</v>
      </c>
      <c r="BI649" s="310">
        <f t="shared" si="234"/>
        <v>724215.0024</v>
      </c>
      <c r="BJ649" s="350">
        <v>18</v>
      </c>
      <c r="BK649" s="351">
        <v>47144.444444444445</v>
      </c>
      <c r="BL649" s="313">
        <f t="shared" si="235"/>
        <v>694324.52</v>
      </c>
      <c r="BM649" s="308">
        <v>5</v>
      </c>
      <c r="BN649" s="309">
        <v>48153</v>
      </c>
      <c r="BO649" s="310">
        <f t="shared" si="236"/>
        <v>196993.92300000001</v>
      </c>
      <c r="BP649" s="350"/>
      <c r="BQ649" s="351"/>
      <c r="BR649" s="313">
        <f t="shared" si="237"/>
        <v>0</v>
      </c>
      <c r="BS649" s="308"/>
      <c r="BT649" s="309"/>
      <c r="BU649" s="310">
        <f t="shared" si="238"/>
        <v>0</v>
      </c>
      <c r="BV649" s="350">
        <v>6</v>
      </c>
      <c r="BW649" s="351">
        <v>47233</v>
      </c>
      <c r="BX649" s="313">
        <f t="shared" si="239"/>
        <v>231876.24360000002</v>
      </c>
      <c r="BY649" s="290"/>
    </row>
    <row r="650" spans="1:77">
      <c r="A650" s="346" t="s">
        <v>408</v>
      </c>
      <c r="B650" s="352" t="s">
        <v>217</v>
      </c>
      <c r="C650" s="384" t="s">
        <v>57</v>
      </c>
      <c r="D650" s="349">
        <v>10</v>
      </c>
      <c r="E650" s="308"/>
      <c r="F650" s="309"/>
      <c r="G650" s="310">
        <f t="shared" ref="G650:G713" si="240">E650*F650</f>
        <v>0</v>
      </c>
      <c r="H650" s="350"/>
      <c r="I650" s="351"/>
      <c r="J650" s="313">
        <f t="shared" ref="J650:J713" si="241">H650*I650</f>
        <v>0</v>
      </c>
      <c r="K650" s="308"/>
      <c r="L650" s="309"/>
      <c r="M650" s="310">
        <f t="shared" ref="M650:M713" si="242">K650*L650</f>
        <v>0</v>
      </c>
      <c r="N650" s="350"/>
      <c r="O650" s="351"/>
      <c r="P650" s="313">
        <f t="shared" ref="P650:P713" si="243">N650*O650</f>
        <v>0</v>
      </c>
      <c r="Q650" s="308"/>
      <c r="R650" s="309"/>
      <c r="S650" s="310">
        <f t="shared" ref="S650:S713" si="244">Q650*R650</f>
        <v>0</v>
      </c>
      <c r="T650" s="350"/>
      <c r="U650" s="351"/>
      <c r="V650" s="313">
        <f t="shared" ref="V650:V713" si="245">T650*U650</f>
        <v>0</v>
      </c>
      <c r="W650" s="308"/>
      <c r="X650" s="309"/>
      <c r="Y650" s="310">
        <f t="shared" ref="Y650:Y713" si="246">W650*X650</f>
        <v>0</v>
      </c>
      <c r="Z650" s="350"/>
      <c r="AA650" s="351"/>
      <c r="AB650" s="313">
        <f t="shared" ref="AB650:AB713" si="247">Z650*AA650</f>
        <v>0</v>
      </c>
      <c r="AC650" s="308"/>
      <c r="AD650" s="309"/>
      <c r="AE650" s="310">
        <f t="shared" ref="AE650:AE713" si="248">AC650*AD650</f>
        <v>0</v>
      </c>
      <c r="AF650" s="350"/>
      <c r="AG650" s="351"/>
      <c r="AH650" s="313">
        <f t="shared" ref="AH650:AH713" si="249">AF650*AG650</f>
        <v>0</v>
      </c>
      <c r="AI650" s="308"/>
      <c r="AJ650" s="309"/>
      <c r="AK650" s="310">
        <f t="shared" ref="AK650:AK713" si="250">AI650*AJ650</f>
        <v>0</v>
      </c>
      <c r="AL650" s="350"/>
      <c r="AM650" s="351"/>
      <c r="AN650" s="313">
        <f t="shared" ref="AN650:AN713" si="251">AL650*AM650</f>
        <v>0</v>
      </c>
      <c r="AO650" s="308"/>
      <c r="AP650" s="309"/>
      <c r="AQ650" s="310">
        <f t="shared" ref="AQ650:AQ713" si="252">(AO650*AP650)*0.8182</f>
        <v>0</v>
      </c>
      <c r="AR650" s="350"/>
      <c r="AS650" s="351"/>
      <c r="AT650" s="313">
        <f t="shared" ref="AT650:AT713" si="253">(AR650*AS650)*0.8182</f>
        <v>0</v>
      </c>
      <c r="AU650" s="308"/>
      <c r="AV650" s="309"/>
      <c r="AW650" s="310">
        <f t="shared" ref="AW650:AW713" si="254">(AU650*AV650)*0.8182</f>
        <v>0</v>
      </c>
      <c r="AX650" s="350"/>
      <c r="AY650" s="351"/>
      <c r="AZ650" s="313">
        <f t="shared" ref="AZ650:AZ713" si="255">(AX650*AY650)*0.8182</f>
        <v>0</v>
      </c>
      <c r="BA650" s="308"/>
      <c r="BB650" s="309"/>
      <c r="BC650" s="310">
        <f t="shared" ref="BC650:BC713" si="256">(BA650*BB650)*0.8182</f>
        <v>0</v>
      </c>
      <c r="BD650" s="350"/>
      <c r="BE650" s="351"/>
      <c r="BF650" s="313">
        <f t="shared" ref="BF650:BF713" si="257">(BD650*BE650)*0.8182</f>
        <v>0</v>
      </c>
      <c r="BG650" s="308"/>
      <c r="BH650" s="309"/>
      <c r="BI650" s="310">
        <f t="shared" ref="BI650:BI713" si="258">(BG650*BH650)*0.8182</f>
        <v>0</v>
      </c>
      <c r="BJ650" s="350"/>
      <c r="BK650" s="351"/>
      <c r="BL650" s="313">
        <f t="shared" ref="BL650:BL713" si="259">(BJ650*BK650)*0.8182</f>
        <v>0</v>
      </c>
      <c r="BM650" s="308"/>
      <c r="BN650" s="309"/>
      <c r="BO650" s="310">
        <f t="shared" ref="BO650:BO713" si="260">(BM650*BN650)*0.8182</f>
        <v>0</v>
      </c>
      <c r="BP650" s="350"/>
      <c r="BQ650" s="351"/>
      <c r="BR650" s="313">
        <f t="shared" ref="BR650:BR713" si="261">(BP650*BQ650)*0.8182</f>
        <v>0</v>
      </c>
      <c r="BS650" s="308"/>
      <c r="BT650" s="309"/>
      <c r="BU650" s="310">
        <f t="shared" ref="BU650:BU713" si="262">(BS650*BT650)*0.8182</f>
        <v>0</v>
      </c>
      <c r="BV650" s="350"/>
      <c r="BW650" s="351"/>
      <c r="BX650" s="313">
        <f t="shared" ref="BX650:BX713" si="263">(BV650*BW650)*0.8182</f>
        <v>0</v>
      </c>
      <c r="BY650" s="290"/>
    </row>
    <row r="651" spans="1:77">
      <c r="A651" s="346" t="s">
        <v>408</v>
      </c>
      <c r="B651" s="352" t="s">
        <v>222</v>
      </c>
      <c r="C651" s="348">
        <v>227225</v>
      </c>
      <c r="D651" s="349">
        <v>10</v>
      </c>
      <c r="E651" s="308">
        <v>28</v>
      </c>
      <c r="F651" s="309">
        <v>52590</v>
      </c>
      <c r="G651" s="310">
        <f t="shared" si="240"/>
        <v>1472520</v>
      </c>
      <c r="H651" s="350">
        <v>25</v>
      </c>
      <c r="I651" s="351">
        <v>55880</v>
      </c>
      <c r="J651" s="313">
        <f t="shared" si="241"/>
        <v>1397000</v>
      </c>
      <c r="K651" s="308">
        <v>4</v>
      </c>
      <c r="L651" s="309">
        <v>53726</v>
      </c>
      <c r="M651" s="310">
        <f t="shared" si="242"/>
        <v>214904</v>
      </c>
      <c r="N651" s="350">
        <v>8</v>
      </c>
      <c r="O651" s="351">
        <v>58890.25</v>
      </c>
      <c r="P651" s="313">
        <f t="shared" si="243"/>
        <v>471122</v>
      </c>
      <c r="Q651" s="308">
        <v>4</v>
      </c>
      <c r="R651" s="309">
        <v>41138</v>
      </c>
      <c r="S651" s="310">
        <f t="shared" si="244"/>
        <v>164552</v>
      </c>
      <c r="T651" s="350">
        <v>8</v>
      </c>
      <c r="U651" s="351">
        <v>35735.25</v>
      </c>
      <c r="V651" s="313">
        <f t="shared" si="245"/>
        <v>285882</v>
      </c>
      <c r="W651" s="308">
        <v>6</v>
      </c>
      <c r="X651" s="309">
        <v>46807</v>
      </c>
      <c r="Y651" s="310">
        <f t="shared" si="246"/>
        <v>280842</v>
      </c>
      <c r="Z651" s="350">
        <v>8</v>
      </c>
      <c r="AA651" s="351">
        <v>42851.25</v>
      </c>
      <c r="AB651" s="313">
        <f t="shared" si="247"/>
        <v>342810</v>
      </c>
      <c r="AC651" s="308"/>
      <c r="AD651" s="309"/>
      <c r="AE651" s="310">
        <f t="shared" si="248"/>
        <v>0</v>
      </c>
      <c r="AF651" s="350"/>
      <c r="AG651" s="351"/>
      <c r="AH651" s="313">
        <f t="shared" si="249"/>
        <v>0</v>
      </c>
      <c r="AI651" s="308"/>
      <c r="AJ651" s="309"/>
      <c r="AK651" s="310">
        <f t="shared" si="250"/>
        <v>0</v>
      </c>
      <c r="AL651" s="350"/>
      <c r="AM651" s="351"/>
      <c r="AN651" s="313">
        <f t="shared" si="251"/>
        <v>0</v>
      </c>
      <c r="AO651" s="308">
        <v>2</v>
      </c>
      <c r="AP651" s="309">
        <v>52958</v>
      </c>
      <c r="AQ651" s="310">
        <f t="shared" si="252"/>
        <v>86660.4712</v>
      </c>
      <c r="AR651" s="350">
        <v>4</v>
      </c>
      <c r="AS651" s="351">
        <v>58678.5</v>
      </c>
      <c r="AT651" s="313">
        <f t="shared" si="253"/>
        <v>192042.99480000001</v>
      </c>
      <c r="AU651" s="308">
        <v>5</v>
      </c>
      <c r="AV651" s="309">
        <v>52153</v>
      </c>
      <c r="AW651" s="310">
        <f t="shared" si="254"/>
        <v>213357.92300000001</v>
      </c>
      <c r="AX651" s="350">
        <v>1</v>
      </c>
      <c r="AY651" s="351">
        <v>58790</v>
      </c>
      <c r="AZ651" s="313">
        <f t="shared" si="255"/>
        <v>48101.978000000003</v>
      </c>
      <c r="BA651" s="308">
        <v>2</v>
      </c>
      <c r="BB651" s="309">
        <v>48871</v>
      </c>
      <c r="BC651" s="310">
        <f t="shared" si="256"/>
        <v>79972.504400000005</v>
      </c>
      <c r="BD651" s="350">
        <v>1</v>
      </c>
      <c r="BE651" s="351">
        <v>55829</v>
      </c>
      <c r="BF651" s="313">
        <f t="shared" si="257"/>
        <v>45679.287800000006</v>
      </c>
      <c r="BG651" s="308">
        <v>5</v>
      </c>
      <c r="BH651" s="309">
        <v>43550</v>
      </c>
      <c r="BI651" s="310">
        <f t="shared" si="258"/>
        <v>178163.05000000002</v>
      </c>
      <c r="BJ651" s="350">
        <v>2</v>
      </c>
      <c r="BK651" s="351">
        <v>52069.5</v>
      </c>
      <c r="BL651" s="313">
        <f t="shared" si="259"/>
        <v>85206.529800000004</v>
      </c>
      <c r="BM651" s="308"/>
      <c r="BN651" s="309"/>
      <c r="BO651" s="310">
        <f t="shared" si="260"/>
        <v>0</v>
      </c>
      <c r="BP651" s="350"/>
      <c r="BQ651" s="351"/>
      <c r="BR651" s="313">
        <f t="shared" si="261"/>
        <v>0</v>
      </c>
      <c r="BS651" s="308"/>
      <c r="BT651" s="309"/>
      <c r="BU651" s="310">
        <f t="shared" si="262"/>
        <v>0</v>
      </c>
      <c r="BV651" s="350"/>
      <c r="BW651" s="351"/>
      <c r="BX651" s="313">
        <f t="shared" si="263"/>
        <v>0</v>
      </c>
      <c r="BY651" s="290"/>
    </row>
    <row r="652" spans="1:77">
      <c r="A652" s="346" t="s">
        <v>408</v>
      </c>
      <c r="B652" s="347" t="s">
        <v>223</v>
      </c>
      <c r="C652" s="348">
        <v>227386</v>
      </c>
      <c r="D652" s="349">
        <v>10</v>
      </c>
      <c r="E652" s="308"/>
      <c r="F652" s="309"/>
      <c r="G652" s="310">
        <f t="shared" si="240"/>
        <v>0</v>
      </c>
      <c r="H652" s="350"/>
      <c r="I652" s="351"/>
      <c r="J652" s="313">
        <f t="shared" si="241"/>
        <v>0</v>
      </c>
      <c r="K652" s="308"/>
      <c r="L652" s="309"/>
      <c r="M652" s="310">
        <f t="shared" si="242"/>
        <v>0</v>
      </c>
      <c r="N652" s="350"/>
      <c r="O652" s="351"/>
      <c r="P652" s="313">
        <f t="shared" si="243"/>
        <v>0</v>
      </c>
      <c r="Q652" s="308"/>
      <c r="R652" s="309"/>
      <c r="S652" s="310">
        <f t="shared" si="244"/>
        <v>0</v>
      </c>
      <c r="T652" s="350"/>
      <c r="U652" s="351"/>
      <c r="V652" s="313">
        <f t="shared" si="245"/>
        <v>0</v>
      </c>
      <c r="W652" s="308">
        <v>47</v>
      </c>
      <c r="X652" s="309">
        <v>47110</v>
      </c>
      <c r="Y652" s="310">
        <f t="shared" si="246"/>
        <v>2214170</v>
      </c>
      <c r="Z652" s="350">
        <v>49</v>
      </c>
      <c r="AA652" s="351">
        <v>47902.367346938772</v>
      </c>
      <c r="AB652" s="313">
        <f t="shared" si="247"/>
        <v>2347216</v>
      </c>
      <c r="AC652" s="308"/>
      <c r="AD652" s="309"/>
      <c r="AE652" s="310">
        <f t="shared" si="248"/>
        <v>0</v>
      </c>
      <c r="AF652" s="350"/>
      <c r="AG652" s="351"/>
      <c r="AH652" s="313">
        <f t="shared" si="249"/>
        <v>0</v>
      </c>
      <c r="AI652" s="308"/>
      <c r="AJ652" s="309"/>
      <c r="AK652" s="310">
        <f t="shared" si="250"/>
        <v>0</v>
      </c>
      <c r="AL652" s="350"/>
      <c r="AM652" s="351"/>
      <c r="AN652" s="313">
        <f t="shared" si="251"/>
        <v>0</v>
      </c>
      <c r="AO652" s="308"/>
      <c r="AP652" s="309"/>
      <c r="AQ652" s="310">
        <f t="shared" si="252"/>
        <v>0</v>
      </c>
      <c r="AR652" s="350"/>
      <c r="AS652" s="351"/>
      <c r="AT652" s="313">
        <f t="shared" si="253"/>
        <v>0</v>
      </c>
      <c r="AU652" s="308"/>
      <c r="AV652" s="309"/>
      <c r="AW652" s="310">
        <f t="shared" si="254"/>
        <v>0</v>
      </c>
      <c r="AX652" s="350"/>
      <c r="AY652" s="351"/>
      <c r="AZ652" s="313">
        <f t="shared" si="255"/>
        <v>0</v>
      </c>
      <c r="BA652" s="308"/>
      <c r="BB652" s="309"/>
      <c r="BC652" s="310">
        <f t="shared" si="256"/>
        <v>0</v>
      </c>
      <c r="BD652" s="350"/>
      <c r="BE652" s="351"/>
      <c r="BF652" s="313">
        <f t="shared" si="257"/>
        <v>0</v>
      </c>
      <c r="BG652" s="308">
        <v>13</v>
      </c>
      <c r="BH652" s="309">
        <v>52088</v>
      </c>
      <c r="BI652" s="310">
        <f t="shared" si="258"/>
        <v>554039.22080000001</v>
      </c>
      <c r="BJ652" s="350">
        <v>16</v>
      </c>
      <c r="BK652" s="351">
        <v>51358.875</v>
      </c>
      <c r="BL652" s="313">
        <f t="shared" si="259"/>
        <v>672349.30440000002</v>
      </c>
      <c r="BM652" s="308"/>
      <c r="BN652" s="309"/>
      <c r="BO652" s="310">
        <f t="shared" si="260"/>
        <v>0</v>
      </c>
      <c r="BP652" s="350"/>
      <c r="BQ652" s="351"/>
      <c r="BR652" s="313">
        <f t="shared" si="261"/>
        <v>0</v>
      </c>
      <c r="BS652" s="308"/>
      <c r="BT652" s="309"/>
      <c r="BU652" s="310">
        <f t="shared" si="262"/>
        <v>0</v>
      </c>
      <c r="BV652" s="350"/>
      <c r="BW652" s="351"/>
      <c r="BX652" s="313">
        <f t="shared" si="263"/>
        <v>0</v>
      </c>
      <c r="BY652" s="290"/>
    </row>
    <row r="653" spans="1:77">
      <c r="A653" s="346" t="s">
        <v>408</v>
      </c>
      <c r="B653" s="347" t="s">
        <v>224</v>
      </c>
      <c r="C653" s="348">
        <v>227687</v>
      </c>
      <c r="D653" s="349">
        <v>10</v>
      </c>
      <c r="E653" s="308">
        <v>1</v>
      </c>
      <c r="F653" s="309">
        <v>44181</v>
      </c>
      <c r="G653" s="310">
        <f t="shared" si="240"/>
        <v>44181</v>
      </c>
      <c r="H653" s="350">
        <v>1</v>
      </c>
      <c r="I653" s="351">
        <v>44181</v>
      </c>
      <c r="J653" s="313">
        <f t="shared" si="241"/>
        <v>44181</v>
      </c>
      <c r="K653" s="308">
        <v>6</v>
      </c>
      <c r="L653" s="309">
        <v>34641</v>
      </c>
      <c r="M653" s="310">
        <f t="shared" si="242"/>
        <v>207846</v>
      </c>
      <c r="N653" s="350">
        <v>5</v>
      </c>
      <c r="O653" s="351">
        <v>34887.4</v>
      </c>
      <c r="P653" s="313">
        <f t="shared" si="243"/>
        <v>174437</v>
      </c>
      <c r="Q653" s="308">
        <v>6</v>
      </c>
      <c r="R653" s="309">
        <v>29650</v>
      </c>
      <c r="S653" s="310">
        <f t="shared" si="244"/>
        <v>177900</v>
      </c>
      <c r="T653" s="350">
        <v>8</v>
      </c>
      <c r="U653" s="351">
        <v>30022.25</v>
      </c>
      <c r="V653" s="313">
        <f t="shared" si="245"/>
        <v>240178</v>
      </c>
      <c r="W653" s="308">
        <v>1</v>
      </c>
      <c r="X653" s="309">
        <v>23786</v>
      </c>
      <c r="Y653" s="310">
        <f t="shared" si="246"/>
        <v>23786</v>
      </c>
      <c r="Z653" s="350">
        <v>1</v>
      </c>
      <c r="AA653" s="351">
        <v>25893</v>
      </c>
      <c r="AB653" s="313">
        <f t="shared" si="247"/>
        <v>25893</v>
      </c>
      <c r="AC653" s="308"/>
      <c r="AD653" s="309"/>
      <c r="AE653" s="310">
        <f t="shared" si="248"/>
        <v>0</v>
      </c>
      <c r="AF653" s="350"/>
      <c r="AG653" s="351"/>
      <c r="AH653" s="313">
        <f t="shared" si="249"/>
        <v>0</v>
      </c>
      <c r="AI653" s="308"/>
      <c r="AJ653" s="309"/>
      <c r="AK653" s="310">
        <f t="shared" si="250"/>
        <v>0</v>
      </c>
      <c r="AL653" s="350"/>
      <c r="AM653" s="351"/>
      <c r="AN653" s="313">
        <f t="shared" si="251"/>
        <v>0</v>
      </c>
      <c r="AO653" s="308"/>
      <c r="AP653" s="309"/>
      <c r="AQ653" s="310">
        <f t="shared" si="252"/>
        <v>0</v>
      </c>
      <c r="AR653" s="350"/>
      <c r="AS653" s="351"/>
      <c r="AT653" s="313">
        <f t="shared" si="253"/>
        <v>0</v>
      </c>
      <c r="AU653" s="308"/>
      <c r="AV653" s="309"/>
      <c r="AW653" s="310">
        <f t="shared" si="254"/>
        <v>0</v>
      </c>
      <c r="AX653" s="350"/>
      <c r="AY653" s="351"/>
      <c r="AZ653" s="313">
        <f t="shared" si="255"/>
        <v>0</v>
      </c>
      <c r="BA653" s="308">
        <v>1</v>
      </c>
      <c r="BB653" s="309">
        <v>35000</v>
      </c>
      <c r="BC653" s="310">
        <f t="shared" si="256"/>
        <v>28637</v>
      </c>
      <c r="BD653" s="350">
        <v>2</v>
      </c>
      <c r="BE653" s="351">
        <v>15550</v>
      </c>
      <c r="BF653" s="313">
        <f t="shared" si="257"/>
        <v>25446.02</v>
      </c>
      <c r="BG653" s="308">
        <v>3</v>
      </c>
      <c r="BH653" s="309">
        <v>32600</v>
      </c>
      <c r="BI653" s="310">
        <f t="shared" si="258"/>
        <v>80019.960000000006</v>
      </c>
      <c r="BJ653" s="350">
        <v>9</v>
      </c>
      <c r="BK653" s="351">
        <v>31527.777777777777</v>
      </c>
      <c r="BL653" s="313">
        <f t="shared" si="259"/>
        <v>232164.25</v>
      </c>
      <c r="BM653" s="308">
        <v>2</v>
      </c>
      <c r="BN653" s="309">
        <v>28000</v>
      </c>
      <c r="BO653" s="310">
        <f t="shared" si="260"/>
        <v>45819.200000000004</v>
      </c>
      <c r="BP653" s="350"/>
      <c r="BQ653" s="351"/>
      <c r="BR653" s="313">
        <f t="shared" si="261"/>
        <v>0</v>
      </c>
      <c r="BS653" s="308"/>
      <c r="BT653" s="309"/>
      <c r="BU653" s="310">
        <f t="shared" si="262"/>
        <v>0</v>
      </c>
      <c r="BV653" s="350"/>
      <c r="BW653" s="351"/>
      <c r="BX653" s="313">
        <f t="shared" si="263"/>
        <v>0</v>
      </c>
      <c r="BY653" s="290"/>
    </row>
    <row r="654" spans="1:77">
      <c r="A654" s="346" t="s">
        <v>408</v>
      </c>
      <c r="B654" s="347" t="s">
        <v>225</v>
      </c>
      <c r="C654" s="348">
        <v>382911</v>
      </c>
      <c r="D654" s="349">
        <v>10</v>
      </c>
      <c r="E654" s="308"/>
      <c r="F654" s="309"/>
      <c r="G654" s="310">
        <f t="shared" si="240"/>
        <v>0</v>
      </c>
      <c r="H654" s="350"/>
      <c r="I654" s="351"/>
      <c r="J654" s="313">
        <f t="shared" si="241"/>
        <v>0</v>
      </c>
      <c r="K654" s="308"/>
      <c r="L654" s="309"/>
      <c r="M654" s="310">
        <f t="shared" si="242"/>
        <v>0</v>
      </c>
      <c r="N654" s="350"/>
      <c r="O654" s="351"/>
      <c r="P654" s="313">
        <f t="shared" si="243"/>
        <v>0</v>
      </c>
      <c r="Q654" s="308"/>
      <c r="R654" s="309"/>
      <c r="S654" s="310">
        <f t="shared" si="244"/>
        <v>0</v>
      </c>
      <c r="T654" s="350"/>
      <c r="U654" s="351"/>
      <c r="V654" s="313">
        <f t="shared" si="245"/>
        <v>0</v>
      </c>
      <c r="W654" s="308"/>
      <c r="X654" s="309"/>
      <c r="Y654" s="310">
        <f t="shared" si="246"/>
        <v>0</v>
      </c>
      <c r="Z654" s="351"/>
      <c r="AA654" s="351"/>
      <c r="AB654" s="313">
        <f t="shared" si="247"/>
        <v>0</v>
      </c>
      <c r="AC654" s="308"/>
      <c r="AD654" s="309"/>
      <c r="AE654" s="310">
        <f t="shared" si="248"/>
        <v>0</v>
      </c>
      <c r="AF654" s="350"/>
      <c r="AG654" s="351"/>
      <c r="AH654" s="313">
        <f t="shared" si="249"/>
        <v>0</v>
      </c>
      <c r="AI654" s="308"/>
      <c r="AJ654" s="309"/>
      <c r="AK654" s="310">
        <f t="shared" si="250"/>
        <v>0</v>
      </c>
      <c r="AL654" s="351"/>
      <c r="AM654" s="351"/>
      <c r="AN654" s="313">
        <f t="shared" si="251"/>
        <v>0</v>
      </c>
      <c r="AO654" s="308"/>
      <c r="AP654" s="309"/>
      <c r="AQ654" s="310">
        <f t="shared" si="252"/>
        <v>0</v>
      </c>
      <c r="AR654" s="350"/>
      <c r="AS654" s="351"/>
      <c r="AT654" s="313">
        <f t="shared" si="253"/>
        <v>0</v>
      </c>
      <c r="AU654" s="308"/>
      <c r="AV654" s="309"/>
      <c r="AW654" s="310">
        <f t="shared" si="254"/>
        <v>0</v>
      </c>
      <c r="AX654" s="350"/>
      <c r="AY654" s="351"/>
      <c r="AZ654" s="313">
        <f t="shared" si="255"/>
        <v>0</v>
      </c>
      <c r="BA654" s="308"/>
      <c r="BB654" s="309"/>
      <c r="BC654" s="310">
        <f t="shared" si="256"/>
        <v>0</v>
      </c>
      <c r="BD654" s="350"/>
      <c r="BE654" s="351"/>
      <c r="BF654" s="313">
        <f t="shared" si="257"/>
        <v>0</v>
      </c>
      <c r="BG654" s="308"/>
      <c r="BH654" s="309"/>
      <c r="BI654" s="310">
        <f t="shared" si="258"/>
        <v>0</v>
      </c>
      <c r="BJ654" s="350"/>
      <c r="BK654" s="351"/>
      <c r="BL654" s="313">
        <f t="shared" si="259"/>
        <v>0</v>
      </c>
      <c r="BM654" s="308"/>
      <c r="BN654" s="309"/>
      <c r="BO654" s="310">
        <f t="shared" si="260"/>
        <v>0</v>
      </c>
      <c r="BP654" s="350"/>
      <c r="BQ654" s="351"/>
      <c r="BR654" s="313">
        <f t="shared" si="261"/>
        <v>0</v>
      </c>
      <c r="BS654" s="308"/>
      <c r="BT654" s="309"/>
      <c r="BU654" s="310">
        <f t="shared" si="262"/>
        <v>0</v>
      </c>
      <c r="BV654" s="351"/>
      <c r="BW654" s="351"/>
      <c r="BX654" s="313">
        <f t="shared" si="263"/>
        <v>0</v>
      </c>
      <c r="BY654" s="290"/>
    </row>
    <row r="655" spans="1:77">
      <c r="A655" s="346" t="s">
        <v>408</v>
      </c>
      <c r="B655" s="347" t="s">
        <v>226</v>
      </c>
      <c r="C655" s="346">
        <v>408394</v>
      </c>
      <c r="D655" s="349">
        <v>10</v>
      </c>
      <c r="E655" s="308"/>
      <c r="F655" s="309"/>
      <c r="G655" s="310">
        <f t="shared" si="240"/>
        <v>0</v>
      </c>
      <c r="H655" s="350"/>
      <c r="I655" s="351"/>
      <c r="J655" s="313">
        <f t="shared" si="241"/>
        <v>0</v>
      </c>
      <c r="K655" s="308"/>
      <c r="L655" s="309"/>
      <c r="M655" s="310">
        <f t="shared" si="242"/>
        <v>0</v>
      </c>
      <c r="N655" s="350"/>
      <c r="O655" s="351"/>
      <c r="P655" s="313">
        <f t="shared" si="243"/>
        <v>0</v>
      </c>
      <c r="Q655" s="308"/>
      <c r="R655" s="309"/>
      <c r="S655" s="310">
        <f t="shared" si="244"/>
        <v>0</v>
      </c>
      <c r="T655" s="350"/>
      <c r="U655" s="351"/>
      <c r="V655" s="313">
        <f t="shared" si="245"/>
        <v>0</v>
      </c>
      <c r="W655" s="308"/>
      <c r="X655" s="309"/>
      <c r="Y655" s="310">
        <f t="shared" si="246"/>
        <v>0</v>
      </c>
      <c r="Z655" s="350">
        <v>1</v>
      </c>
      <c r="AA655" s="351">
        <v>34008</v>
      </c>
      <c r="AB655" s="313">
        <f t="shared" si="247"/>
        <v>34008</v>
      </c>
      <c r="AC655" s="308"/>
      <c r="AD655" s="309"/>
      <c r="AE655" s="310">
        <f t="shared" si="248"/>
        <v>0</v>
      </c>
      <c r="AF655" s="350"/>
      <c r="AG655" s="351"/>
      <c r="AH655" s="313">
        <f t="shared" si="249"/>
        <v>0</v>
      </c>
      <c r="AI655" s="308"/>
      <c r="AJ655" s="309"/>
      <c r="AK655" s="310">
        <f t="shared" si="250"/>
        <v>0</v>
      </c>
      <c r="AL655" s="350"/>
      <c r="AM655" s="351"/>
      <c r="AN655" s="313">
        <f t="shared" si="251"/>
        <v>0</v>
      </c>
      <c r="AO655" s="308"/>
      <c r="AP655" s="309"/>
      <c r="AQ655" s="310">
        <f t="shared" si="252"/>
        <v>0</v>
      </c>
      <c r="AR655" s="350"/>
      <c r="AS655" s="351"/>
      <c r="AT655" s="313">
        <f t="shared" si="253"/>
        <v>0</v>
      </c>
      <c r="AU655" s="308">
        <v>2</v>
      </c>
      <c r="AV655" s="309">
        <v>50718</v>
      </c>
      <c r="AW655" s="310">
        <f t="shared" si="254"/>
        <v>82994.935200000007</v>
      </c>
      <c r="AX655" s="350">
        <v>2</v>
      </c>
      <c r="AY655" s="351">
        <v>50718</v>
      </c>
      <c r="AZ655" s="313">
        <f t="shared" si="255"/>
        <v>82994.935200000007</v>
      </c>
      <c r="BA655" s="308"/>
      <c r="BB655" s="309"/>
      <c r="BC655" s="310">
        <f t="shared" si="256"/>
        <v>0</v>
      </c>
      <c r="BD655" s="350"/>
      <c r="BE655" s="351"/>
      <c r="BF655" s="313">
        <f t="shared" si="257"/>
        <v>0</v>
      </c>
      <c r="BG655" s="308">
        <v>30</v>
      </c>
      <c r="BH655" s="309">
        <v>46404</v>
      </c>
      <c r="BI655" s="310">
        <f t="shared" si="258"/>
        <v>1139032.584</v>
      </c>
      <c r="BJ655" s="350">
        <v>31</v>
      </c>
      <c r="BK655" s="351">
        <v>45343.774193548386</v>
      </c>
      <c r="BL655" s="313">
        <f t="shared" si="259"/>
        <v>1150108.5574</v>
      </c>
      <c r="BM655" s="308"/>
      <c r="BN655" s="309"/>
      <c r="BO655" s="310">
        <f t="shared" si="260"/>
        <v>0</v>
      </c>
      <c r="BP655" s="350"/>
      <c r="BQ655" s="351"/>
      <c r="BR655" s="313">
        <f t="shared" si="261"/>
        <v>0</v>
      </c>
      <c r="BS655" s="308"/>
      <c r="BT655" s="309"/>
      <c r="BU655" s="310">
        <f t="shared" si="262"/>
        <v>0</v>
      </c>
      <c r="BV655" s="350"/>
      <c r="BW655" s="351"/>
      <c r="BX655" s="313">
        <f t="shared" si="263"/>
        <v>0</v>
      </c>
      <c r="BY655" s="290"/>
    </row>
    <row r="656" spans="1:77">
      <c r="A656" s="346" t="s">
        <v>408</v>
      </c>
      <c r="B656" s="352" t="s">
        <v>227</v>
      </c>
      <c r="C656" s="348">
        <v>229328</v>
      </c>
      <c r="D656" s="349">
        <v>10</v>
      </c>
      <c r="E656" s="308"/>
      <c r="F656" s="309"/>
      <c r="G656" s="310">
        <f t="shared" si="240"/>
        <v>0</v>
      </c>
      <c r="H656" s="350"/>
      <c r="I656" s="351"/>
      <c r="J656" s="313">
        <f t="shared" si="241"/>
        <v>0</v>
      </c>
      <c r="K656" s="308"/>
      <c r="L656" s="309"/>
      <c r="M656" s="310">
        <f t="shared" si="242"/>
        <v>0</v>
      </c>
      <c r="N656" s="350"/>
      <c r="O656" s="351"/>
      <c r="P656" s="313">
        <f t="shared" si="243"/>
        <v>0</v>
      </c>
      <c r="Q656" s="308"/>
      <c r="R656" s="309"/>
      <c r="S656" s="310">
        <f t="shared" si="244"/>
        <v>0</v>
      </c>
      <c r="T656" s="350"/>
      <c r="U656" s="351"/>
      <c r="V656" s="313">
        <f t="shared" si="245"/>
        <v>0</v>
      </c>
      <c r="W656" s="308">
        <v>1</v>
      </c>
      <c r="X656" s="309">
        <v>31692</v>
      </c>
      <c r="Y656" s="310">
        <f t="shared" si="246"/>
        <v>31692</v>
      </c>
      <c r="Z656" s="350">
        <v>1</v>
      </c>
      <c r="AA656" s="351">
        <v>31692</v>
      </c>
      <c r="AB656" s="313">
        <f t="shared" si="247"/>
        <v>31692</v>
      </c>
      <c r="AC656" s="308"/>
      <c r="AD656" s="309"/>
      <c r="AE656" s="310">
        <f t="shared" si="248"/>
        <v>0</v>
      </c>
      <c r="AF656" s="350"/>
      <c r="AG656" s="351"/>
      <c r="AH656" s="313">
        <f t="shared" si="249"/>
        <v>0</v>
      </c>
      <c r="AI656" s="308"/>
      <c r="AJ656" s="309"/>
      <c r="AK656" s="310">
        <f t="shared" si="250"/>
        <v>0</v>
      </c>
      <c r="AL656" s="350"/>
      <c r="AM656" s="351"/>
      <c r="AN656" s="313">
        <f t="shared" si="251"/>
        <v>0</v>
      </c>
      <c r="AO656" s="308"/>
      <c r="AP656" s="309"/>
      <c r="AQ656" s="310">
        <f t="shared" si="252"/>
        <v>0</v>
      </c>
      <c r="AR656" s="350"/>
      <c r="AS656" s="351"/>
      <c r="AT656" s="313">
        <f t="shared" si="253"/>
        <v>0</v>
      </c>
      <c r="AU656" s="308">
        <v>7</v>
      </c>
      <c r="AV656" s="309">
        <v>57279</v>
      </c>
      <c r="AW656" s="310">
        <f t="shared" si="254"/>
        <v>328059.74460000003</v>
      </c>
      <c r="AX656" s="350">
        <v>5</v>
      </c>
      <c r="AY656" s="351">
        <v>51036</v>
      </c>
      <c r="AZ656" s="313">
        <f t="shared" si="255"/>
        <v>208788.27600000001</v>
      </c>
      <c r="BA656" s="308"/>
      <c r="BB656" s="309"/>
      <c r="BC656" s="310">
        <f t="shared" si="256"/>
        <v>0</v>
      </c>
      <c r="BD656" s="350"/>
      <c r="BE656" s="351"/>
      <c r="BF656" s="313">
        <f t="shared" si="257"/>
        <v>0</v>
      </c>
      <c r="BG656" s="308">
        <v>88</v>
      </c>
      <c r="BH656" s="309">
        <v>42900</v>
      </c>
      <c r="BI656" s="310">
        <f t="shared" si="258"/>
        <v>3088868.64</v>
      </c>
      <c r="BJ656" s="350">
        <v>88</v>
      </c>
      <c r="BK656" s="351">
        <v>42912.63636363636</v>
      </c>
      <c r="BL656" s="313">
        <f t="shared" si="259"/>
        <v>3089778.4783999999</v>
      </c>
      <c r="BM656" s="308"/>
      <c r="BN656" s="309"/>
      <c r="BO656" s="310">
        <f t="shared" si="260"/>
        <v>0</v>
      </c>
      <c r="BP656" s="350"/>
      <c r="BQ656" s="351"/>
      <c r="BR656" s="313">
        <f t="shared" si="261"/>
        <v>0</v>
      </c>
      <c r="BS656" s="308"/>
      <c r="BT656" s="309"/>
      <c r="BU656" s="310">
        <f t="shared" si="262"/>
        <v>0</v>
      </c>
      <c r="BV656" s="350"/>
      <c r="BW656" s="351"/>
      <c r="BX656" s="313">
        <f t="shared" si="263"/>
        <v>0</v>
      </c>
      <c r="BY656" s="290"/>
    </row>
    <row r="657" spans="1:77">
      <c r="A657" s="346" t="s">
        <v>408</v>
      </c>
      <c r="B657" s="347" t="s">
        <v>228</v>
      </c>
      <c r="C657" s="348">
        <v>229832</v>
      </c>
      <c r="D657" s="349">
        <v>10</v>
      </c>
      <c r="E657" s="308">
        <v>1</v>
      </c>
      <c r="F657" s="309">
        <v>57436</v>
      </c>
      <c r="G657" s="310">
        <f t="shared" si="240"/>
        <v>57436</v>
      </c>
      <c r="H657" s="350"/>
      <c r="I657" s="351"/>
      <c r="J657" s="313">
        <f t="shared" si="241"/>
        <v>0</v>
      </c>
      <c r="K657" s="308">
        <v>10</v>
      </c>
      <c r="L657" s="309">
        <v>43707</v>
      </c>
      <c r="M657" s="310">
        <f t="shared" si="242"/>
        <v>437070</v>
      </c>
      <c r="N657" s="350">
        <v>11</v>
      </c>
      <c r="O657" s="351">
        <v>48583.36363636364</v>
      </c>
      <c r="P657" s="313">
        <f t="shared" si="243"/>
        <v>534417</v>
      </c>
      <c r="Q657" s="308"/>
      <c r="R657" s="309"/>
      <c r="S657" s="310">
        <f t="shared" si="244"/>
        <v>0</v>
      </c>
      <c r="T657" s="350"/>
      <c r="U657" s="351"/>
      <c r="V657" s="313">
        <f t="shared" si="245"/>
        <v>0</v>
      </c>
      <c r="W657" s="308">
        <v>24</v>
      </c>
      <c r="X657" s="309">
        <v>36960</v>
      </c>
      <c r="Y657" s="310">
        <f t="shared" si="246"/>
        <v>887040</v>
      </c>
      <c r="Z657" s="350">
        <v>25</v>
      </c>
      <c r="AA657" s="351">
        <v>39795.96</v>
      </c>
      <c r="AB657" s="313">
        <f t="shared" si="247"/>
        <v>994899</v>
      </c>
      <c r="AC657" s="308"/>
      <c r="AD657" s="309"/>
      <c r="AE657" s="310">
        <f t="shared" si="248"/>
        <v>0</v>
      </c>
      <c r="AF657" s="350"/>
      <c r="AG657" s="351"/>
      <c r="AH657" s="313">
        <f t="shared" si="249"/>
        <v>0</v>
      </c>
      <c r="AI657" s="308"/>
      <c r="AJ657" s="309"/>
      <c r="AK657" s="310">
        <f t="shared" si="250"/>
        <v>0</v>
      </c>
      <c r="AL657" s="350"/>
      <c r="AM657" s="351"/>
      <c r="AN657" s="313">
        <f t="shared" si="251"/>
        <v>0</v>
      </c>
      <c r="AO657" s="308"/>
      <c r="AP657" s="309"/>
      <c r="AQ657" s="310">
        <f t="shared" si="252"/>
        <v>0</v>
      </c>
      <c r="AR657" s="350"/>
      <c r="AS657" s="351"/>
      <c r="AT657" s="313">
        <f t="shared" si="253"/>
        <v>0</v>
      </c>
      <c r="AU657" s="308">
        <v>2</v>
      </c>
      <c r="AV657" s="309">
        <v>52615</v>
      </c>
      <c r="AW657" s="310">
        <f t="shared" si="254"/>
        <v>86099.186000000002</v>
      </c>
      <c r="AX657" s="350">
        <v>3</v>
      </c>
      <c r="AY657" s="351">
        <v>62826.666666666664</v>
      </c>
      <c r="AZ657" s="313">
        <f t="shared" si="255"/>
        <v>154214.33600000001</v>
      </c>
      <c r="BA657" s="308"/>
      <c r="BB657" s="309"/>
      <c r="BC657" s="310">
        <f t="shared" si="256"/>
        <v>0</v>
      </c>
      <c r="BD657" s="350"/>
      <c r="BE657" s="351"/>
      <c r="BF657" s="313">
        <f t="shared" si="257"/>
        <v>0</v>
      </c>
      <c r="BG657" s="308">
        <v>8</v>
      </c>
      <c r="BH657" s="309">
        <v>48251</v>
      </c>
      <c r="BI657" s="310">
        <f t="shared" si="258"/>
        <v>315831.74560000002</v>
      </c>
      <c r="BJ657" s="350">
        <v>9</v>
      </c>
      <c r="BK657" s="351">
        <v>59705.444444444445</v>
      </c>
      <c r="BL657" s="313">
        <f t="shared" si="259"/>
        <v>439658.95180000004</v>
      </c>
      <c r="BM657" s="308"/>
      <c r="BN657" s="309"/>
      <c r="BO657" s="310">
        <f t="shared" si="260"/>
        <v>0</v>
      </c>
      <c r="BP657" s="350"/>
      <c r="BQ657" s="351"/>
      <c r="BR657" s="313">
        <f t="shared" si="261"/>
        <v>0</v>
      </c>
      <c r="BS657" s="308"/>
      <c r="BT657" s="309"/>
      <c r="BU657" s="310">
        <f t="shared" si="262"/>
        <v>0</v>
      </c>
      <c r="BV657" s="350"/>
      <c r="BW657" s="351"/>
      <c r="BX657" s="313">
        <f t="shared" si="263"/>
        <v>0</v>
      </c>
      <c r="BY657" s="290"/>
    </row>
    <row r="658" spans="1:77">
      <c r="A658" s="354" t="s">
        <v>447</v>
      </c>
      <c r="B658" s="436" t="s">
        <v>692</v>
      </c>
      <c r="C658" s="437">
        <v>232186</v>
      </c>
      <c r="D658" s="438">
        <v>1</v>
      </c>
      <c r="E658" s="308">
        <v>293</v>
      </c>
      <c r="F658" s="309">
        <v>125484</v>
      </c>
      <c r="G658" s="310">
        <f t="shared" si="240"/>
        <v>36766812</v>
      </c>
      <c r="H658" s="311">
        <v>295</v>
      </c>
      <c r="I658" s="312">
        <v>123650</v>
      </c>
      <c r="J658" s="313">
        <f t="shared" si="241"/>
        <v>36476750</v>
      </c>
      <c r="K658" s="308">
        <v>319</v>
      </c>
      <c r="L658" s="309">
        <v>83276</v>
      </c>
      <c r="M658" s="310">
        <f t="shared" si="242"/>
        <v>26565044</v>
      </c>
      <c r="N658" s="311">
        <v>330</v>
      </c>
      <c r="O658" s="312">
        <v>84101</v>
      </c>
      <c r="P658" s="313">
        <f t="shared" si="243"/>
        <v>27753330</v>
      </c>
      <c r="Q658" s="308">
        <v>342</v>
      </c>
      <c r="R658" s="309">
        <v>69119</v>
      </c>
      <c r="S658" s="310">
        <f t="shared" si="244"/>
        <v>23638698</v>
      </c>
      <c r="T658" s="311">
        <v>372</v>
      </c>
      <c r="U658" s="312">
        <v>69406</v>
      </c>
      <c r="V658" s="313">
        <f t="shared" si="245"/>
        <v>25819032</v>
      </c>
      <c r="W658" s="308">
        <v>76</v>
      </c>
      <c r="X658" s="309">
        <v>56241</v>
      </c>
      <c r="Y658" s="310">
        <f t="shared" si="246"/>
        <v>4274316</v>
      </c>
      <c r="Z658" s="311">
        <v>72</v>
      </c>
      <c r="AA658" s="312">
        <v>56700</v>
      </c>
      <c r="AB658" s="313">
        <f t="shared" si="247"/>
        <v>4082400</v>
      </c>
      <c r="AC658" s="308"/>
      <c r="AD658" s="309"/>
      <c r="AE658" s="310">
        <f t="shared" si="248"/>
        <v>0</v>
      </c>
      <c r="AF658" s="311"/>
      <c r="AG658" s="312"/>
      <c r="AH658" s="313">
        <f t="shared" si="249"/>
        <v>0</v>
      </c>
      <c r="AI658" s="308"/>
      <c r="AJ658" s="309"/>
      <c r="AK658" s="310">
        <f t="shared" si="250"/>
        <v>0</v>
      </c>
      <c r="AL658" s="311"/>
      <c r="AM658" s="312"/>
      <c r="AN658" s="313">
        <f t="shared" si="251"/>
        <v>0</v>
      </c>
      <c r="AO658" s="308">
        <v>23</v>
      </c>
      <c r="AP658" s="309">
        <v>174249</v>
      </c>
      <c r="AQ658" s="310">
        <f t="shared" si="252"/>
        <v>3279122.2313999999</v>
      </c>
      <c r="AR658" s="311">
        <v>23</v>
      </c>
      <c r="AS658" s="312">
        <v>172147</v>
      </c>
      <c r="AT658" s="313">
        <f t="shared" si="253"/>
        <v>3239565.5342000001</v>
      </c>
      <c r="AU658" s="308">
        <v>21</v>
      </c>
      <c r="AV658" s="309">
        <v>95313</v>
      </c>
      <c r="AW658" s="310">
        <f t="shared" si="254"/>
        <v>1637687.0286000001</v>
      </c>
      <c r="AX658" s="311">
        <v>17</v>
      </c>
      <c r="AY658" s="312">
        <v>92809</v>
      </c>
      <c r="AZ658" s="313">
        <f t="shared" si="255"/>
        <v>1290917.5046000001</v>
      </c>
      <c r="BA658" s="308">
        <v>20</v>
      </c>
      <c r="BB658" s="309">
        <v>79295</v>
      </c>
      <c r="BC658" s="310">
        <f t="shared" si="256"/>
        <v>1297583.3800000001</v>
      </c>
      <c r="BD658" s="311">
        <v>15</v>
      </c>
      <c r="BE658" s="312">
        <v>85360</v>
      </c>
      <c r="BF658" s="313">
        <f t="shared" si="257"/>
        <v>1047623.28</v>
      </c>
      <c r="BG658" s="308">
        <v>10</v>
      </c>
      <c r="BH658" s="309">
        <v>63110</v>
      </c>
      <c r="BI658" s="310">
        <f t="shared" si="258"/>
        <v>516366.02</v>
      </c>
      <c r="BJ658" s="311">
        <v>10</v>
      </c>
      <c r="BK658" s="312">
        <v>69700</v>
      </c>
      <c r="BL658" s="313">
        <f t="shared" si="259"/>
        <v>570285.4</v>
      </c>
      <c r="BM658" s="308"/>
      <c r="BN658" s="309"/>
      <c r="BO658" s="310">
        <f t="shared" si="260"/>
        <v>0</v>
      </c>
      <c r="BP658" s="311"/>
      <c r="BQ658" s="312"/>
      <c r="BR658" s="313">
        <f t="shared" si="261"/>
        <v>0</v>
      </c>
      <c r="BS658" s="308"/>
      <c r="BT658" s="309"/>
      <c r="BU658" s="310">
        <f t="shared" si="262"/>
        <v>0</v>
      </c>
      <c r="BV658" s="311"/>
      <c r="BW658" s="312"/>
      <c r="BX658" s="313">
        <f t="shared" si="263"/>
        <v>0</v>
      </c>
      <c r="BY658" s="290"/>
    </row>
    <row r="659" spans="1:77">
      <c r="A659" s="354" t="s">
        <v>447</v>
      </c>
      <c r="B659" s="355" t="s">
        <v>689</v>
      </c>
      <c r="C659" s="354">
        <v>234076</v>
      </c>
      <c r="D659" s="356">
        <v>1</v>
      </c>
      <c r="E659" s="308">
        <v>363</v>
      </c>
      <c r="F659" s="309">
        <v>129215</v>
      </c>
      <c r="G659" s="310">
        <f t="shared" si="240"/>
        <v>46905045</v>
      </c>
      <c r="H659" s="311">
        <v>372</v>
      </c>
      <c r="I659" s="312">
        <v>131495</v>
      </c>
      <c r="J659" s="313">
        <f t="shared" si="241"/>
        <v>48916140</v>
      </c>
      <c r="K659" s="308">
        <v>257</v>
      </c>
      <c r="L659" s="309">
        <v>91552</v>
      </c>
      <c r="M659" s="310">
        <f t="shared" si="242"/>
        <v>23528864</v>
      </c>
      <c r="N659" s="311">
        <v>253</v>
      </c>
      <c r="O659" s="312">
        <v>93046</v>
      </c>
      <c r="P659" s="313">
        <f t="shared" si="243"/>
        <v>23540638</v>
      </c>
      <c r="Q659" s="308">
        <v>191</v>
      </c>
      <c r="R659" s="309">
        <v>75213</v>
      </c>
      <c r="S659" s="310">
        <f t="shared" si="244"/>
        <v>14365683</v>
      </c>
      <c r="T659" s="311">
        <v>211</v>
      </c>
      <c r="U659" s="312">
        <v>75613</v>
      </c>
      <c r="V659" s="313">
        <f t="shared" si="245"/>
        <v>15954343</v>
      </c>
      <c r="W659" s="308">
        <v>14</v>
      </c>
      <c r="X659" s="309">
        <v>52929</v>
      </c>
      <c r="Y659" s="310">
        <f t="shared" si="246"/>
        <v>741006</v>
      </c>
      <c r="Z659" s="311">
        <v>11</v>
      </c>
      <c r="AA659" s="312">
        <v>54909</v>
      </c>
      <c r="AB659" s="313">
        <f t="shared" si="247"/>
        <v>603999</v>
      </c>
      <c r="AC659" s="308">
        <v>57</v>
      </c>
      <c r="AD659" s="309">
        <v>51430</v>
      </c>
      <c r="AE659" s="310">
        <f t="shared" si="248"/>
        <v>2931510</v>
      </c>
      <c r="AF659" s="311">
        <v>57</v>
      </c>
      <c r="AG659" s="312">
        <v>50563</v>
      </c>
      <c r="AH659" s="313">
        <f t="shared" si="249"/>
        <v>2882091</v>
      </c>
      <c r="AI659" s="308"/>
      <c r="AJ659" s="309"/>
      <c r="AK659" s="310">
        <f t="shared" si="250"/>
        <v>0</v>
      </c>
      <c r="AL659" s="311"/>
      <c r="AM659" s="312"/>
      <c r="AN659" s="313">
        <f t="shared" si="251"/>
        <v>0</v>
      </c>
      <c r="AO659" s="308">
        <v>147</v>
      </c>
      <c r="AP659" s="309">
        <v>175419</v>
      </c>
      <c r="AQ659" s="310">
        <f t="shared" si="252"/>
        <v>21098590.3926</v>
      </c>
      <c r="AR659" s="311">
        <v>134</v>
      </c>
      <c r="AS659" s="312">
        <v>173011</v>
      </c>
      <c r="AT659" s="313">
        <f t="shared" si="253"/>
        <v>18968718.426800001</v>
      </c>
      <c r="AU659" s="308">
        <v>61</v>
      </c>
      <c r="AV659" s="309">
        <v>110256</v>
      </c>
      <c r="AW659" s="310">
        <f t="shared" si="254"/>
        <v>5502899.0112000005</v>
      </c>
      <c r="AX659" s="311">
        <v>71</v>
      </c>
      <c r="AY659" s="312">
        <v>108623</v>
      </c>
      <c r="AZ659" s="313">
        <f t="shared" si="255"/>
        <v>6310149.0405999999</v>
      </c>
      <c r="BA659" s="308">
        <v>59</v>
      </c>
      <c r="BB659" s="309">
        <v>88475</v>
      </c>
      <c r="BC659" s="310">
        <f t="shared" si="256"/>
        <v>4271024.4550000001</v>
      </c>
      <c r="BD659" s="311">
        <v>52</v>
      </c>
      <c r="BE659" s="312">
        <v>90219</v>
      </c>
      <c r="BF659" s="313">
        <f t="shared" si="257"/>
        <v>3838493.6616000002</v>
      </c>
      <c r="BG659" s="308"/>
      <c r="BH659" s="309"/>
      <c r="BI659" s="310">
        <f t="shared" si="258"/>
        <v>0</v>
      </c>
      <c r="BJ659" s="311">
        <v>1</v>
      </c>
      <c r="BK659" s="312">
        <v>60000</v>
      </c>
      <c r="BL659" s="313">
        <f t="shared" si="259"/>
        <v>49092</v>
      </c>
      <c r="BM659" s="308">
        <v>23</v>
      </c>
      <c r="BN659" s="309">
        <v>73317</v>
      </c>
      <c r="BO659" s="310">
        <f t="shared" si="260"/>
        <v>1379723.2962</v>
      </c>
      <c r="BP659" s="311">
        <v>24</v>
      </c>
      <c r="BQ659" s="312">
        <v>71751</v>
      </c>
      <c r="BR659" s="313">
        <f t="shared" si="261"/>
        <v>1408960.0368000001</v>
      </c>
      <c r="BS659" s="308"/>
      <c r="BT659" s="309"/>
      <c r="BU659" s="310">
        <f t="shared" si="262"/>
        <v>0</v>
      </c>
      <c r="BV659" s="311"/>
      <c r="BW659" s="312"/>
      <c r="BX659" s="313">
        <f t="shared" si="263"/>
        <v>0</v>
      </c>
      <c r="BY659" s="290"/>
    </row>
    <row r="660" spans="1:77">
      <c r="A660" s="354" t="s">
        <v>447</v>
      </c>
      <c r="B660" s="355" t="s">
        <v>690</v>
      </c>
      <c r="C660" s="354">
        <v>233921</v>
      </c>
      <c r="D660" s="356">
        <v>1</v>
      </c>
      <c r="E660" s="308">
        <v>333</v>
      </c>
      <c r="F660" s="309">
        <v>112673</v>
      </c>
      <c r="G660" s="310">
        <f t="shared" si="240"/>
        <v>37520109</v>
      </c>
      <c r="H660" s="311">
        <v>326</v>
      </c>
      <c r="I660" s="312">
        <v>113100</v>
      </c>
      <c r="J660" s="313">
        <f t="shared" si="241"/>
        <v>36870600</v>
      </c>
      <c r="K660" s="308">
        <v>327</v>
      </c>
      <c r="L660" s="309">
        <v>82961</v>
      </c>
      <c r="M660" s="310">
        <f t="shared" si="242"/>
        <v>27128247</v>
      </c>
      <c r="N660" s="311">
        <v>327</v>
      </c>
      <c r="O660" s="312">
        <v>84935</v>
      </c>
      <c r="P660" s="313">
        <f t="shared" si="243"/>
        <v>27773745</v>
      </c>
      <c r="Q660" s="308">
        <v>265</v>
      </c>
      <c r="R660" s="309">
        <v>68562</v>
      </c>
      <c r="S660" s="310">
        <f t="shared" si="244"/>
        <v>18168930</v>
      </c>
      <c r="T660" s="311">
        <v>289</v>
      </c>
      <c r="U660" s="312">
        <v>70767</v>
      </c>
      <c r="V660" s="313">
        <f t="shared" si="245"/>
        <v>20451663</v>
      </c>
      <c r="W660" s="308">
        <v>135</v>
      </c>
      <c r="X660" s="309">
        <v>43160</v>
      </c>
      <c r="Y660" s="310">
        <f t="shared" si="246"/>
        <v>5826600</v>
      </c>
      <c r="Z660" s="311">
        <v>136</v>
      </c>
      <c r="AA660" s="312">
        <v>45062</v>
      </c>
      <c r="AB660" s="313">
        <f t="shared" si="247"/>
        <v>6128432</v>
      </c>
      <c r="AC660" s="308"/>
      <c r="AD660" s="309"/>
      <c r="AE660" s="310">
        <f t="shared" si="248"/>
        <v>0</v>
      </c>
      <c r="AF660" s="311">
        <v>10</v>
      </c>
      <c r="AG660" s="312"/>
      <c r="AH660" s="313">
        <f t="shared" si="249"/>
        <v>0</v>
      </c>
      <c r="AI660" s="308"/>
      <c r="AJ660" s="309"/>
      <c r="AK660" s="310">
        <f t="shared" si="250"/>
        <v>0</v>
      </c>
      <c r="AL660" s="311"/>
      <c r="AM660" s="312"/>
      <c r="AN660" s="313">
        <f t="shared" si="251"/>
        <v>0</v>
      </c>
      <c r="AO660" s="308">
        <v>162</v>
      </c>
      <c r="AP660" s="309">
        <v>150857</v>
      </c>
      <c r="AQ660" s="310">
        <f t="shared" si="252"/>
        <v>19995853.978800002</v>
      </c>
      <c r="AR660" s="311">
        <v>153</v>
      </c>
      <c r="AS660" s="312">
        <v>152237</v>
      </c>
      <c r="AT660" s="313">
        <f t="shared" si="253"/>
        <v>19057727.950200003</v>
      </c>
      <c r="AU660" s="308">
        <v>95</v>
      </c>
      <c r="AV660" s="309">
        <v>101838</v>
      </c>
      <c r="AW660" s="310">
        <f t="shared" si="254"/>
        <v>7915765.9020000007</v>
      </c>
      <c r="AX660" s="311">
        <v>86</v>
      </c>
      <c r="AY660" s="312">
        <v>101607</v>
      </c>
      <c r="AZ660" s="313">
        <f t="shared" si="255"/>
        <v>7149596.8764000004</v>
      </c>
      <c r="BA660" s="308">
        <v>31</v>
      </c>
      <c r="BB660" s="309">
        <v>78601</v>
      </c>
      <c r="BC660" s="310">
        <f t="shared" si="256"/>
        <v>1993651.4842000001</v>
      </c>
      <c r="BD660" s="311">
        <v>26</v>
      </c>
      <c r="BE660" s="312">
        <v>81095</v>
      </c>
      <c r="BF660" s="313">
        <f t="shared" si="257"/>
        <v>1725150.1540000001</v>
      </c>
      <c r="BG660" s="308">
        <v>18</v>
      </c>
      <c r="BH660" s="309">
        <v>58321</v>
      </c>
      <c r="BI660" s="310">
        <f t="shared" si="258"/>
        <v>858928.35960000008</v>
      </c>
      <c r="BJ660" s="311">
        <v>21</v>
      </c>
      <c r="BK660" s="312">
        <v>59297</v>
      </c>
      <c r="BL660" s="313">
        <f t="shared" si="259"/>
        <v>1018852.9134000001</v>
      </c>
      <c r="BM660" s="308">
        <v>5</v>
      </c>
      <c r="BN660" s="309">
        <v>62491</v>
      </c>
      <c r="BO660" s="310">
        <f t="shared" si="260"/>
        <v>255650.68100000001</v>
      </c>
      <c r="BP660" s="311">
        <v>5</v>
      </c>
      <c r="BQ660" s="312">
        <v>62491</v>
      </c>
      <c r="BR660" s="313">
        <f t="shared" si="261"/>
        <v>255650.68100000001</v>
      </c>
      <c r="BS660" s="308"/>
      <c r="BT660" s="309"/>
      <c r="BU660" s="310">
        <f t="shared" si="262"/>
        <v>0</v>
      </c>
      <c r="BV660" s="311"/>
      <c r="BW660" s="312"/>
      <c r="BX660" s="313">
        <f t="shared" si="263"/>
        <v>0</v>
      </c>
      <c r="BY660" s="290"/>
    </row>
    <row r="661" spans="1:77">
      <c r="A661" s="354" t="s">
        <v>447</v>
      </c>
      <c r="B661" s="355" t="s">
        <v>691</v>
      </c>
      <c r="C661" s="354">
        <v>231624</v>
      </c>
      <c r="D661" s="356">
        <v>2</v>
      </c>
      <c r="E661" s="308">
        <v>174</v>
      </c>
      <c r="F661" s="309">
        <v>121716</v>
      </c>
      <c r="G661" s="310">
        <f t="shared" si="240"/>
        <v>21178584</v>
      </c>
      <c r="H661" s="311">
        <v>184</v>
      </c>
      <c r="I661" s="312">
        <v>118982</v>
      </c>
      <c r="J661" s="313">
        <f t="shared" si="241"/>
        <v>21892688</v>
      </c>
      <c r="K661" s="308">
        <v>174</v>
      </c>
      <c r="L661" s="309">
        <v>84991</v>
      </c>
      <c r="M661" s="310">
        <f t="shared" si="242"/>
        <v>14788434</v>
      </c>
      <c r="N661" s="311">
        <v>173</v>
      </c>
      <c r="O661" s="312">
        <v>84677</v>
      </c>
      <c r="P661" s="313">
        <f t="shared" si="243"/>
        <v>14649121</v>
      </c>
      <c r="Q661" s="308">
        <v>148</v>
      </c>
      <c r="R661" s="309">
        <v>65671</v>
      </c>
      <c r="S661" s="310">
        <f t="shared" si="244"/>
        <v>9719308</v>
      </c>
      <c r="T661" s="311">
        <v>147</v>
      </c>
      <c r="U661" s="312">
        <v>67718</v>
      </c>
      <c r="V661" s="313">
        <f t="shared" si="245"/>
        <v>9954546</v>
      </c>
      <c r="W661" s="308">
        <v>40</v>
      </c>
      <c r="X661" s="309">
        <v>46328</v>
      </c>
      <c r="Y661" s="310">
        <f t="shared" si="246"/>
        <v>1853120</v>
      </c>
      <c r="Z661" s="311">
        <v>35</v>
      </c>
      <c r="AA661" s="312">
        <v>45323</v>
      </c>
      <c r="AB661" s="313">
        <f t="shared" si="247"/>
        <v>1586305</v>
      </c>
      <c r="AC661" s="308">
        <v>10</v>
      </c>
      <c r="AD661" s="309">
        <v>52910</v>
      </c>
      <c r="AE661" s="310">
        <f t="shared" si="248"/>
        <v>529100</v>
      </c>
      <c r="AF661" s="311"/>
      <c r="AG661" s="312">
        <v>54970</v>
      </c>
      <c r="AH661" s="313">
        <f t="shared" si="249"/>
        <v>0</v>
      </c>
      <c r="AI661" s="308"/>
      <c r="AJ661" s="309"/>
      <c r="AK661" s="310">
        <f t="shared" si="250"/>
        <v>0</v>
      </c>
      <c r="AL661" s="311"/>
      <c r="AM661" s="312"/>
      <c r="AN661" s="313">
        <f t="shared" si="251"/>
        <v>0</v>
      </c>
      <c r="AO661" s="308">
        <v>33</v>
      </c>
      <c r="AP661" s="309">
        <v>128261</v>
      </c>
      <c r="AQ661" s="310">
        <f t="shared" si="252"/>
        <v>3463123.9566000002</v>
      </c>
      <c r="AR661" s="311">
        <v>35</v>
      </c>
      <c r="AS661" s="312">
        <v>125411</v>
      </c>
      <c r="AT661" s="313">
        <f t="shared" si="253"/>
        <v>3591394.807</v>
      </c>
      <c r="AU661" s="308">
        <v>13</v>
      </c>
      <c r="AV661" s="309">
        <v>95238</v>
      </c>
      <c r="AW661" s="310">
        <f t="shared" si="254"/>
        <v>1013008.5108</v>
      </c>
      <c r="AX661" s="311">
        <v>11</v>
      </c>
      <c r="AY661" s="312">
        <v>91455</v>
      </c>
      <c r="AZ661" s="313">
        <f t="shared" si="255"/>
        <v>823113.29100000008</v>
      </c>
      <c r="BA661" s="308">
        <v>8</v>
      </c>
      <c r="BB661" s="309">
        <v>64988</v>
      </c>
      <c r="BC661" s="310">
        <f t="shared" si="256"/>
        <v>425385.45280000003</v>
      </c>
      <c r="BD661" s="311">
        <v>6</v>
      </c>
      <c r="BE661" s="312">
        <v>65583</v>
      </c>
      <c r="BF661" s="313">
        <f t="shared" si="257"/>
        <v>321960.06359999999</v>
      </c>
      <c r="BG661" s="308">
        <v>1</v>
      </c>
      <c r="BH661" s="309">
        <v>40000</v>
      </c>
      <c r="BI661" s="310">
        <f t="shared" si="258"/>
        <v>32728</v>
      </c>
      <c r="BJ661" s="311"/>
      <c r="BK661" s="312"/>
      <c r="BL661" s="313">
        <f t="shared" si="259"/>
        <v>0</v>
      </c>
      <c r="BM661" s="308">
        <v>1</v>
      </c>
      <c r="BN661" s="309">
        <v>40000</v>
      </c>
      <c r="BO661" s="310">
        <f t="shared" si="260"/>
        <v>32728</v>
      </c>
      <c r="BP661" s="311"/>
      <c r="BQ661" s="312"/>
      <c r="BR661" s="313">
        <f t="shared" si="261"/>
        <v>0</v>
      </c>
      <c r="BS661" s="308"/>
      <c r="BT661" s="309"/>
      <c r="BU661" s="310">
        <f t="shared" si="262"/>
        <v>0</v>
      </c>
      <c r="BV661" s="311"/>
      <c r="BW661" s="312"/>
      <c r="BX661" s="313">
        <f t="shared" si="263"/>
        <v>0</v>
      </c>
      <c r="BY661" s="290"/>
    </row>
    <row r="662" spans="1:77">
      <c r="A662" s="354" t="s">
        <v>447</v>
      </c>
      <c r="B662" s="357" t="s">
        <v>693</v>
      </c>
      <c r="C662" s="354">
        <v>232982</v>
      </c>
      <c r="D662" s="356">
        <v>2</v>
      </c>
      <c r="E662" s="308">
        <v>137</v>
      </c>
      <c r="F662" s="309">
        <v>97813</v>
      </c>
      <c r="G662" s="310">
        <f t="shared" si="240"/>
        <v>13400381</v>
      </c>
      <c r="H662" s="311">
        <v>130</v>
      </c>
      <c r="I662" s="312">
        <v>101691</v>
      </c>
      <c r="J662" s="313">
        <f t="shared" si="241"/>
        <v>13219830</v>
      </c>
      <c r="K662" s="308">
        <v>177</v>
      </c>
      <c r="L662" s="309">
        <v>70453</v>
      </c>
      <c r="M662" s="310">
        <f t="shared" si="242"/>
        <v>12470181</v>
      </c>
      <c r="N662" s="311">
        <v>170</v>
      </c>
      <c r="O662" s="312">
        <v>73771</v>
      </c>
      <c r="P662" s="313">
        <f t="shared" si="243"/>
        <v>12541070</v>
      </c>
      <c r="Q662" s="308">
        <v>134</v>
      </c>
      <c r="R662" s="309">
        <v>61346</v>
      </c>
      <c r="S662" s="310">
        <f t="shared" si="244"/>
        <v>8220364</v>
      </c>
      <c r="T662" s="311">
        <v>151</v>
      </c>
      <c r="U662" s="312">
        <v>63472</v>
      </c>
      <c r="V662" s="313">
        <f t="shared" si="245"/>
        <v>9584272</v>
      </c>
      <c r="W662" s="308">
        <v>46</v>
      </c>
      <c r="X662" s="309">
        <v>42799</v>
      </c>
      <c r="Y662" s="310">
        <f t="shared" si="246"/>
        <v>1968754</v>
      </c>
      <c r="Z662" s="311">
        <v>28</v>
      </c>
      <c r="AA662" s="312">
        <v>43845</v>
      </c>
      <c r="AB662" s="313">
        <f t="shared" si="247"/>
        <v>1227660</v>
      </c>
      <c r="AC662" s="308">
        <v>86</v>
      </c>
      <c r="AD662" s="309">
        <v>48571</v>
      </c>
      <c r="AE662" s="310">
        <f t="shared" si="248"/>
        <v>4177106</v>
      </c>
      <c r="AF662" s="311">
        <v>111</v>
      </c>
      <c r="AG662" s="312">
        <v>49814</v>
      </c>
      <c r="AH662" s="313">
        <f t="shared" si="249"/>
        <v>5529354</v>
      </c>
      <c r="AI662" s="308"/>
      <c r="AJ662" s="309"/>
      <c r="AK662" s="310">
        <f t="shared" si="250"/>
        <v>0</v>
      </c>
      <c r="AL662" s="311"/>
      <c r="AM662" s="312"/>
      <c r="AN662" s="313">
        <f t="shared" si="251"/>
        <v>0</v>
      </c>
      <c r="AO662" s="308">
        <v>56</v>
      </c>
      <c r="AP662" s="309">
        <v>124380</v>
      </c>
      <c r="AQ662" s="310">
        <f t="shared" si="252"/>
        <v>5698992.0959999999</v>
      </c>
      <c r="AR662" s="311">
        <v>53</v>
      </c>
      <c r="AS662" s="312">
        <v>128239</v>
      </c>
      <c r="AT662" s="313">
        <f t="shared" si="253"/>
        <v>5561032.9394000005</v>
      </c>
      <c r="AU662" s="308">
        <v>26</v>
      </c>
      <c r="AV662" s="309">
        <v>91674</v>
      </c>
      <c r="AW662" s="310">
        <f t="shared" si="254"/>
        <v>1950199.3368000002</v>
      </c>
      <c r="AX662" s="311">
        <v>26</v>
      </c>
      <c r="AY662" s="312">
        <v>95323</v>
      </c>
      <c r="AZ662" s="313">
        <f t="shared" si="255"/>
        <v>2027825.2436000002</v>
      </c>
      <c r="BA662" s="308">
        <v>4</v>
      </c>
      <c r="BB662" s="309">
        <v>68869</v>
      </c>
      <c r="BC662" s="310">
        <f t="shared" si="256"/>
        <v>225394.4632</v>
      </c>
      <c r="BD662" s="311">
        <v>7</v>
      </c>
      <c r="BE662" s="312">
        <v>82708</v>
      </c>
      <c r="BF662" s="313">
        <f t="shared" si="257"/>
        <v>473701.79920000001</v>
      </c>
      <c r="BG662" s="308">
        <v>2</v>
      </c>
      <c r="BH662" s="309">
        <v>55773</v>
      </c>
      <c r="BI662" s="310">
        <f t="shared" si="258"/>
        <v>91266.9372</v>
      </c>
      <c r="BJ662" s="311">
        <v>1</v>
      </c>
      <c r="BK662" s="312">
        <v>63654</v>
      </c>
      <c r="BL662" s="313">
        <f t="shared" si="259"/>
        <v>52081.702799999999</v>
      </c>
      <c r="BM662" s="308">
        <v>18</v>
      </c>
      <c r="BN662" s="309">
        <v>51891</v>
      </c>
      <c r="BO662" s="310">
        <f t="shared" si="260"/>
        <v>764229.89160000009</v>
      </c>
      <c r="BP662" s="311">
        <v>20</v>
      </c>
      <c r="BQ662" s="312">
        <v>55693</v>
      </c>
      <c r="BR662" s="313">
        <f t="shared" si="261"/>
        <v>911360.25200000009</v>
      </c>
      <c r="BS662" s="308"/>
      <c r="BT662" s="309"/>
      <c r="BU662" s="310">
        <f t="shared" si="262"/>
        <v>0</v>
      </c>
      <c r="BV662" s="311"/>
      <c r="BW662" s="312"/>
      <c r="BX662" s="313">
        <f t="shared" si="263"/>
        <v>0</v>
      </c>
      <c r="BY662" s="290"/>
    </row>
    <row r="663" spans="1:77">
      <c r="A663" s="354" t="s">
        <v>447</v>
      </c>
      <c r="B663" s="355" t="s">
        <v>694</v>
      </c>
      <c r="C663" s="354">
        <v>234030</v>
      </c>
      <c r="D663" s="356">
        <v>2</v>
      </c>
      <c r="E663" s="308">
        <v>126</v>
      </c>
      <c r="F663" s="309">
        <v>103331</v>
      </c>
      <c r="G663" s="310">
        <f t="shared" si="240"/>
        <v>13019706</v>
      </c>
      <c r="H663" s="311">
        <v>131</v>
      </c>
      <c r="I663" s="312">
        <v>104475</v>
      </c>
      <c r="J663" s="313">
        <f t="shared" si="241"/>
        <v>13686225</v>
      </c>
      <c r="K663" s="308">
        <v>218</v>
      </c>
      <c r="L663" s="309">
        <v>79467</v>
      </c>
      <c r="M663" s="310">
        <f t="shared" si="242"/>
        <v>17323806</v>
      </c>
      <c r="N663" s="311">
        <v>215</v>
      </c>
      <c r="O663" s="312">
        <v>80009</v>
      </c>
      <c r="P663" s="313">
        <f t="shared" si="243"/>
        <v>17201935</v>
      </c>
      <c r="Q663" s="308">
        <v>217</v>
      </c>
      <c r="R663" s="309">
        <v>60522</v>
      </c>
      <c r="S663" s="310">
        <f t="shared" si="244"/>
        <v>13133274</v>
      </c>
      <c r="T663" s="311">
        <v>223</v>
      </c>
      <c r="U663" s="312">
        <v>60845</v>
      </c>
      <c r="V663" s="313">
        <f t="shared" si="245"/>
        <v>13568435</v>
      </c>
      <c r="W663" s="308">
        <v>90</v>
      </c>
      <c r="X663" s="309">
        <v>45243</v>
      </c>
      <c r="Y663" s="310">
        <f t="shared" si="246"/>
        <v>4071870</v>
      </c>
      <c r="Z663" s="311">
        <v>95</v>
      </c>
      <c r="AA663" s="312">
        <v>45022</v>
      </c>
      <c r="AB663" s="313">
        <f t="shared" si="247"/>
        <v>4277090</v>
      </c>
      <c r="AC663" s="308"/>
      <c r="AD663" s="309"/>
      <c r="AE663" s="310">
        <f t="shared" si="248"/>
        <v>0</v>
      </c>
      <c r="AF663" s="311"/>
      <c r="AG663" s="312"/>
      <c r="AH663" s="313">
        <f t="shared" si="249"/>
        <v>0</v>
      </c>
      <c r="AI663" s="308"/>
      <c r="AJ663" s="309"/>
      <c r="AK663" s="310">
        <f t="shared" si="250"/>
        <v>0</v>
      </c>
      <c r="AL663" s="311"/>
      <c r="AM663" s="312"/>
      <c r="AN663" s="313">
        <f t="shared" si="251"/>
        <v>0</v>
      </c>
      <c r="AO663" s="308">
        <v>84</v>
      </c>
      <c r="AP663" s="309">
        <v>137476</v>
      </c>
      <c r="AQ663" s="310">
        <f t="shared" si="252"/>
        <v>9448560.5088</v>
      </c>
      <c r="AR663" s="311">
        <v>92</v>
      </c>
      <c r="AS663" s="312">
        <v>140220</v>
      </c>
      <c r="AT663" s="313">
        <f t="shared" si="253"/>
        <v>10554976.368000001</v>
      </c>
      <c r="AU663" s="308">
        <v>93</v>
      </c>
      <c r="AV663" s="309">
        <v>96348</v>
      </c>
      <c r="AW663" s="310">
        <f t="shared" si="254"/>
        <v>7331369.8248000005</v>
      </c>
      <c r="AX663" s="311">
        <v>104</v>
      </c>
      <c r="AY663" s="312">
        <v>99280</v>
      </c>
      <c r="AZ663" s="313">
        <f t="shared" si="255"/>
        <v>8448013.1840000004</v>
      </c>
      <c r="BA663" s="308">
        <v>131</v>
      </c>
      <c r="BB663" s="309">
        <v>79854</v>
      </c>
      <c r="BC663" s="310">
        <f t="shared" si="256"/>
        <v>8559087.1068000011</v>
      </c>
      <c r="BD663" s="311">
        <v>145</v>
      </c>
      <c r="BE663" s="312">
        <v>82915</v>
      </c>
      <c r="BF663" s="313">
        <f t="shared" si="257"/>
        <v>9836952.6850000005</v>
      </c>
      <c r="BG663" s="308">
        <v>126</v>
      </c>
      <c r="BH663" s="309">
        <v>59344</v>
      </c>
      <c r="BI663" s="310">
        <f t="shared" si="258"/>
        <v>6117962.8607999999</v>
      </c>
      <c r="BJ663" s="311">
        <v>114</v>
      </c>
      <c r="BK663" s="312">
        <v>63018</v>
      </c>
      <c r="BL663" s="313">
        <f t="shared" si="259"/>
        <v>5877991.3464000002</v>
      </c>
      <c r="BM663" s="308"/>
      <c r="BN663" s="309"/>
      <c r="BO663" s="310">
        <f t="shared" si="260"/>
        <v>0</v>
      </c>
      <c r="BP663" s="311"/>
      <c r="BQ663" s="312"/>
      <c r="BR663" s="313">
        <f t="shared" si="261"/>
        <v>0</v>
      </c>
      <c r="BS663" s="308"/>
      <c r="BT663" s="309"/>
      <c r="BU663" s="310">
        <f t="shared" si="262"/>
        <v>0</v>
      </c>
      <c r="BV663" s="311"/>
      <c r="BW663" s="312"/>
      <c r="BX663" s="313">
        <f t="shared" si="263"/>
        <v>0</v>
      </c>
      <c r="BY663" s="290"/>
    </row>
    <row r="664" spans="1:77">
      <c r="A664" s="354" t="s">
        <v>447</v>
      </c>
      <c r="B664" s="355" t="s">
        <v>695</v>
      </c>
      <c r="C664" s="354">
        <v>232423</v>
      </c>
      <c r="D664" s="356">
        <v>3</v>
      </c>
      <c r="E664" s="308">
        <v>215</v>
      </c>
      <c r="F664" s="309">
        <v>86211</v>
      </c>
      <c r="G664" s="310">
        <f t="shared" si="240"/>
        <v>18535365</v>
      </c>
      <c r="H664" s="311">
        <v>213</v>
      </c>
      <c r="I664" s="312">
        <v>85956</v>
      </c>
      <c r="J664" s="313">
        <f t="shared" si="241"/>
        <v>18308628</v>
      </c>
      <c r="K664" s="308">
        <v>190</v>
      </c>
      <c r="L664" s="309">
        <v>68163</v>
      </c>
      <c r="M664" s="310">
        <f t="shared" si="242"/>
        <v>12950970</v>
      </c>
      <c r="N664" s="311">
        <v>202</v>
      </c>
      <c r="O664" s="312">
        <v>68642</v>
      </c>
      <c r="P664" s="313">
        <f t="shared" si="243"/>
        <v>13865684</v>
      </c>
      <c r="Q664" s="308">
        <v>253</v>
      </c>
      <c r="R664" s="309">
        <v>56707</v>
      </c>
      <c r="S664" s="310">
        <f t="shared" si="244"/>
        <v>14346871</v>
      </c>
      <c r="T664" s="311">
        <v>266</v>
      </c>
      <c r="U664" s="312">
        <v>56107</v>
      </c>
      <c r="V664" s="313">
        <f t="shared" si="245"/>
        <v>14924462</v>
      </c>
      <c r="W664" s="308">
        <v>107</v>
      </c>
      <c r="X664" s="309">
        <v>48740</v>
      </c>
      <c r="Y664" s="310">
        <f t="shared" si="246"/>
        <v>5215180</v>
      </c>
      <c r="Z664" s="311">
        <v>116</v>
      </c>
      <c r="AA664" s="312">
        <v>49064</v>
      </c>
      <c r="AB664" s="313">
        <f t="shared" si="247"/>
        <v>5691424</v>
      </c>
      <c r="AC664" s="308"/>
      <c r="AD664" s="309"/>
      <c r="AE664" s="310">
        <f t="shared" si="248"/>
        <v>0</v>
      </c>
      <c r="AF664" s="311"/>
      <c r="AG664" s="312"/>
      <c r="AH664" s="313">
        <f t="shared" si="249"/>
        <v>0</v>
      </c>
      <c r="AI664" s="308"/>
      <c r="AJ664" s="309"/>
      <c r="AK664" s="310">
        <f t="shared" si="250"/>
        <v>0</v>
      </c>
      <c r="AL664" s="311"/>
      <c r="AM664" s="312"/>
      <c r="AN664" s="313">
        <f t="shared" si="251"/>
        <v>0</v>
      </c>
      <c r="AO664" s="308">
        <v>48</v>
      </c>
      <c r="AP664" s="309">
        <v>114584</v>
      </c>
      <c r="AQ664" s="310">
        <f t="shared" si="252"/>
        <v>4500126.1824000003</v>
      </c>
      <c r="AR664" s="311">
        <v>52</v>
      </c>
      <c r="AS664" s="312">
        <v>114159</v>
      </c>
      <c r="AT664" s="313">
        <f t="shared" si="253"/>
        <v>4857054.4775999999</v>
      </c>
      <c r="AU664" s="308">
        <v>16</v>
      </c>
      <c r="AV664" s="309">
        <v>95673</v>
      </c>
      <c r="AW664" s="310">
        <f t="shared" si="254"/>
        <v>1252474.3776</v>
      </c>
      <c r="AX664" s="311">
        <v>19</v>
      </c>
      <c r="AY664" s="312">
        <v>92053</v>
      </c>
      <c r="AZ664" s="313">
        <f t="shared" si="255"/>
        <v>1431037.5274</v>
      </c>
      <c r="BA664" s="308">
        <v>14</v>
      </c>
      <c r="BB664" s="309">
        <v>75999</v>
      </c>
      <c r="BC664" s="310">
        <f t="shared" si="256"/>
        <v>870553.3452000001</v>
      </c>
      <c r="BD664" s="311">
        <v>11</v>
      </c>
      <c r="BE664" s="312">
        <v>73828</v>
      </c>
      <c r="BF664" s="313">
        <f t="shared" si="257"/>
        <v>664466.76560000004</v>
      </c>
      <c r="BG664" s="308">
        <v>11</v>
      </c>
      <c r="BH664" s="309">
        <v>62755</v>
      </c>
      <c r="BI664" s="310">
        <f t="shared" si="258"/>
        <v>564807.55099999998</v>
      </c>
      <c r="BJ664" s="311">
        <v>18</v>
      </c>
      <c r="BK664" s="312">
        <v>61095</v>
      </c>
      <c r="BL664" s="313">
        <f t="shared" si="259"/>
        <v>899782.72200000007</v>
      </c>
      <c r="BM664" s="308"/>
      <c r="BN664" s="309"/>
      <c r="BO664" s="310">
        <f t="shared" si="260"/>
        <v>0</v>
      </c>
      <c r="BP664" s="311"/>
      <c r="BQ664" s="312"/>
      <c r="BR664" s="313">
        <f t="shared" si="261"/>
        <v>0</v>
      </c>
      <c r="BS664" s="308"/>
      <c r="BT664" s="309"/>
      <c r="BU664" s="310">
        <f t="shared" si="262"/>
        <v>0</v>
      </c>
      <c r="BV664" s="311"/>
      <c r="BW664" s="312"/>
      <c r="BX664" s="313">
        <f t="shared" si="263"/>
        <v>0</v>
      </c>
      <c r="BY664" s="290"/>
    </row>
    <row r="665" spans="1:77">
      <c r="A665" s="354" t="s">
        <v>447</v>
      </c>
      <c r="B665" s="357" t="s">
        <v>696</v>
      </c>
      <c r="C665" s="354">
        <v>233277</v>
      </c>
      <c r="D665" s="356">
        <v>3</v>
      </c>
      <c r="E665" s="308">
        <v>125</v>
      </c>
      <c r="F665" s="309">
        <v>75738</v>
      </c>
      <c r="G665" s="310">
        <f t="shared" si="240"/>
        <v>9467250</v>
      </c>
      <c r="H665" s="311">
        <v>129</v>
      </c>
      <c r="I665" s="312">
        <v>77968</v>
      </c>
      <c r="J665" s="313">
        <f t="shared" si="241"/>
        <v>10057872</v>
      </c>
      <c r="K665" s="308">
        <v>72</v>
      </c>
      <c r="L665" s="309">
        <v>61943</v>
      </c>
      <c r="M665" s="310">
        <f t="shared" si="242"/>
        <v>4459896</v>
      </c>
      <c r="N665" s="311">
        <v>79</v>
      </c>
      <c r="O665" s="312">
        <v>65129</v>
      </c>
      <c r="P665" s="313">
        <f t="shared" si="243"/>
        <v>5145191</v>
      </c>
      <c r="Q665" s="308">
        <v>145</v>
      </c>
      <c r="R665" s="309">
        <v>55309</v>
      </c>
      <c r="S665" s="310">
        <f t="shared" si="244"/>
        <v>8019805</v>
      </c>
      <c r="T665" s="311">
        <v>136</v>
      </c>
      <c r="U665" s="312">
        <v>56979</v>
      </c>
      <c r="V665" s="313">
        <f t="shared" si="245"/>
        <v>7749144</v>
      </c>
      <c r="W665" s="308">
        <v>52</v>
      </c>
      <c r="X665" s="309">
        <v>43895</v>
      </c>
      <c r="Y665" s="310">
        <f t="shared" si="246"/>
        <v>2282540</v>
      </c>
      <c r="Z665" s="311">
        <v>52</v>
      </c>
      <c r="AA665" s="312">
        <v>47114</v>
      </c>
      <c r="AB665" s="313">
        <f t="shared" si="247"/>
        <v>2449928</v>
      </c>
      <c r="AC665" s="308"/>
      <c r="AD665" s="309"/>
      <c r="AE665" s="310">
        <f t="shared" si="248"/>
        <v>0</v>
      </c>
      <c r="AF665" s="311"/>
      <c r="AG665" s="312"/>
      <c r="AH665" s="313">
        <f t="shared" si="249"/>
        <v>0</v>
      </c>
      <c r="AI665" s="308"/>
      <c r="AJ665" s="309"/>
      <c r="AK665" s="310">
        <f t="shared" si="250"/>
        <v>0</v>
      </c>
      <c r="AL665" s="311"/>
      <c r="AM665" s="312"/>
      <c r="AN665" s="313">
        <f t="shared" si="251"/>
        <v>0</v>
      </c>
      <c r="AO665" s="308">
        <v>1</v>
      </c>
      <c r="AP665" s="309">
        <v>115000</v>
      </c>
      <c r="AQ665" s="310">
        <f t="shared" si="252"/>
        <v>94093</v>
      </c>
      <c r="AR665" s="311">
        <v>2</v>
      </c>
      <c r="AS665" s="312">
        <v>115000</v>
      </c>
      <c r="AT665" s="313">
        <f t="shared" si="253"/>
        <v>188186</v>
      </c>
      <c r="AU665" s="308"/>
      <c r="AV665" s="309"/>
      <c r="AW665" s="310">
        <f t="shared" si="254"/>
        <v>0</v>
      </c>
      <c r="AX665" s="311"/>
      <c r="AY665" s="312"/>
      <c r="AZ665" s="313">
        <f t="shared" si="255"/>
        <v>0</v>
      </c>
      <c r="BA665" s="308"/>
      <c r="BB665" s="309"/>
      <c r="BC665" s="310">
        <f t="shared" si="256"/>
        <v>0</v>
      </c>
      <c r="BD665" s="311"/>
      <c r="BE665" s="312"/>
      <c r="BF665" s="313">
        <f t="shared" si="257"/>
        <v>0</v>
      </c>
      <c r="BG665" s="308">
        <v>2</v>
      </c>
      <c r="BH665" s="309">
        <v>49741</v>
      </c>
      <c r="BI665" s="310">
        <f t="shared" si="258"/>
        <v>81396.17240000001</v>
      </c>
      <c r="BJ665" s="311">
        <v>2</v>
      </c>
      <c r="BK665" s="312">
        <v>51698</v>
      </c>
      <c r="BL665" s="313">
        <f t="shared" si="259"/>
        <v>84598.607199999999</v>
      </c>
      <c r="BM665" s="308"/>
      <c r="BN665" s="309"/>
      <c r="BO665" s="310">
        <f t="shared" si="260"/>
        <v>0</v>
      </c>
      <c r="BP665" s="311"/>
      <c r="BQ665" s="312"/>
      <c r="BR665" s="313">
        <f t="shared" si="261"/>
        <v>0</v>
      </c>
      <c r="BS665" s="308"/>
      <c r="BT665" s="309"/>
      <c r="BU665" s="310">
        <f t="shared" si="262"/>
        <v>0</v>
      </c>
      <c r="BV665" s="311"/>
      <c r="BW665" s="312"/>
      <c r="BX665" s="313">
        <f t="shared" si="263"/>
        <v>0</v>
      </c>
      <c r="BY665" s="290"/>
    </row>
    <row r="666" spans="1:77">
      <c r="A666" s="354" t="s">
        <v>447</v>
      </c>
      <c r="B666" s="357" t="s">
        <v>697</v>
      </c>
      <c r="C666" s="354">
        <v>231712</v>
      </c>
      <c r="D666" s="356">
        <v>4</v>
      </c>
      <c r="E666" s="308">
        <v>38</v>
      </c>
      <c r="F666" s="309">
        <v>99801</v>
      </c>
      <c r="G666" s="310">
        <f t="shared" si="240"/>
        <v>3792438</v>
      </c>
      <c r="H666" s="311">
        <v>41</v>
      </c>
      <c r="I666" s="312">
        <v>98641</v>
      </c>
      <c r="J666" s="313">
        <f t="shared" si="241"/>
        <v>4044281</v>
      </c>
      <c r="K666" s="308">
        <v>66</v>
      </c>
      <c r="L666" s="309">
        <v>75346</v>
      </c>
      <c r="M666" s="310">
        <f t="shared" si="242"/>
        <v>4972836</v>
      </c>
      <c r="N666" s="311">
        <v>70</v>
      </c>
      <c r="O666" s="312">
        <v>74875</v>
      </c>
      <c r="P666" s="313">
        <f t="shared" si="243"/>
        <v>5241250</v>
      </c>
      <c r="Q666" s="308">
        <v>94</v>
      </c>
      <c r="R666" s="309">
        <v>59113</v>
      </c>
      <c r="S666" s="310">
        <f t="shared" si="244"/>
        <v>5556622</v>
      </c>
      <c r="T666" s="311">
        <v>97</v>
      </c>
      <c r="U666" s="312">
        <v>57323</v>
      </c>
      <c r="V666" s="313">
        <f t="shared" si="245"/>
        <v>5560331</v>
      </c>
      <c r="W666" s="308">
        <v>28</v>
      </c>
      <c r="X666" s="309">
        <v>47339</v>
      </c>
      <c r="Y666" s="310">
        <f t="shared" si="246"/>
        <v>1325492</v>
      </c>
      <c r="Z666" s="311">
        <v>31</v>
      </c>
      <c r="AA666" s="312">
        <v>46359</v>
      </c>
      <c r="AB666" s="313">
        <f t="shared" si="247"/>
        <v>1437129</v>
      </c>
      <c r="AC666" s="308"/>
      <c r="AD666" s="309"/>
      <c r="AE666" s="310">
        <f t="shared" si="248"/>
        <v>0</v>
      </c>
      <c r="AF666" s="311"/>
      <c r="AG666" s="312"/>
      <c r="AH666" s="313">
        <f t="shared" si="249"/>
        <v>0</v>
      </c>
      <c r="AI666" s="308"/>
      <c r="AJ666" s="309"/>
      <c r="AK666" s="310">
        <f t="shared" si="250"/>
        <v>0</v>
      </c>
      <c r="AL666" s="311"/>
      <c r="AM666" s="312"/>
      <c r="AN666" s="313">
        <f t="shared" si="251"/>
        <v>0</v>
      </c>
      <c r="AO666" s="308"/>
      <c r="AP666" s="309"/>
      <c r="AQ666" s="310">
        <f t="shared" si="252"/>
        <v>0</v>
      </c>
      <c r="AR666" s="311"/>
      <c r="AS666" s="312"/>
      <c r="AT666" s="313">
        <f t="shared" si="253"/>
        <v>0</v>
      </c>
      <c r="AU666" s="308"/>
      <c r="AV666" s="309"/>
      <c r="AW666" s="310">
        <f t="shared" si="254"/>
        <v>0</v>
      </c>
      <c r="AX666" s="311"/>
      <c r="AY666" s="312"/>
      <c r="AZ666" s="313">
        <f t="shared" si="255"/>
        <v>0</v>
      </c>
      <c r="BA666" s="308"/>
      <c r="BB666" s="309"/>
      <c r="BC666" s="310">
        <f t="shared" si="256"/>
        <v>0</v>
      </c>
      <c r="BD666" s="311"/>
      <c r="BE666" s="312"/>
      <c r="BF666" s="313">
        <f t="shared" si="257"/>
        <v>0</v>
      </c>
      <c r="BG666" s="308"/>
      <c r="BH666" s="309"/>
      <c r="BI666" s="310">
        <f t="shared" si="258"/>
        <v>0</v>
      </c>
      <c r="BJ666" s="311"/>
      <c r="BK666" s="312"/>
      <c r="BL666" s="313">
        <f t="shared" si="259"/>
        <v>0</v>
      </c>
      <c r="BM666" s="308"/>
      <c r="BN666" s="309"/>
      <c r="BO666" s="310">
        <f t="shared" si="260"/>
        <v>0</v>
      </c>
      <c r="BP666" s="311"/>
      <c r="BQ666" s="312"/>
      <c r="BR666" s="313">
        <f t="shared" si="261"/>
        <v>0</v>
      </c>
      <c r="BS666" s="308"/>
      <c r="BT666" s="309"/>
      <c r="BU666" s="310">
        <f t="shared" si="262"/>
        <v>0</v>
      </c>
      <c r="BV666" s="311"/>
      <c r="BW666" s="312"/>
      <c r="BX666" s="313">
        <f t="shared" si="263"/>
        <v>0</v>
      </c>
      <c r="BY666" s="290"/>
    </row>
    <row r="667" spans="1:77">
      <c r="A667" s="354" t="s">
        <v>447</v>
      </c>
      <c r="B667" s="357" t="s">
        <v>698</v>
      </c>
      <c r="C667" s="354">
        <v>232937</v>
      </c>
      <c r="D667" s="356">
        <v>4</v>
      </c>
      <c r="E667" s="308">
        <v>63</v>
      </c>
      <c r="F667" s="309">
        <v>74335</v>
      </c>
      <c r="G667" s="310">
        <f t="shared" si="240"/>
        <v>4683105</v>
      </c>
      <c r="H667" s="311">
        <v>65</v>
      </c>
      <c r="I667" s="312">
        <v>79863</v>
      </c>
      <c r="J667" s="313">
        <f t="shared" si="241"/>
        <v>5191095</v>
      </c>
      <c r="K667" s="308">
        <v>43</v>
      </c>
      <c r="L667" s="309">
        <v>65978</v>
      </c>
      <c r="M667" s="310">
        <f t="shared" si="242"/>
        <v>2837054</v>
      </c>
      <c r="N667" s="311">
        <v>41</v>
      </c>
      <c r="O667" s="312">
        <v>69084</v>
      </c>
      <c r="P667" s="313">
        <f t="shared" si="243"/>
        <v>2832444</v>
      </c>
      <c r="Q667" s="308">
        <v>78</v>
      </c>
      <c r="R667" s="309">
        <v>54493</v>
      </c>
      <c r="S667" s="310">
        <f t="shared" si="244"/>
        <v>4250454</v>
      </c>
      <c r="T667" s="311">
        <v>81</v>
      </c>
      <c r="U667" s="312">
        <v>56410</v>
      </c>
      <c r="V667" s="313">
        <f t="shared" si="245"/>
        <v>4569210</v>
      </c>
      <c r="W667" s="308">
        <v>47</v>
      </c>
      <c r="X667" s="309">
        <v>47632</v>
      </c>
      <c r="Y667" s="310">
        <f t="shared" si="246"/>
        <v>2238704</v>
      </c>
      <c r="Z667" s="311">
        <v>48</v>
      </c>
      <c r="AA667" s="312">
        <v>49924</v>
      </c>
      <c r="AB667" s="313">
        <f t="shared" si="247"/>
        <v>2396352</v>
      </c>
      <c r="AC667" s="308"/>
      <c r="AD667" s="309"/>
      <c r="AE667" s="310">
        <f t="shared" si="248"/>
        <v>0</v>
      </c>
      <c r="AF667" s="311"/>
      <c r="AG667" s="312"/>
      <c r="AH667" s="313">
        <f t="shared" si="249"/>
        <v>0</v>
      </c>
      <c r="AI667" s="308"/>
      <c r="AJ667" s="309"/>
      <c r="AK667" s="310">
        <f t="shared" si="250"/>
        <v>0</v>
      </c>
      <c r="AL667" s="311"/>
      <c r="AM667" s="312"/>
      <c r="AN667" s="313">
        <f t="shared" si="251"/>
        <v>0</v>
      </c>
      <c r="AO667" s="308">
        <v>18</v>
      </c>
      <c r="AP667" s="309">
        <v>92561</v>
      </c>
      <c r="AQ667" s="310">
        <f t="shared" si="252"/>
        <v>1363201.3836000001</v>
      </c>
      <c r="AR667" s="311">
        <v>18</v>
      </c>
      <c r="AS667" s="312">
        <v>96474</v>
      </c>
      <c r="AT667" s="313">
        <f t="shared" si="253"/>
        <v>1420830.4824000001</v>
      </c>
      <c r="AU667" s="308">
        <v>13</v>
      </c>
      <c r="AV667" s="309">
        <v>85634</v>
      </c>
      <c r="AW667" s="310">
        <f t="shared" si="254"/>
        <v>910854.60440000007</v>
      </c>
      <c r="AX667" s="311">
        <v>11</v>
      </c>
      <c r="AY667" s="312">
        <v>87958</v>
      </c>
      <c r="AZ667" s="313">
        <f t="shared" si="255"/>
        <v>791639.59160000004</v>
      </c>
      <c r="BA667" s="308">
        <v>6</v>
      </c>
      <c r="BB667" s="309">
        <v>72344</v>
      </c>
      <c r="BC667" s="310">
        <f t="shared" si="256"/>
        <v>355151.16480000003</v>
      </c>
      <c r="BD667" s="311">
        <v>4</v>
      </c>
      <c r="BE667" s="312">
        <v>72495</v>
      </c>
      <c r="BF667" s="313">
        <f t="shared" si="257"/>
        <v>237261.636</v>
      </c>
      <c r="BG667" s="308">
        <v>4</v>
      </c>
      <c r="BH667" s="309">
        <v>52843</v>
      </c>
      <c r="BI667" s="310">
        <f t="shared" si="258"/>
        <v>172944.5704</v>
      </c>
      <c r="BJ667" s="311">
        <v>4</v>
      </c>
      <c r="BK667" s="312">
        <v>56076</v>
      </c>
      <c r="BL667" s="313">
        <f t="shared" si="259"/>
        <v>183525.53280000002</v>
      </c>
      <c r="BM667" s="308"/>
      <c r="BN667" s="309"/>
      <c r="BO667" s="310">
        <f t="shared" si="260"/>
        <v>0</v>
      </c>
      <c r="BP667" s="311"/>
      <c r="BQ667" s="312"/>
      <c r="BR667" s="313">
        <f t="shared" si="261"/>
        <v>0</v>
      </c>
      <c r="BS667" s="308"/>
      <c r="BT667" s="309"/>
      <c r="BU667" s="310">
        <f t="shared" si="262"/>
        <v>0</v>
      </c>
      <c r="BV667" s="311"/>
      <c r="BW667" s="312"/>
      <c r="BX667" s="313">
        <f t="shared" si="263"/>
        <v>0</v>
      </c>
      <c r="BY667" s="290"/>
    </row>
    <row r="668" spans="1:77">
      <c r="A668" s="354" t="s">
        <v>447</v>
      </c>
      <c r="B668" s="357" t="s">
        <v>699</v>
      </c>
      <c r="C668" s="354">
        <v>234155</v>
      </c>
      <c r="D668" s="356">
        <v>4</v>
      </c>
      <c r="E668" s="308">
        <v>25</v>
      </c>
      <c r="F668" s="309">
        <v>75232</v>
      </c>
      <c r="G668" s="310">
        <f t="shared" si="240"/>
        <v>1880800</v>
      </c>
      <c r="H668" s="311">
        <v>25</v>
      </c>
      <c r="I668" s="312">
        <v>76334</v>
      </c>
      <c r="J668" s="313">
        <f t="shared" si="241"/>
        <v>1908350</v>
      </c>
      <c r="K668" s="308">
        <v>75</v>
      </c>
      <c r="L668" s="309">
        <v>63761</v>
      </c>
      <c r="M668" s="310">
        <f t="shared" si="242"/>
        <v>4782075</v>
      </c>
      <c r="N668" s="311">
        <v>80</v>
      </c>
      <c r="O668" s="312">
        <v>61987</v>
      </c>
      <c r="P668" s="313">
        <f t="shared" si="243"/>
        <v>4958960</v>
      </c>
      <c r="Q668" s="308">
        <v>104</v>
      </c>
      <c r="R668" s="309">
        <v>60276</v>
      </c>
      <c r="S668" s="310">
        <f t="shared" si="244"/>
        <v>6268704</v>
      </c>
      <c r="T668" s="311">
        <v>82</v>
      </c>
      <c r="U668" s="312">
        <v>62257</v>
      </c>
      <c r="V668" s="313">
        <f t="shared" si="245"/>
        <v>5105074</v>
      </c>
      <c r="W668" s="308">
        <v>17</v>
      </c>
      <c r="X668" s="309">
        <v>50918</v>
      </c>
      <c r="Y668" s="310">
        <f t="shared" si="246"/>
        <v>865606</v>
      </c>
      <c r="Z668" s="311">
        <v>19</v>
      </c>
      <c r="AA668" s="312">
        <v>52300</v>
      </c>
      <c r="AB668" s="313">
        <f t="shared" si="247"/>
        <v>993700</v>
      </c>
      <c r="AC668" s="308"/>
      <c r="AD668" s="309"/>
      <c r="AE668" s="310">
        <f t="shared" si="248"/>
        <v>0</v>
      </c>
      <c r="AF668" s="311"/>
      <c r="AG668" s="312"/>
      <c r="AH668" s="313">
        <f t="shared" si="249"/>
        <v>0</v>
      </c>
      <c r="AI668" s="308"/>
      <c r="AJ668" s="309"/>
      <c r="AK668" s="310">
        <f t="shared" si="250"/>
        <v>0</v>
      </c>
      <c r="AL668" s="311"/>
      <c r="AM668" s="312"/>
      <c r="AN668" s="313">
        <f t="shared" si="251"/>
        <v>0</v>
      </c>
      <c r="AO668" s="308">
        <v>12</v>
      </c>
      <c r="AP668" s="309">
        <v>99328</v>
      </c>
      <c r="AQ668" s="310">
        <f t="shared" si="252"/>
        <v>975242.03520000004</v>
      </c>
      <c r="AR668" s="311">
        <v>19</v>
      </c>
      <c r="AS668" s="312">
        <v>102325</v>
      </c>
      <c r="AT668" s="313">
        <f t="shared" si="253"/>
        <v>1590723.9850000001</v>
      </c>
      <c r="AU668" s="308">
        <v>15</v>
      </c>
      <c r="AV668" s="309">
        <v>82289</v>
      </c>
      <c r="AW668" s="310">
        <f t="shared" si="254"/>
        <v>1009932.897</v>
      </c>
      <c r="AX668" s="311">
        <v>16</v>
      </c>
      <c r="AY668" s="312">
        <v>96268</v>
      </c>
      <c r="AZ668" s="313">
        <f t="shared" si="255"/>
        <v>1260263.6416</v>
      </c>
      <c r="BA668" s="308">
        <v>12</v>
      </c>
      <c r="BB668" s="309">
        <v>61724</v>
      </c>
      <c r="BC668" s="310">
        <f t="shared" si="256"/>
        <v>606030.9216</v>
      </c>
      <c r="BD668" s="311">
        <v>7</v>
      </c>
      <c r="BE668" s="312">
        <v>78398</v>
      </c>
      <c r="BF668" s="313">
        <f t="shared" si="257"/>
        <v>449016.70520000003</v>
      </c>
      <c r="BG668" s="308">
        <v>3</v>
      </c>
      <c r="BH668" s="309">
        <v>47735</v>
      </c>
      <c r="BI668" s="310">
        <f t="shared" si="258"/>
        <v>117170.33100000001</v>
      </c>
      <c r="BJ668" s="311">
        <v>6</v>
      </c>
      <c r="BK668" s="312">
        <v>51254</v>
      </c>
      <c r="BL668" s="313">
        <f t="shared" si="259"/>
        <v>251616.13680000001</v>
      </c>
      <c r="BM668" s="308"/>
      <c r="BN668" s="309"/>
      <c r="BO668" s="310">
        <f t="shared" si="260"/>
        <v>0</v>
      </c>
      <c r="BP668" s="311"/>
      <c r="BQ668" s="312"/>
      <c r="BR668" s="313">
        <f t="shared" si="261"/>
        <v>0</v>
      </c>
      <c r="BS668" s="308"/>
      <c r="BT668" s="309"/>
      <c r="BU668" s="310">
        <f t="shared" si="262"/>
        <v>0</v>
      </c>
      <c r="BV668" s="311"/>
      <c r="BW668" s="312"/>
      <c r="BX668" s="313">
        <f t="shared" si="263"/>
        <v>0</v>
      </c>
      <c r="BY668" s="290"/>
    </row>
    <row r="669" spans="1:77">
      <c r="A669" s="354" t="s">
        <v>447</v>
      </c>
      <c r="B669" s="357" t="s">
        <v>17</v>
      </c>
      <c r="C669" s="354">
        <v>232566</v>
      </c>
      <c r="D669" s="356">
        <v>5</v>
      </c>
      <c r="E669" s="308">
        <v>42</v>
      </c>
      <c r="F669" s="309">
        <v>74237</v>
      </c>
      <c r="G669" s="310">
        <f t="shared" si="240"/>
        <v>3117954</v>
      </c>
      <c r="H669" s="311">
        <v>43</v>
      </c>
      <c r="I669" s="312">
        <v>75833</v>
      </c>
      <c r="J669" s="313">
        <f t="shared" si="241"/>
        <v>3260819</v>
      </c>
      <c r="K669" s="308">
        <v>53</v>
      </c>
      <c r="L669" s="309">
        <v>63061</v>
      </c>
      <c r="M669" s="310">
        <f t="shared" si="242"/>
        <v>3342233</v>
      </c>
      <c r="N669" s="311">
        <v>63</v>
      </c>
      <c r="O669" s="312">
        <v>63098</v>
      </c>
      <c r="P669" s="313">
        <f t="shared" si="243"/>
        <v>3975174</v>
      </c>
      <c r="Q669" s="308">
        <v>74</v>
      </c>
      <c r="R669" s="309">
        <v>52196</v>
      </c>
      <c r="S669" s="310">
        <f t="shared" si="244"/>
        <v>3862504</v>
      </c>
      <c r="T669" s="311">
        <v>72</v>
      </c>
      <c r="U669" s="312">
        <v>54147</v>
      </c>
      <c r="V669" s="313">
        <f t="shared" si="245"/>
        <v>3898584</v>
      </c>
      <c r="W669" s="308">
        <v>5</v>
      </c>
      <c r="X669" s="309">
        <v>47363</v>
      </c>
      <c r="Y669" s="310">
        <f t="shared" si="246"/>
        <v>236815</v>
      </c>
      <c r="Z669" s="311">
        <v>3</v>
      </c>
      <c r="AA669" s="312">
        <v>54866</v>
      </c>
      <c r="AB669" s="313">
        <f t="shared" si="247"/>
        <v>164598</v>
      </c>
      <c r="AC669" s="308">
        <v>34</v>
      </c>
      <c r="AD669" s="309">
        <v>40781</v>
      </c>
      <c r="AE669" s="310">
        <f t="shared" si="248"/>
        <v>1386554</v>
      </c>
      <c r="AF669" s="311">
        <v>30</v>
      </c>
      <c r="AG669" s="312">
        <v>41291</v>
      </c>
      <c r="AH669" s="313">
        <f t="shared" si="249"/>
        <v>1238730</v>
      </c>
      <c r="AI669" s="308"/>
      <c r="AJ669" s="309"/>
      <c r="AK669" s="310">
        <f t="shared" si="250"/>
        <v>0</v>
      </c>
      <c r="AL669" s="311"/>
      <c r="AM669" s="312"/>
      <c r="AN669" s="313">
        <f t="shared" si="251"/>
        <v>0</v>
      </c>
      <c r="AO669" s="308"/>
      <c r="AP669" s="309"/>
      <c r="AQ669" s="310">
        <f t="shared" si="252"/>
        <v>0</v>
      </c>
      <c r="AR669" s="311"/>
      <c r="AS669" s="312"/>
      <c r="AT669" s="313">
        <f t="shared" si="253"/>
        <v>0</v>
      </c>
      <c r="AU669" s="308"/>
      <c r="AV669" s="309"/>
      <c r="AW669" s="310">
        <f t="shared" si="254"/>
        <v>0</v>
      </c>
      <c r="AX669" s="311"/>
      <c r="AY669" s="312"/>
      <c r="AZ669" s="313">
        <f t="shared" si="255"/>
        <v>0</v>
      </c>
      <c r="BA669" s="308"/>
      <c r="BB669" s="309"/>
      <c r="BC669" s="310">
        <f t="shared" si="256"/>
        <v>0</v>
      </c>
      <c r="BD669" s="311"/>
      <c r="BE669" s="312"/>
      <c r="BF669" s="313">
        <f t="shared" si="257"/>
        <v>0</v>
      </c>
      <c r="BG669" s="308"/>
      <c r="BH669" s="309"/>
      <c r="BI669" s="310">
        <f t="shared" si="258"/>
        <v>0</v>
      </c>
      <c r="BJ669" s="311"/>
      <c r="BK669" s="312"/>
      <c r="BL669" s="313">
        <f t="shared" si="259"/>
        <v>0</v>
      </c>
      <c r="BM669" s="308"/>
      <c r="BN669" s="309"/>
      <c r="BO669" s="310">
        <f t="shared" si="260"/>
        <v>0</v>
      </c>
      <c r="BP669" s="311"/>
      <c r="BQ669" s="312"/>
      <c r="BR669" s="313">
        <f t="shared" si="261"/>
        <v>0</v>
      </c>
      <c r="BS669" s="308"/>
      <c r="BT669" s="309"/>
      <c r="BU669" s="310">
        <f t="shared" si="262"/>
        <v>0</v>
      </c>
      <c r="BV669" s="311"/>
      <c r="BW669" s="312"/>
      <c r="BX669" s="313">
        <f t="shared" si="263"/>
        <v>0</v>
      </c>
      <c r="BY669" s="290"/>
    </row>
    <row r="670" spans="1:77">
      <c r="A670" s="354" t="s">
        <v>447</v>
      </c>
      <c r="B670" s="355" t="s">
        <v>700</v>
      </c>
      <c r="C670" s="354">
        <v>232681</v>
      </c>
      <c r="D670" s="356">
        <v>5</v>
      </c>
      <c r="E670" s="308">
        <v>66</v>
      </c>
      <c r="F670" s="309">
        <v>84826</v>
      </c>
      <c r="G670" s="310">
        <f t="shared" si="240"/>
        <v>5598516</v>
      </c>
      <c r="H670" s="311">
        <v>64</v>
      </c>
      <c r="I670" s="312">
        <v>82795</v>
      </c>
      <c r="J670" s="313">
        <f t="shared" si="241"/>
        <v>5298880</v>
      </c>
      <c r="K670" s="308">
        <v>67</v>
      </c>
      <c r="L670" s="309">
        <v>65379</v>
      </c>
      <c r="M670" s="310">
        <f t="shared" si="242"/>
        <v>4380393</v>
      </c>
      <c r="N670" s="311">
        <v>64</v>
      </c>
      <c r="O670" s="312">
        <v>66940</v>
      </c>
      <c r="P670" s="313">
        <f t="shared" si="243"/>
        <v>4284160</v>
      </c>
      <c r="Q670" s="308">
        <v>69</v>
      </c>
      <c r="R670" s="309">
        <v>49261</v>
      </c>
      <c r="S670" s="310">
        <f t="shared" si="244"/>
        <v>3399009</v>
      </c>
      <c r="T670" s="311">
        <v>71</v>
      </c>
      <c r="U670" s="312">
        <v>52964</v>
      </c>
      <c r="V670" s="313">
        <f t="shared" si="245"/>
        <v>3760444</v>
      </c>
      <c r="W670" s="308">
        <v>2</v>
      </c>
      <c r="X670" s="309">
        <v>43500</v>
      </c>
      <c r="Y670" s="310">
        <f t="shared" si="246"/>
        <v>87000</v>
      </c>
      <c r="Z670" s="311">
        <v>5</v>
      </c>
      <c r="AA670" s="312">
        <v>46008</v>
      </c>
      <c r="AB670" s="313">
        <f t="shared" si="247"/>
        <v>230040</v>
      </c>
      <c r="AC670" s="308">
        <v>14</v>
      </c>
      <c r="AD670" s="309">
        <v>53383</v>
      </c>
      <c r="AE670" s="310">
        <f t="shared" si="248"/>
        <v>747362</v>
      </c>
      <c r="AF670" s="311">
        <v>14</v>
      </c>
      <c r="AG670" s="312">
        <v>56900</v>
      </c>
      <c r="AH670" s="313">
        <f t="shared" si="249"/>
        <v>796600</v>
      </c>
      <c r="AI670" s="308"/>
      <c r="AJ670" s="309"/>
      <c r="AK670" s="310">
        <f t="shared" si="250"/>
        <v>0</v>
      </c>
      <c r="AL670" s="311"/>
      <c r="AM670" s="312"/>
      <c r="AN670" s="313">
        <f t="shared" si="251"/>
        <v>0</v>
      </c>
      <c r="AO670" s="308">
        <v>2</v>
      </c>
      <c r="AP670" s="309">
        <v>102556</v>
      </c>
      <c r="AQ670" s="310">
        <f t="shared" si="252"/>
        <v>167822.6384</v>
      </c>
      <c r="AR670" s="311">
        <v>3</v>
      </c>
      <c r="AS670" s="312">
        <v>104456</v>
      </c>
      <c r="AT670" s="313">
        <f t="shared" si="253"/>
        <v>256397.69760000001</v>
      </c>
      <c r="AU670" s="308">
        <v>13</v>
      </c>
      <c r="AV670" s="309">
        <v>70070</v>
      </c>
      <c r="AW670" s="310">
        <f t="shared" si="254"/>
        <v>745306.56200000003</v>
      </c>
      <c r="AX670" s="311">
        <v>14</v>
      </c>
      <c r="AY670" s="312">
        <v>73350</v>
      </c>
      <c r="AZ670" s="313">
        <f t="shared" si="255"/>
        <v>840209.58000000007</v>
      </c>
      <c r="BA670" s="308">
        <v>11</v>
      </c>
      <c r="BB670" s="309">
        <v>67730</v>
      </c>
      <c r="BC670" s="310">
        <f t="shared" si="256"/>
        <v>609583.54599999997</v>
      </c>
      <c r="BD670" s="311">
        <v>8</v>
      </c>
      <c r="BE670" s="312">
        <v>70586</v>
      </c>
      <c r="BF670" s="313">
        <f t="shared" si="257"/>
        <v>462027.72160000005</v>
      </c>
      <c r="BG670" s="308">
        <v>2</v>
      </c>
      <c r="BH670" s="309">
        <v>54000</v>
      </c>
      <c r="BI670" s="310">
        <f t="shared" si="258"/>
        <v>88365.6</v>
      </c>
      <c r="BJ670" s="311">
        <v>3</v>
      </c>
      <c r="BK670" s="312">
        <v>62061</v>
      </c>
      <c r="BL670" s="313">
        <f t="shared" si="259"/>
        <v>152334.93060000002</v>
      </c>
      <c r="BM670" s="308"/>
      <c r="BN670" s="309"/>
      <c r="BO670" s="310">
        <f t="shared" si="260"/>
        <v>0</v>
      </c>
      <c r="BP670" s="311"/>
      <c r="BQ670" s="312"/>
      <c r="BR670" s="313">
        <f t="shared" si="261"/>
        <v>0</v>
      </c>
      <c r="BS670" s="308"/>
      <c r="BT670" s="309"/>
      <c r="BU670" s="310">
        <f t="shared" si="262"/>
        <v>0</v>
      </c>
      <c r="BV670" s="311"/>
      <c r="BW670" s="312"/>
      <c r="BX670" s="313">
        <f t="shared" si="263"/>
        <v>0</v>
      </c>
      <c r="BY670" s="290"/>
    </row>
    <row r="671" spans="1:77">
      <c r="A671" s="354" t="s">
        <v>447</v>
      </c>
      <c r="B671" s="355" t="s">
        <v>701</v>
      </c>
      <c r="C671" s="354">
        <v>233897</v>
      </c>
      <c r="D671" s="356">
        <v>6</v>
      </c>
      <c r="E671" s="308">
        <v>14</v>
      </c>
      <c r="F671" s="309">
        <v>76434</v>
      </c>
      <c r="G671" s="310">
        <f t="shared" si="240"/>
        <v>1070076</v>
      </c>
      <c r="H671" s="311">
        <v>18</v>
      </c>
      <c r="I671" s="312">
        <v>76972</v>
      </c>
      <c r="J671" s="313">
        <f t="shared" si="241"/>
        <v>1385496</v>
      </c>
      <c r="K671" s="308">
        <v>26</v>
      </c>
      <c r="L671" s="309">
        <v>62865</v>
      </c>
      <c r="M671" s="310">
        <f t="shared" si="242"/>
        <v>1634490</v>
      </c>
      <c r="N671" s="311">
        <v>25</v>
      </c>
      <c r="O671" s="312">
        <v>61236</v>
      </c>
      <c r="P671" s="313">
        <f t="shared" si="243"/>
        <v>1530900</v>
      </c>
      <c r="Q671" s="308">
        <v>27</v>
      </c>
      <c r="R671" s="309">
        <v>55989</v>
      </c>
      <c r="S671" s="310">
        <f t="shared" si="244"/>
        <v>1511703</v>
      </c>
      <c r="T671" s="311">
        <v>27</v>
      </c>
      <c r="U671" s="312">
        <v>54744</v>
      </c>
      <c r="V671" s="313">
        <f t="shared" si="245"/>
        <v>1478088</v>
      </c>
      <c r="W671" s="308">
        <v>24</v>
      </c>
      <c r="X671" s="309">
        <v>41821</v>
      </c>
      <c r="Y671" s="310">
        <f t="shared" si="246"/>
        <v>1003704</v>
      </c>
      <c r="Z671" s="311">
        <v>23</v>
      </c>
      <c r="AA671" s="312">
        <v>42830</v>
      </c>
      <c r="AB671" s="313">
        <f t="shared" si="247"/>
        <v>985090</v>
      </c>
      <c r="AC671" s="308">
        <v>4</v>
      </c>
      <c r="AD671" s="309">
        <v>40175</v>
      </c>
      <c r="AE671" s="310">
        <f t="shared" si="248"/>
        <v>160700</v>
      </c>
      <c r="AF671" s="311">
        <v>1</v>
      </c>
      <c r="AG671" s="312">
        <v>38600</v>
      </c>
      <c r="AH671" s="313">
        <f t="shared" si="249"/>
        <v>38600</v>
      </c>
      <c r="AI671" s="308"/>
      <c r="AJ671" s="309"/>
      <c r="AK671" s="310">
        <f t="shared" si="250"/>
        <v>0</v>
      </c>
      <c r="AL671" s="311"/>
      <c r="AM671" s="312"/>
      <c r="AN671" s="313">
        <f t="shared" si="251"/>
        <v>0</v>
      </c>
      <c r="AO671" s="308"/>
      <c r="AP671" s="309"/>
      <c r="AQ671" s="310">
        <f t="shared" si="252"/>
        <v>0</v>
      </c>
      <c r="AR671" s="311"/>
      <c r="AS671" s="312"/>
      <c r="AT671" s="313">
        <f t="shared" si="253"/>
        <v>0</v>
      </c>
      <c r="AU671" s="308"/>
      <c r="AV671" s="309"/>
      <c r="AW671" s="310">
        <f t="shared" si="254"/>
        <v>0</v>
      </c>
      <c r="AX671" s="311"/>
      <c r="AY671" s="312"/>
      <c r="AZ671" s="313">
        <f t="shared" si="255"/>
        <v>0</v>
      </c>
      <c r="BA671" s="308"/>
      <c r="BB671" s="309"/>
      <c r="BC671" s="310">
        <f t="shared" si="256"/>
        <v>0</v>
      </c>
      <c r="BD671" s="311"/>
      <c r="BE671" s="312"/>
      <c r="BF671" s="313">
        <f t="shared" si="257"/>
        <v>0</v>
      </c>
      <c r="BG671" s="308"/>
      <c r="BH671" s="309"/>
      <c r="BI671" s="310">
        <f t="shared" si="258"/>
        <v>0</v>
      </c>
      <c r="BJ671" s="311"/>
      <c r="BK671" s="312"/>
      <c r="BL671" s="313">
        <f t="shared" si="259"/>
        <v>0</v>
      </c>
      <c r="BM671" s="308"/>
      <c r="BN671" s="309"/>
      <c r="BO671" s="310">
        <f t="shared" si="260"/>
        <v>0</v>
      </c>
      <c r="BP671" s="311"/>
      <c r="BQ671" s="312"/>
      <c r="BR671" s="313">
        <f t="shared" si="261"/>
        <v>0</v>
      </c>
      <c r="BS671" s="308"/>
      <c r="BT671" s="309"/>
      <c r="BU671" s="310">
        <f t="shared" si="262"/>
        <v>0</v>
      </c>
      <c r="BV671" s="311"/>
      <c r="BW671" s="312"/>
      <c r="BX671" s="313">
        <f t="shared" si="263"/>
        <v>0</v>
      </c>
      <c r="BY671" s="290"/>
    </row>
    <row r="672" spans="1:77">
      <c r="A672" s="354" t="s">
        <v>447</v>
      </c>
      <c r="B672" s="355" t="s">
        <v>702</v>
      </c>
      <c r="C672" s="354">
        <v>232414</v>
      </c>
      <c r="D672" s="356">
        <v>8</v>
      </c>
      <c r="E672" s="308"/>
      <c r="F672" s="309"/>
      <c r="G672" s="310">
        <f t="shared" si="240"/>
        <v>0</v>
      </c>
      <c r="H672" s="311"/>
      <c r="I672" s="312"/>
      <c r="J672" s="313">
        <f t="shared" si="241"/>
        <v>0</v>
      </c>
      <c r="K672" s="308"/>
      <c r="L672" s="309"/>
      <c r="M672" s="310">
        <f t="shared" si="242"/>
        <v>0</v>
      </c>
      <c r="N672" s="311"/>
      <c r="O672" s="312"/>
      <c r="P672" s="313">
        <f t="shared" si="243"/>
        <v>0</v>
      </c>
      <c r="Q672" s="308"/>
      <c r="R672" s="309"/>
      <c r="S672" s="310">
        <f t="shared" si="244"/>
        <v>0</v>
      </c>
      <c r="T672" s="311"/>
      <c r="U672" s="312"/>
      <c r="V672" s="313">
        <f t="shared" si="245"/>
        <v>0</v>
      </c>
      <c r="W672" s="308"/>
      <c r="X672" s="309"/>
      <c r="Y672" s="310">
        <f t="shared" si="246"/>
        <v>0</v>
      </c>
      <c r="Z672" s="311"/>
      <c r="AA672" s="312"/>
      <c r="AB672" s="313">
        <f t="shared" si="247"/>
        <v>0</v>
      </c>
      <c r="AC672" s="308"/>
      <c r="AD672" s="309"/>
      <c r="AE672" s="310">
        <f t="shared" si="248"/>
        <v>0</v>
      </c>
      <c r="AF672" s="311"/>
      <c r="AG672" s="312"/>
      <c r="AH672" s="313">
        <f t="shared" si="249"/>
        <v>0</v>
      </c>
      <c r="AI672" s="308"/>
      <c r="AJ672" s="309"/>
      <c r="AK672" s="310">
        <f t="shared" si="250"/>
        <v>0</v>
      </c>
      <c r="AL672" s="311"/>
      <c r="AM672" s="312"/>
      <c r="AN672" s="313">
        <f t="shared" si="251"/>
        <v>0</v>
      </c>
      <c r="AO672" s="308"/>
      <c r="AP672" s="309"/>
      <c r="AQ672" s="310">
        <f t="shared" si="252"/>
        <v>0</v>
      </c>
      <c r="AR672" s="311"/>
      <c r="AS672" s="312"/>
      <c r="AT672" s="313">
        <f t="shared" si="253"/>
        <v>0</v>
      </c>
      <c r="AU672" s="308"/>
      <c r="AV672" s="309"/>
      <c r="AW672" s="310">
        <f t="shared" si="254"/>
        <v>0</v>
      </c>
      <c r="AX672" s="311"/>
      <c r="AY672" s="312"/>
      <c r="AZ672" s="313">
        <f t="shared" si="255"/>
        <v>0</v>
      </c>
      <c r="BA672" s="308"/>
      <c r="BB672" s="309"/>
      <c r="BC672" s="310">
        <f t="shared" si="256"/>
        <v>0</v>
      </c>
      <c r="BD672" s="311"/>
      <c r="BE672" s="312"/>
      <c r="BF672" s="313">
        <f t="shared" si="257"/>
        <v>0</v>
      </c>
      <c r="BG672" s="308"/>
      <c r="BH672" s="309"/>
      <c r="BI672" s="310">
        <f t="shared" si="258"/>
        <v>0</v>
      </c>
      <c r="BJ672" s="311"/>
      <c r="BK672" s="312"/>
      <c r="BL672" s="313">
        <f t="shared" si="259"/>
        <v>0</v>
      </c>
      <c r="BM672" s="308"/>
      <c r="BN672" s="309"/>
      <c r="BO672" s="310">
        <f t="shared" si="260"/>
        <v>0</v>
      </c>
      <c r="BP672" s="311"/>
      <c r="BQ672" s="312"/>
      <c r="BR672" s="313">
        <f t="shared" si="261"/>
        <v>0</v>
      </c>
      <c r="BS672" s="308"/>
      <c r="BT672" s="309"/>
      <c r="BU672" s="310">
        <f t="shared" si="262"/>
        <v>0</v>
      </c>
      <c r="BV672" s="311"/>
      <c r="BW672" s="312"/>
      <c r="BX672" s="313">
        <f t="shared" si="263"/>
        <v>0</v>
      </c>
      <c r="BY672" s="290"/>
    </row>
    <row r="673" spans="1:77">
      <c r="A673" s="354" t="s">
        <v>447</v>
      </c>
      <c r="B673" s="355" t="s">
        <v>703</v>
      </c>
      <c r="C673" s="354">
        <v>232946</v>
      </c>
      <c r="D673" s="356">
        <v>8</v>
      </c>
      <c r="E673" s="308"/>
      <c r="F673" s="309"/>
      <c r="G673" s="310">
        <f t="shared" si="240"/>
        <v>0</v>
      </c>
      <c r="H673" s="311"/>
      <c r="I673" s="312"/>
      <c r="J673" s="313">
        <f t="shared" si="241"/>
        <v>0</v>
      </c>
      <c r="K673" s="308"/>
      <c r="L673" s="309"/>
      <c r="M673" s="310">
        <f t="shared" si="242"/>
        <v>0</v>
      </c>
      <c r="N673" s="311"/>
      <c r="O673" s="312"/>
      <c r="P673" s="313">
        <f t="shared" si="243"/>
        <v>0</v>
      </c>
      <c r="Q673" s="308"/>
      <c r="R673" s="309"/>
      <c r="S673" s="310">
        <f t="shared" si="244"/>
        <v>0</v>
      </c>
      <c r="T673" s="311"/>
      <c r="U673" s="312"/>
      <c r="V673" s="313">
        <f t="shared" si="245"/>
        <v>0</v>
      </c>
      <c r="W673" s="308"/>
      <c r="X673" s="309"/>
      <c r="Y673" s="310">
        <f t="shared" si="246"/>
        <v>0</v>
      </c>
      <c r="Z673" s="311"/>
      <c r="AA673" s="312"/>
      <c r="AB673" s="313">
        <f t="shared" si="247"/>
        <v>0</v>
      </c>
      <c r="AC673" s="308"/>
      <c r="AD673" s="309"/>
      <c r="AE673" s="310">
        <f t="shared" si="248"/>
        <v>0</v>
      </c>
      <c r="AF673" s="311"/>
      <c r="AG673" s="312"/>
      <c r="AH673" s="313">
        <f t="shared" si="249"/>
        <v>0</v>
      </c>
      <c r="AI673" s="308"/>
      <c r="AJ673" s="309"/>
      <c r="AK673" s="310">
        <f t="shared" si="250"/>
        <v>0</v>
      </c>
      <c r="AL673" s="311"/>
      <c r="AM673" s="312"/>
      <c r="AN673" s="313">
        <f t="shared" si="251"/>
        <v>0</v>
      </c>
      <c r="AO673" s="308"/>
      <c r="AP673" s="309"/>
      <c r="AQ673" s="310">
        <f t="shared" si="252"/>
        <v>0</v>
      </c>
      <c r="AR673" s="311"/>
      <c r="AS673" s="312"/>
      <c r="AT673" s="313">
        <f t="shared" si="253"/>
        <v>0</v>
      </c>
      <c r="AU673" s="308"/>
      <c r="AV673" s="309"/>
      <c r="AW673" s="310">
        <f t="shared" si="254"/>
        <v>0</v>
      </c>
      <c r="AX673" s="311"/>
      <c r="AY673" s="312"/>
      <c r="AZ673" s="313">
        <f t="shared" si="255"/>
        <v>0</v>
      </c>
      <c r="BA673" s="308"/>
      <c r="BB673" s="309"/>
      <c r="BC673" s="310">
        <f t="shared" si="256"/>
        <v>0</v>
      </c>
      <c r="BD673" s="311"/>
      <c r="BE673" s="312"/>
      <c r="BF673" s="313">
        <f t="shared" si="257"/>
        <v>0</v>
      </c>
      <c r="BG673" s="308"/>
      <c r="BH673" s="309"/>
      <c r="BI673" s="310">
        <f t="shared" si="258"/>
        <v>0</v>
      </c>
      <c r="BJ673" s="311"/>
      <c r="BK673" s="312"/>
      <c r="BL673" s="313">
        <f t="shared" si="259"/>
        <v>0</v>
      </c>
      <c r="BM673" s="308"/>
      <c r="BN673" s="309"/>
      <c r="BO673" s="310">
        <f t="shared" si="260"/>
        <v>0</v>
      </c>
      <c r="BP673" s="311"/>
      <c r="BQ673" s="312"/>
      <c r="BR673" s="313">
        <f t="shared" si="261"/>
        <v>0</v>
      </c>
      <c r="BS673" s="308"/>
      <c r="BT673" s="309"/>
      <c r="BU673" s="310">
        <f t="shared" si="262"/>
        <v>0</v>
      </c>
      <c r="BV673" s="311"/>
      <c r="BW673" s="312"/>
      <c r="BX673" s="313">
        <f t="shared" si="263"/>
        <v>0</v>
      </c>
      <c r="BY673" s="290"/>
    </row>
    <row r="674" spans="1:77">
      <c r="A674" s="354" t="s">
        <v>447</v>
      </c>
      <c r="B674" s="355" t="s">
        <v>704</v>
      </c>
      <c r="C674" s="354">
        <v>233754</v>
      </c>
      <c r="D674" s="356">
        <v>8</v>
      </c>
      <c r="E674" s="308"/>
      <c r="F674" s="309"/>
      <c r="G674" s="310">
        <f t="shared" si="240"/>
        <v>0</v>
      </c>
      <c r="H674" s="311"/>
      <c r="I674" s="312"/>
      <c r="J674" s="313">
        <f t="shared" si="241"/>
        <v>0</v>
      </c>
      <c r="K674" s="308"/>
      <c r="L674" s="309"/>
      <c r="M674" s="310">
        <f t="shared" si="242"/>
        <v>0</v>
      </c>
      <c r="N674" s="311"/>
      <c r="O674" s="312"/>
      <c r="P674" s="313">
        <f t="shared" si="243"/>
        <v>0</v>
      </c>
      <c r="Q674" s="308"/>
      <c r="R674" s="309"/>
      <c r="S674" s="310">
        <f t="shared" si="244"/>
        <v>0</v>
      </c>
      <c r="T674" s="311"/>
      <c r="U674" s="312"/>
      <c r="V674" s="313">
        <f t="shared" si="245"/>
        <v>0</v>
      </c>
      <c r="W674" s="308"/>
      <c r="X674" s="309"/>
      <c r="Y674" s="310">
        <f t="shared" si="246"/>
        <v>0</v>
      </c>
      <c r="Z674" s="311"/>
      <c r="AA674" s="312"/>
      <c r="AB674" s="313">
        <f t="shared" si="247"/>
        <v>0</v>
      </c>
      <c r="AC674" s="308"/>
      <c r="AD674" s="309"/>
      <c r="AE674" s="310">
        <f t="shared" si="248"/>
        <v>0</v>
      </c>
      <c r="AF674" s="311"/>
      <c r="AG674" s="312"/>
      <c r="AH674" s="313">
        <f t="shared" si="249"/>
        <v>0</v>
      </c>
      <c r="AI674" s="308"/>
      <c r="AJ674" s="309"/>
      <c r="AK674" s="310">
        <f t="shared" si="250"/>
        <v>0</v>
      </c>
      <c r="AL674" s="311"/>
      <c r="AM674" s="312"/>
      <c r="AN674" s="313">
        <f t="shared" si="251"/>
        <v>0</v>
      </c>
      <c r="AO674" s="308"/>
      <c r="AP674" s="309"/>
      <c r="AQ674" s="310">
        <f t="shared" si="252"/>
        <v>0</v>
      </c>
      <c r="AR674" s="311"/>
      <c r="AS674" s="312"/>
      <c r="AT674" s="313">
        <f t="shared" si="253"/>
        <v>0</v>
      </c>
      <c r="AU674" s="308"/>
      <c r="AV674" s="309"/>
      <c r="AW674" s="310">
        <f t="shared" si="254"/>
        <v>0</v>
      </c>
      <c r="AX674" s="311"/>
      <c r="AY674" s="312"/>
      <c r="AZ674" s="313">
        <f t="shared" si="255"/>
        <v>0</v>
      </c>
      <c r="BA674" s="308"/>
      <c r="BB674" s="309"/>
      <c r="BC674" s="310">
        <f t="shared" si="256"/>
        <v>0</v>
      </c>
      <c r="BD674" s="311"/>
      <c r="BE674" s="312"/>
      <c r="BF674" s="313">
        <f t="shared" si="257"/>
        <v>0</v>
      </c>
      <c r="BG674" s="308"/>
      <c r="BH674" s="309"/>
      <c r="BI674" s="310">
        <f t="shared" si="258"/>
        <v>0</v>
      </c>
      <c r="BJ674" s="311"/>
      <c r="BK674" s="312"/>
      <c r="BL674" s="313">
        <f t="shared" si="259"/>
        <v>0</v>
      </c>
      <c r="BM674" s="308"/>
      <c r="BN674" s="309"/>
      <c r="BO674" s="310">
        <f t="shared" si="260"/>
        <v>0</v>
      </c>
      <c r="BP674" s="311"/>
      <c r="BQ674" s="312"/>
      <c r="BR674" s="313">
        <f t="shared" si="261"/>
        <v>0</v>
      </c>
      <c r="BS674" s="308"/>
      <c r="BT674" s="309"/>
      <c r="BU674" s="310">
        <f t="shared" si="262"/>
        <v>0</v>
      </c>
      <c r="BV674" s="311"/>
      <c r="BW674" s="312"/>
      <c r="BX674" s="313">
        <f t="shared" si="263"/>
        <v>0</v>
      </c>
      <c r="BY674" s="290"/>
    </row>
    <row r="675" spans="1:77">
      <c r="A675" s="354" t="s">
        <v>447</v>
      </c>
      <c r="B675" s="355" t="s">
        <v>705</v>
      </c>
      <c r="C675" s="354">
        <v>233772</v>
      </c>
      <c r="D675" s="356">
        <v>8</v>
      </c>
      <c r="E675" s="308"/>
      <c r="F675" s="309"/>
      <c r="G675" s="310">
        <f t="shared" si="240"/>
        <v>0</v>
      </c>
      <c r="H675" s="311"/>
      <c r="I675" s="312"/>
      <c r="J675" s="313">
        <f t="shared" si="241"/>
        <v>0</v>
      </c>
      <c r="K675" s="308"/>
      <c r="L675" s="309"/>
      <c r="M675" s="310">
        <f t="shared" si="242"/>
        <v>0</v>
      </c>
      <c r="N675" s="311"/>
      <c r="O675" s="312"/>
      <c r="P675" s="313">
        <f t="shared" si="243"/>
        <v>0</v>
      </c>
      <c r="Q675" s="308"/>
      <c r="R675" s="309"/>
      <c r="S675" s="310">
        <f t="shared" si="244"/>
        <v>0</v>
      </c>
      <c r="T675" s="311"/>
      <c r="U675" s="312"/>
      <c r="V675" s="313">
        <f t="shared" si="245"/>
        <v>0</v>
      </c>
      <c r="W675" s="308"/>
      <c r="X675" s="309"/>
      <c r="Y675" s="310">
        <f t="shared" si="246"/>
        <v>0</v>
      </c>
      <c r="Z675" s="311"/>
      <c r="AA675" s="312"/>
      <c r="AB675" s="313">
        <f t="shared" si="247"/>
        <v>0</v>
      </c>
      <c r="AC675" s="308"/>
      <c r="AD675" s="309"/>
      <c r="AE675" s="310">
        <f t="shared" si="248"/>
        <v>0</v>
      </c>
      <c r="AF675" s="311"/>
      <c r="AG675" s="312"/>
      <c r="AH675" s="313">
        <f t="shared" si="249"/>
        <v>0</v>
      </c>
      <c r="AI675" s="308"/>
      <c r="AJ675" s="309"/>
      <c r="AK675" s="310">
        <f t="shared" si="250"/>
        <v>0</v>
      </c>
      <c r="AL675" s="311"/>
      <c r="AM675" s="312"/>
      <c r="AN675" s="313">
        <f t="shared" si="251"/>
        <v>0</v>
      </c>
      <c r="AO675" s="308"/>
      <c r="AP675" s="309"/>
      <c r="AQ675" s="310">
        <f t="shared" si="252"/>
        <v>0</v>
      </c>
      <c r="AR675" s="311"/>
      <c r="AS675" s="312"/>
      <c r="AT675" s="313">
        <f t="shared" si="253"/>
        <v>0</v>
      </c>
      <c r="AU675" s="308"/>
      <c r="AV675" s="309"/>
      <c r="AW675" s="310">
        <f t="shared" si="254"/>
        <v>0</v>
      </c>
      <c r="AX675" s="311"/>
      <c r="AY675" s="312"/>
      <c r="AZ675" s="313">
        <f t="shared" si="255"/>
        <v>0</v>
      </c>
      <c r="BA675" s="308"/>
      <c r="BB675" s="309"/>
      <c r="BC675" s="310">
        <f t="shared" si="256"/>
        <v>0</v>
      </c>
      <c r="BD675" s="311"/>
      <c r="BE675" s="312"/>
      <c r="BF675" s="313">
        <f t="shared" si="257"/>
        <v>0</v>
      </c>
      <c r="BG675" s="308"/>
      <c r="BH675" s="309"/>
      <c r="BI675" s="310">
        <f t="shared" si="258"/>
        <v>0</v>
      </c>
      <c r="BJ675" s="311"/>
      <c r="BK675" s="312"/>
      <c r="BL675" s="313">
        <f t="shared" si="259"/>
        <v>0</v>
      </c>
      <c r="BM675" s="308"/>
      <c r="BN675" s="309"/>
      <c r="BO675" s="310">
        <f t="shared" si="260"/>
        <v>0</v>
      </c>
      <c r="BP675" s="311"/>
      <c r="BQ675" s="312"/>
      <c r="BR675" s="313">
        <f t="shared" si="261"/>
        <v>0</v>
      </c>
      <c r="BS675" s="308"/>
      <c r="BT675" s="309"/>
      <c r="BU675" s="310">
        <f t="shared" si="262"/>
        <v>0</v>
      </c>
      <c r="BV675" s="311"/>
      <c r="BW675" s="312"/>
      <c r="BX675" s="313">
        <f t="shared" si="263"/>
        <v>0</v>
      </c>
      <c r="BY675" s="290"/>
    </row>
    <row r="676" spans="1:77">
      <c r="A676" s="354" t="s">
        <v>447</v>
      </c>
      <c r="B676" s="355" t="s">
        <v>706</v>
      </c>
      <c r="C676" s="354">
        <v>231536</v>
      </c>
      <c r="D676" s="356">
        <v>9</v>
      </c>
      <c r="E676" s="308"/>
      <c r="F676" s="309"/>
      <c r="G676" s="310">
        <f t="shared" si="240"/>
        <v>0</v>
      </c>
      <c r="H676" s="311"/>
      <c r="I676" s="312"/>
      <c r="J676" s="313">
        <f t="shared" si="241"/>
        <v>0</v>
      </c>
      <c r="K676" s="308"/>
      <c r="L676" s="309"/>
      <c r="M676" s="310">
        <f t="shared" si="242"/>
        <v>0</v>
      </c>
      <c r="N676" s="311"/>
      <c r="O676" s="312"/>
      <c r="P676" s="313">
        <f t="shared" si="243"/>
        <v>0</v>
      </c>
      <c r="Q676" s="308"/>
      <c r="R676" s="309"/>
      <c r="S676" s="310">
        <f t="shared" si="244"/>
        <v>0</v>
      </c>
      <c r="T676" s="311"/>
      <c r="U676" s="312"/>
      <c r="V676" s="313">
        <f t="shared" si="245"/>
        <v>0</v>
      </c>
      <c r="W676" s="308"/>
      <c r="X676" s="309"/>
      <c r="Y676" s="310">
        <f t="shared" si="246"/>
        <v>0</v>
      </c>
      <c r="Z676" s="311"/>
      <c r="AA676" s="312"/>
      <c r="AB676" s="313">
        <f t="shared" si="247"/>
        <v>0</v>
      </c>
      <c r="AC676" s="308"/>
      <c r="AD676" s="309"/>
      <c r="AE676" s="310">
        <f t="shared" si="248"/>
        <v>0</v>
      </c>
      <c r="AF676" s="311"/>
      <c r="AG676" s="312"/>
      <c r="AH676" s="313">
        <f t="shared" si="249"/>
        <v>0</v>
      </c>
      <c r="AI676" s="308"/>
      <c r="AJ676" s="309"/>
      <c r="AK676" s="310">
        <f t="shared" si="250"/>
        <v>0</v>
      </c>
      <c r="AL676" s="311"/>
      <c r="AM676" s="312"/>
      <c r="AN676" s="313">
        <f t="shared" si="251"/>
        <v>0</v>
      </c>
      <c r="AO676" s="308"/>
      <c r="AP676" s="309"/>
      <c r="AQ676" s="310">
        <f t="shared" si="252"/>
        <v>0</v>
      </c>
      <c r="AR676" s="311"/>
      <c r="AS676" s="312"/>
      <c r="AT676" s="313">
        <f t="shared" si="253"/>
        <v>0</v>
      </c>
      <c r="AU676" s="308"/>
      <c r="AV676" s="309"/>
      <c r="AW676" s="310">
        <f t="shared" si="254"/>
        <v>0</v>
      </c>
      <c r="AX676" s="311"/>
      <c r="AY676" s="312"/>
      <c r="AZ676" s="313">
        <f t="shared" si="255"/>
        <v>0</v>
      </c>
      <c r="BA676" s="308"/>
      <c r="BB676" s="309"/>
      <c r="BC676" s="310">
        <f t="shared" si="256"/>
        <v>0</v>
      </c>
      <c r="BD676" s="311"/>
      <c r="BE676" s="312"/>
      <c r="BF676" s="313">
        <f t="shared" si="257"/>
        <v>0</v>
      </c>
      <c r="BG676" s="308"/>
      <c r="BH676" s="309"/>
      <c r="BI676" s="310">
        <f t="shared" si="258"/>
        <v>0</v>
      </c>
      <c r="BJ676" s="311"/>
      <c r="BK676" s="312"/>
      <c r="BL676" s="313">
        <f t="shared" si="259"/>
        <v>0</v>
      </c>
      <c r="BM676" s="308"/>
      <c r="BN676" s="309"/>
      <c r="BO676" s="310">
        <f t="shared" si="260"/>
        <v>0</v>
      </c>
      <c r="BP676" s="311"/>
      <c r="BQ676" s="312"/>
      <c r="BR676" s="313">
        <f t="shared" si="261"/>
        <v>0</v>
      </c>
      <c r="BS676" s="308"/>
      <c r="BT676" s="309"/>
      <c r="BU676" s="310">
        <f t="shared" si="262"/>
        <v>0</v>
      </c>
      <c r="BV676" s="311"/>
      <c r="BW676" s="312"/>
      <c r="BX676" s="313">
        <f t="shared" si="263"/>
        <v>0</v>
      </c>
      <c r="BY676" s="290"/>
    </row>
    <row r="677" spans="1:77">
      <c r="A677" s="354" t="s">
        <v>447</v>
      </c>
      <c r="B677" s="355" t="s">
        <v>707</v>
      </c>
      <c r="C677" s="354">
        <v>231697</v>
      </c>
      <c r="D677" s="356">
        <v>9</v>
      </c>
      <c r="E677" s="308"/>
      <c r="F677" s="309"/>
      <c r="G677" s="310">
        <f t="shared" si="240"/>
        <v>0</v>
      </c>
      <c r="H677" s="311"/>
      <c r="I677" s="312"/>
      <c r="J677" s="313">
        <f t="shared" si="241"/>
        <v>0</v>
      </c>
      <c r="K677" s="308"/>
      <c r="L677" s="309"/>
      <c r="M677" s="310">
        <f t="shared" si="242"/>
        <v>0</v>
      </c>
      <c r="N677" s="311"/>
      <c r="O677" s="312"/>
      <c r="P677" s="313">
        <f t="shared" si="243"/>
        <v>0</v>
      </c>
      <c r="Q677" s="308"/>
      <c r="R677" s="309"/>
      <c r="S677" s="310">
        <f t="shared" si="244"/>
        <v>0</v>
      </c>
      <c r="T677" s="311"/>
      <c r="U677" s="312"/>
      <c r="V677" s="313">
        <f t="shared" si="245"/>
        <v>0</v>
      </c>
      <c r="W677" s="308"/>
      <c r="X677" s="309"/>
      <c r="Y677" s="310">
        <f t="shared" si="246"/>
        <v>0</v>
      </c>
      <c r="Z677" s="311"/>
      <c r="AA677" s="312"/>
      <c r="AB677" s="313">
        <f t="shared" si="247"/>
        <v>0</v>
      </c>
      <c r="AC677" s="308"/>
      <c r="AD677" s="309"/>
      <c r="AE677" s="310">
        <f t="shared" si="248"/>
        <v>0</v>
      </c>
      <c r="AF677" s="311"/>
      <c r="AG677" s="312"/>
      <c r="AH677" s="313">
        <f t="shared" si="249"/>
        <v>0</v>
      </c>
      <c r="AI677" s="308"/>
      <c r="AJ677" s="309"/>
      <c r="AK677" s="310">
        <f t="shared" si="250"/>
        <v>0</v>
      </c>
      <c r="AL677" s="311"/>
      <c r="AM677" s="312"/>
      <c r="AN677" s="313">
        <f t="shared" si="251"/>
        <v>0</v>
      </c>
      <c r="AO677" s="308"/>
      <c r="AP677" s="309"/>
      <c r="AQ677" s="310">
        <f t="shared" si="252"/>
        <v>0</v>
      </c>
      <c r="AR677" s="311"/>
      <c r="AS677" s="312"/>
      <c r="AT677" s="313">
        <f t="shared" si="253"/>
        <v>0</v>
      </c>
      <c r="AU677" s="308"/>
      <c r="AV677" s="309"/>
      <c r="AW677" s="310">
        <f t="shared" si="254"/>
        <v>0</v>
      </c>
      <c r="AX677" s="311"/>
      <c r="AY677" s="312"/>
      <c r="AZ677" s="313">
        <f t="shared" si="255"/>
        <v>0</v>
      </c>
      <c r="BA677" s="308"/>
      <c r="BB677" s="309"/>
      <c r="BC677" s="310">
        <f t="shared" si="256"/>
        <v>0</v>
      </c>
      <c r="BD677" s="311"/>
      <c r="BE677" s="312"/>
      <c r="BF677" s="313">
        <f t="shared" si="257"/>
        <v>0</v>
      </c>
      <c r="BG677" s="308"/>
      <c r="BH677" s="309"/>
      <c r="BI677" s="310">
        <f t="shared" si="258"/>
        <v>0</v>
      </c>
      <c r="BJ677" s="311"/>
      <c r="BK677" s="312"/>
      <c r="BL677" s="313">
        <f t="shared" si="259"/>
        <v>0</v>
      </c>
      <c r="BM677" s="308"/>
      <c r="BN677" s="309"/>
      <c r="BO677" s="310">
        <f t="shared" si="260"/>
        <v>0</v>
      </c>
      <c r="BP677" s="311"/>
      <c r="BQ677" s="312"/>
      <c r="BR677" s="313">
        <f t="shared" si="261"/>
        <v>0</v>
      </c>
      <c r="BS677" s="308"/>
      <c r="BT677" s="309"/>
      <c r="BU677" s="310">
        <f t="shared" si="262"/>
        <v>0</v>
      </c>
      <c r="BV677" s="311"/>
      <c r="BW677" s="312"/>
      <c r="BX677" s="313">
        <f t="shared" si="263"/>
        <v>0</v>
      </c>
      <c r="BY677" s="290"/>
    </row>
    <row r="678" spans="1:77">
      <c r="A678" s="354" t="s">
        <v>447</v>
      </c>
      <c r="B678" s="355" t="s">
        <v>708</v>
      </c>
      <c r="C678" s="354">
        <v>231882</v>
      </c>
      <c r="D678" s="356">
        <v>9</v>
      </c>
      <c r="E678" s="308"/>
      <c r="F678" s="309"/>
      <c r="G678" s="310">
        <f t="shared" si="240"/>
        <v>0</v>
      </c>
      <c r="H678" s="311"/>
      <c r="I678" s="312"/>
      <c r="J678" s="313">
        <f t="shared" si="241"/>
        <v>0</v>
      </c>
      <c r="K678" s="308"/>
      <c r="L678" s="309"/>
      <c r="M678" s="310">
        <f t="shared" si="242"/>
        <v>0</v>
      </c>
      <c r="N678" s="311"/>
      <c r="O678" s="312"/>
      <c r="P678" s="313">
        <f t="shared" si="243"/>
        <v>0</v>
      </c>
      <c r="Q678" s="308"/>
      <c r="R678" s="309"/>
      <c r="S678" s="310">
        <f t="shared" si="244"/>
        <v>0</v>
      </c>
      <c r="T678" s="311"/>
      <c r="U678" s="312"/>
      <c r="V678" s="313">
        <f t="shared" si="245"/>
        <v>0</v>
      </c>
      <c r="W678" s="308"/>
      <c r="X678" s="309"/>
      <c r="Y678" s="310">
        <f t="shared" si="246"/>
        <v>0</v>
      </c>
      <c r="Z678" s="311"/>
      <c r="AA678" s="312"/>
      <c r="AB678" s="313">
        <f t="shared" si="247"/>
        <v>0</v>
      </c>
      <c r="AC678" s="308"/>
      <c r="AD678" s="309"/>
      <c r="AE678" s="310">
        <f t="shared" si="248"/>
        <v>0</v>
      </c>
      <c r="AF678" s="311"/>
      <c r="AG678" s="312"/>
      <c r="AH678" s="313">
        <f t="shared" si="249"/>
        <v>0</v>
      </c>
      <c r="AI678" s="308"/>
      <c r="AJ678" s="309"/>
      <c r="AK678" s="310">
        <f t="shared" si="250"/>
        <v>0</v>
      </c>
      <c r="AL678" s="311"/>
      <c r="AM678" s="312"/>
      <c r="AN678" s="313">
        <f t="shared" si="251"/>
        <v>0</v>
      </c>
      <c r="AO678" s="308"/>
      <c r="AP678" s="309"/>
      <c r="AQ678" s="310">
        <f t="shared" si="252"/>
        <v>0</v>
      </c>
      <c r="AR678" s="311"/>
      <c r="AS678" s="312"/>
      <c r="AT678" s="313">
        <f t="shared" si="253"/>
        <v>0</v>
      </c>
      <c r="AU678" s="308"/>
      <c r="AV678" s="309"/>
      <c r="AW678" s="310">
        <f t="shared" si="254"/>
        <v>0</v>
      </c>
      <c r="AX678" s="311"/>
      <c r="AY678" s="312"/>
      <c r="AZ678" s="313">
        <f t="shared" si="255"/>
        <v>0</v>
      </c>
      <c r="BA678" s="308"/>
      <c r="BB678" s="309"/>
      <c r="BC678" s="310">
        <f t="shared" si="256"/>
        <v>0</v>
      </c>
      <c r="BD678" s="311"/>
      <c r="BE678" s="312"/>
      <c r="BF678" s="313">
        <f t="shared" si="257"/>
        <v>0</v>
      </c>
      <c r="BG678" s="308"/>
      <c r="BH678" s="309"/>
      <c r="BI678" s="310">
        <f t="shared" si="258"/>
        <v>0</v>
      </c>
      <c r="BJ678" s="311"/>
      <c r="BK678" s="312"/>
      <c r="BL678" s="313">
        <f t="shared" si="259"/>
        <v>0</v>
      </c>
      <c r="BM678" s="308"/>
      <c r="BN678" s="309"/>
      <c r="BO678" s="310">
        <f t="shared" si="260"/>
        <v>0</v>
      </c>
      <c r="BP678" s="311"/>
      <c r="BQ678" s="312"/>
      <c r="BR678" s="313">
        <f t="shared" si="261"/>
        <v>0</v>
      </c>
      <c r="BS678" s="308"/>
      <c r="BT678" s="309"/>
      <c r="BU678" s="310">
        <f t="shared" si="262"/>
        <v>0</v>
      </c>
      <c r="BV678" s="311"/>
      <c r="BW678" s="312"/>
      <c r="BX678" s="313">
        <f t="shared" si="263"/>
        <v>0</v>
      </c>
      <c r="BY678" s="290"/>
    </row>
    <row r="679" spans="1:77">
      <c r="A679" s="354" t="s">
        <v>447</v>
      </c>
      <c r="B679" s="355" t="s">
        <v>709</v>
      </c>
      <c r="C679" s="354">
        <v>232195</v>
      </c>
      <c r="D679" s="356">
        <v>9</v>
      </c>
      <c r="E679" s="308"/>
      <c r="F679" s="309"/>
      <c r="G679" s="310">
        <f t="shared" si="240"/>
        <v>0</v>
      </c>
      <c r="H679" s="311"/>
      <c r="I679" s="312"/>
      <c r="J679" s="313">
        <f t="shared" si="241"/>
        <v>0</v>
      </c>
      <c r="K679" s="308"/>
      <c r="L679" s="309"/>
      <c r="M679" s="310">
        <f t="shared" si="242"/>
        <v>0</v>
      </c>
      <c r="N679" s="311"/>
      <c r="O679" s="312"/>
      <c r="P679" s="313">
        <f t="shared" si="243"/>
        <v>0</v>
      </c>
      <c r="Q679" s="308"/>
      <c r="R679" s="309"/>
      <c r="S679" s="310">
        <f t="shared" si="244"/>
        <v>0</v>
      </c>
      <c r="T679" s="311"/>
      <c r="U679" s="312"/>
      <c r="V679" s="313">
        <f t="shared" si="245"/>
        <v>0</v>
      </c>
      <c r="W679" s="308"/>
      <c r="X679" s="309"/>
      <c r="Y679" s="310">
        <f t="shared" si="246"/>
        <v>0</v>
      </c>
      <c r="Z679" s="311"/>
      <c r="AA679" s="312"/>
      <c r="AB679" s="313">
        <f t="shared" si="247"/>
        <v>0</v>
      </c>
      <c r="AC679" s="308"/>
      <c r="AD679" s="309"/>
      <c r="AE679" s="310">
        <f t="shared" si="248"/>
        <v>0</v>
      </c>
      <c r="AF679" s="311"/>
      <c r="AG679" s="312"/>
      <c r="AH679" s="313">
        <f t="shared" si="249"/>
        <v>0</v>
      </c>
      <c r="AI679" s="308"/>
      <c r="AJ679" s="309"/>
      <c r="AK679" s="310">
        <f t="shared" si="250"/>
        <v>0</v>
      </c>
      <c r="AL679" s="311"/>
      <c r="AM679" s="312"/>
      <c r="AN679" s="313">
        <f t="shared" si="251"/>
        <v>0</v>
      </c>
      <c r="AO679" s="308"/>
      <c r="AP679" s="309"/>
      <c r="AQ679" s="310">
        <f t="shared" si="252"/>
        <v>0</v>
      </c>
      <c r="AR679" s="311"/>
      <c r="AS679" s="312"/>
      <c r="AT679" s="313">
        <f t="shared" si="253"/>
        <v>0</v>
      </c>
      <c r="AU679" s="308"/>
      <c r="AV679" s="309"/>
      <c r="AW679" s="310">
        <f t="shared" si="254"/>
        <v>0</v>
      </c>
      <c r="AX679" s="311"/>
      <c r="AY679" s="312"/>
      <c r="AZ679" s="313">
        <f t="shared" si="255"/>
        <v>0</v>
      </c>
      <c r="BA679" s="308"/>
      <c r="BB679" s="309"/>
      <c r="BC679" s="310">
        <f t="shared" si="256"/>
        <v>0</v>
      </c>
      <c r="BD679" s="311"/>
      <c r="BE679" s="312"/>
      <c r="BF679" s="313">
        <f t="shared" si="257"/>
        <v>0</v>
      </c>
      <c r="BG679" s="308"/>
      <c r="BH679" s="309"/>
      <c r="BI679" s="310">
        <f t="shared" si="258"/>
        <v>0</v>
      </c>
      <c r="BJ679" s="311"/>
      <c r="BK679" s="312"/>
      <c r="BL679" s="313">
        <f t="shared" si="259"/>
        <v>0</v>
      </c>
      <c r="BM679" s="308"/>
      <c r="BN679" s="309"/>
      <c r="BO679" s="310">
        <f t="shared" si="260"/>
        <v>0</v>
      </c>
      <c r="BP679" s="311"/>
      <c r="BQ679" s="312"/>
      <c r="BR679" s="313">
        <f t="shared" si="261"/>
        <v>0</v>
      </c>
      <c r="BS679" s="308"/>
      <c r="BT679" s="309"/>
      <c r="BU679" s="310">
        <f t="shared" si="262"/>
        <v>0</v>
      </c>
      <c r="BV679" s="311"/>
      <c r="BW679" s="312"/>
      <c r="BX679" s="313">
        <f t="shared" si="263"/>
        <v>0</v>
      </c>
      <c r="BY679" s="290"/>
    </row>
    <row r="680" spans="1:77">
      <c r="A680" s="354" t="s">
        <v>447</v>
      </c>
      <c r="B680" s="355" t="s">
        <v>710</v>
      </c>
      <c r="C680" s="354">
        <v>232450</v>
      </c>
      <c r="D680" s="356">
        <v>9</v>
      </c>
      <c r="E680" s="308"/>
      <c r="F680" s="309"/>
      <c r="G680" s="310">
        <f t="shared" si="240"/>
        <v>0</v>
      </c>
      <c r="H680" s="311"/>
      <c r="I680" s="312"/>
      <c r="J680" s="313">
        <f t="shared" si="241"/>
        <v>0</v>
      </c>
      <c r="K680" s="308"/>
      <c r="L680" s="309"/>
      <c r="M680" s="310">
        <f t="shared" si="242"/>
        <v>0</v>
      </c>
      <c r="N680" s="311"/>
      <c r="O680" s="312"/>
      <c r="P680" s="313">
        <f t="shared" si="243"/>
        <v>0</v>
      </c>
      <c r="Q680" s="308"/>
      <c r="R680" s="309"/>
      <c r="S680" s="310">
        <f t="shared" si="244"/>
        <v>0</v>
      </c>
      <c r="T680" s="311"/>
      <c r="U680" s="312"/>
      <c r="V680" s="313">
        <f t="shared" si="245"/>
        <v>0</v>
      </c>
      <c r="W680" s="308"/>
      <c r="X680" s="309"/>
      <c r="Y680" s="310">
        <f t="shared" si="246"/>
        <v>0</v>
      </c>
      <c r="Z680" s="311"/>
      <c r="AA680" s="312"/>
      <c r="AB680" s="313">
        <f t="shared" si="247"/>
        <v>0</v>
      </c>
      <c r="AC680" s="308"/>
      <c r="AD680" s="309"/>
      <c r="AE680" s="310">
        <f t="shared" si="248"/>
        <v>0</v>
      </c>
      <c r="AF680" s="311"/>
      <c r="AG680" s="312"/>
      <c r="AH680" s="313">
        <f t="shared" si="249"/>
        <v>0</v>
      </c>
      <c r="AI680" s="308"/>
      <c r="AJ680" s="309"/>
      <c r="AK680" s="310">
        <f t="shared" si="250"/>
        <v>0</v>
      </c>
      <c r="AL680" s="311"/>
      <c r="AM680" s="312"/>
      <c r="AN680" s="313">
        <f t="shared" si="251"/>
        <v>0</v>
      </c>
      <c r="AO680" s="308"/>
      <c r="AP680" s="309"/>
      <c r="AQ680" s="310">
        <f t="shared" si="252"/>
        <v>0</v>
      </c>
      <c r="AR680" s="311"/>
      <c r="AS680" s="312"/>
      <c r="AT680" s="313">
        <f t="shared" si="253"/>
        <v>0</v>
      </c>
      <c r="AU680" s="308"/>
      <c r="AV680" s="309"/>
      <c r="AW680" s="310">
        <f t="shared" si="254"/>
        <v>0</v>
      </c>
      <c r="AX680" s="311"/>
      <c r="AY680" s="312"/>
      <c r="AZ680" s="313">
        <f t="shared" si="255"/>
        <v>0</v>
      </c>
      <c r="BA680" s="308"/>
      <c r="BB680" s="309"/>
      <c r="BC680" s="310">
        <f t="shared" si="256"/>
        <v>0</v>
      </c>
      <c r="BD680" s="311"/>
      <c r="BE680" s="312"/>
      <c r="BF680" s="313">
        <f t="shared" si="257"/>
        <v>0</v>
      </c>
      <c r="BG680" s="308"/>
      <c r="BH680" s="309"/>
      <c r="BI680" s="310">
        <f t="shared" si="258"/>
        <v>0</v>
      </c>
      <c r="BJ680" s="311"/>
      <c r="BK680" s="312"/>
      <c r="BL680" s="313">
        <f t="shared" si="259"/>
        <v>0</v>
      </c>
      <c r="BM680" s="308"/>
      <c r="BN680" s="309"/>
      <c r="BO680" s="310">
        <f t="shared" si="260"/>
        <v>0</v>
      </c>
      <c r="BP680" s="311"/>
      <c r="BQ680" s="312"/>
      <c r="BR680" s="313">
        <f t="shared" si="261"/>
        <v>0</v>
      </c>
      <c r="BS680" s="308"/>
      <c r="BT680" s="309"/>
      <c r="BU680" s="310">
        <f t="shared" si="262"/>
        <v>0</v>
      </c>
      <c r="BV680" s="311"/>
      <c r="BW680" s="312"/>
      <c r="BX680" s="313">
        <f t="shared" si="263"/>
        <v>0</v>
      </c>
      <c r="BY680" s="290"/>
    </row>
    <row r="681" spans="1:77">
      <c r="A681" s="354" t="s">
        <v>447</v>
      </c>
      <c r="B681" s="355" t="s">
        <v>711</v>
      </c>
      <c r="C681" s="354">
        <v>232575</v>
      </c>
      <c r="D681" s="356">
        <v>9</v>
      </c>
      <c r="E681" s="308"/>
      <c r="F681" s="309"/>
      <c r="G681" s="310">
        <f t="shared" si="240"/>
        <v>0</v>
      </c>
      <c r="H681" s="311"/>
      <c r="I681" s="312"/>
      <c r="J681" s="313">
        <f t="shared" si="241"/>
        <v>0</v>
      </c>
      <c r="K681" s="308"/>
      <c r="L681" s="309"/>
      <c r="M681" s="310">
        <f t="shared" si="242"/>
        <v>0</v>
      </c>
      <c r="N681" s="311"/>
      <c r="O681" s="312"/>
      <c r="P681" s="313">
        <f t="shared" si="243"/>
        <v>0</v>
      </c>
      <c r="Q681" s="308"/>
      <c r="R681" s="309"/>
      <c r="S681" s="310">
        <f t="shared" si="244"/>
        <v>0</v>
      </c>
      <c r="T681" s="311"/>
      <c r="U681" s="312"/>
      <c r="V681" s="313">
        <f t="shared" si="245"/>
        <v>0</v>
      </c>
      <c r="W681" s="308"/>
      <c r="X681" s="309"/>
      <c r="Y681" s="310">
        <f t="shared" si="246"/>
        <v>0</v>
      </c>
      <c r="Z681" s="311"/>
      <c r="AA681" s="312"/>
      <c r="AB681" s="313">
        <f t="shared" si="247"/>
        <v>0</v>
      </c>
      <c r="AC681" s="308"/>
      <c r="AD681" s="309"/>
      <c r="AE681" s="310">
        <f t="shared" si="248"/>
        <v>0</v>
      </c>
      <c r="AF681" s="311"/>
      <c r="AG681" s="312"/>
      <c r="AH681" s="313">
        <f t="shared" si="249"/>
        <v>0</v>
      </c>
      <c r="AI681" s="308"/>
      <c r="AJ681" s="309"/>
      <c r="AK681" s="310">
        <f t="shared" si="250"/>
        <v>0</v>
      </c>
      <c r="AL681" s="311"/>
      <c r="AM681" s="312"/>
      <c r="AN681" s="313">
        <f t="shared" si="251"/>
        <v>0</v>
      </c>
      <c r="AO681" s="308"/>
      <c r="AP681" s="309"/>
      <c r="AQ681" s="310">
        <f t="shared" si="252"/>
        <v>0</v>
      </c>
      <c r="AR681" s="311"/>
      <c r="AS681" s="312"/>
      <c r="AT681" s="313">
        <f t="shared" si="253"/>
        <v>0</v>
      </c>
      <c r="AU681" s="308"/>
      <c r="AV681" s="309"/>
      <c r="AW681" s="310">
        <f t="shared" si="254"/>
        <v>0</v>
      </c>
      <c r="AX681" s="311"/>
      <c r="AY681" s="312"/>
      <c r="AZ681" s="313">
        <f t="shared" si="255"/>
        <v>0</v>
      </c>
      <c r="BA681" s="308"/>
      <c r="BB681" s="309"/>
      <c r="BC681" s="310">
        <f t="shared" si="256"/>
        <v>0</v>
      </c>
      <c r="BD681" s="311"/>
      <c r="BE681" s="312"/>
      <c r="BF681" s="313">
        <f t="shared" si="257"/>
        <v>0</v>
      </c>
      <c r="BG681" s="308"/>
      <c r="BH681" s="309"/>
      <c r="BI681" s="310">
        <f t="shared" si="258"/>
        <v>0</v>
      </c>
      <c r="BJ681" s="311"/>
      <c r="BK681" s="312"/>
      <c r="BL681" s="313">
        <f t="shared" si="259"/>
        <v>0</v>
      </c>
      <c r="BM681" s="308"/>
      <c r="BN681" s="309"/>
      <c r="BO681" s="310">
        <f t="shared" si="260"/>
        <v>0</v>
      </c>
      <c r="BP681" s="311"/>
      <c r="BQ681" s="312"/>
      <c r="BR681" s="313">
        <f t="shared" si="261"/>
        <v>0</v>
      </c>
      <c r="BS681" s="308"/>
      <c r="BT681" s="309"/>
      <c r="BU681" s="310">
        <f t="shared" si="262"/>
        <v>0</v>
      </c>
      <c r="BV681" s="311"/>
      <c r="BW681" s="312"/>
      <c r="BX681" s="313">
        <f t="shared" si="263"/>
        <v>0</v>
      </c>
      <c r="BY681" s="290"/>
    </row>
    <row r="682" spans="1:77">
      <c r="A682" s="354" t="s">
        <v>447</v>
      </c>
      <c r="B682" s="355" t="s">
        <v>712</v>
      </c>
      <c r="C682" s="354">
        <v>232867</v>
      </c>
      <c r="D682" s="356">
        <v>9</v>
      </c>
      <c r="E682" s="308"/>
      <c r="F682" s="309"/>
      <c r="G682" s="310">
        <f t="shared" si="240"/>
        <v>0</v>
      </c>
      <c r="H682" s="311"/>
      <c r="I682" s="312"/>
      <c r="J682" s="313">
        <f t="shared" si="241"/>
        <v>0</v>
      </c>
      <c r="K682" s="308"/>
      <c r="L682" s="309"/>
      <c r="M682" s="310">
        <f t="shared" si="242"/>
        <v>0</v>
      </c>
      <c r="N682" s="311"/>
      <c r="O682" s="312"/>
      <c r="P682" s="313">
        <f t="shared" si="243"/>
        <v>0</v>
      </c>
      <c r="Q682" s="308"/>
      <c r="R682" s="309"/>
      <c r="S682" s="310">
        <f t="shared" si="244"/>
        <v>0</v>
      </c>
      <c r="T682" s="311"/>
      <c r="U682" s="312"/>
      <c r="V682" s="313">
        <f t="shared" si="245"/>
        <v>0</v>
      </c>
      <c r="W682" s="308"/>
      <c r="X682" s="309"/>
      <c r="Y682" s="310">
        <f t="shared" si="246"/>
        <v>0</v>
      </c>
      <c r="Z682" s="311"/>
      <c r="AA682" s="312"/>
      <c r="AB682" s="313">
        <f t="shared" si="247"/>
        <v>0</v>
      </c>
      <c r="AC682" s="308"/>
      <c r="AD682" s="309"/>
      <c r="AE682" s="310">
        <f t="shared" si="248"/>
        <v>0</v>
      </c>
      <c r="AF682" s="311"/>
      <c r="AG682" s="312"/>
      <c r="AH682" s="313">
        <f t="shared" si="249"/>
        <v>0</v>
      </c>
      <c r="AI682" s="308"/>
      <c r="AJ682" s="309"/>
      <c r="AK682" s="310">
        <f t="shared" si="250"/>
        <v>0</v>
      </c>
      <c r="AL682" s="311"/>
      <c r="AM682" s="312"/>
      <c r="AN682" s="313">
        <f t="shared" si="251"/>
        <v>0</v>
      </c>
      <c r="AO682" s="308"/>
      <c r="AP682" s="309"/>
      <c r="AQ682" s="310">
        <f t="shared" si="252"/>
        <v>0</v>
      </c>
      <c r="AR682" s="311"/>
      <c r="AS682" s="312"/>
      <c r="AT682" s="313">
        <f t="shared" si="253"/>
        <v>0</v>
      </c>
      <c r="AU682" s="308"/>
      <c r="AV682" s="309"/>
      <c r="AW682" s="310">
        <f t="shared" si="254"/>
        <v>0</v>
      </c>
      <c r="AX682" s="311"/>
      <c r="AY682" s="312"/>
      <c r="AZ682" s="313">
        <f t="shared" si="255"/>
        <v>0</v>
      </c>
      <c r="BA682" s="308"/>
      <c r="BB682" s="309"/>
      <c r="BC682" s="310">
        <f t="shared" si="256"/>
        <v>0</v>
      </c>
      <c r="BD682" s="311"/>
      <c r="BE682" s="312"/>
      <c r="BF682" s="313">
        <f t="shared" si="257"/>
        <v>0</v>
      </c>
      <c r="BG682" s="308"/>
      <c r="BH682" s="309"/>
      <c r="BI682" s="310">
        <f t="shared" si="258"/>
        <v>0</v>
      </c>
      <c r="BJ682" s="311"/>
      <c r="BK682" s="312"/>
      <c r="BL682" s="313">
        <f t="shared" si="259"/>
        <v>0</v>
      </c>
      <c r="BM682" s="308"/>
      <c r="BN682" s="309"/>
      <c r="BO682" s="310">
        <f t="shared" si="260"/>
        <v>0</v>
      </c>
      <c r="BP682" s="311"/>
      <c r="BQ682" s="312"/>
      <c r="BR682" s="313">
        <f t="shared" si="261"/>
        <v>0</v>
      </c>
      <c r="BS682" s="308"/>
      <c r="BT682" s="309"/>
      <c r="BU682" s="310">
        <f t="shared" si="262"/>
        <v>0</v>
      </c>
      <c r="BV682" s="311"/>
      <c r="BW682" s="312"/>
      <c r="BX682" s="313">
        <f t="shared" si="263"/>
        <v>0</v>
      </c>
      <c r="BY682" s="290"/>
    </row>
    <row r="683" spans="1:77">
      <c r="A683" s="354" t="s">
        <v>447</v>
      </c>
      <c r="B683" s="355" t="s">
        <v>714</v>
      </c>
      <c r="C683" s="354">
        <v>233116</v>
      </c>
      <c r="D683" s="356">
        <v>9</v>
      </c>
      <c r="E683" s="308"/>
      <c r="F683" s="309"/>
      <c r="G683" s="310">
        <f t="shared" si="240"/>
        <v>0</v>
      </c>
      <c r="H683" s="311"/>
      <c r="I683" s="312"/>
      <c r="J683" s="313">
        <f t="shared" si="241"/>
        <v>0</v>
      </c>
      <c r="K683" s="308"/>
      <c r="L683" s="309"/>
      <c r="M683" s="310">
        <f t="shared" si="242"/>
        <v>0</v>
      </c>
      <c r="N683" s="311"/>
      <c r="O683" s="312"/>
      <c r="P683" s="313">
        <f t="shared" si="243"/>
        <v>0</v>
      </c>
      <c r="Q683" s="308"/>
      <c r="R683" s="309"/>
      <c r="S683" s="310">
        <f t="shared" si="244"/>
        <v>0</v>
      </c>
      <c r="T683" s="311"/>
      <c r="U683" s="312"/>
      <c r="V683" s="313">
        <f t="shared" si="245"/>
        <v>0</v>
      </c>
      <c r="W683" s="308"/>
      <c r="X683" s="309"/>
      <c r="Y683" s="310">
        <f t="shared" si="246"/>
        <v>0</v>
      </c>
      <c r="Z683" s="311"/>
      <c r="AA683" s="312"/>
      <c r="AB683" s="313">
        <f t="shared" si="247"/>
        <v>0</v>
      </c>
      <c r="AC683" s="308"/>
      <c r="AD683" s="309"/>
      <c r="AE683" s="310">
        <f t="shared" si="248"/>
        <v>0</v>
      </c>
      <c r="AF683" s="311"/>
      <c r="AG683" s="312"/>
      <c r="AH683" s="313">
        <f t="shared" si="249"/>
        <v>0</v>
      </c>
      <c r="AI683" s="308"/>
      <c r="AJ683" s="309"/>
      <c r="AK683" s="310">
        <f t="shared" si="250"/>
        <v>0</v>
      </c>
      <c r="AL683" s="311"/>
      <c r="AM683" s="312"/>
      <c r="AN683" s="313">
        <f t="shared" si="251"/>
        <v>0</v>
      </c>
      <c r="AO683" s="308"/>
      <c r="AP683" s="309"/>
      <c r="AQ683" s="310">
        <f t="shared" si="252"/>
        <v>0</v>
      </c>
      <c r="AR683" s="311"/>
      <c r="AS683" s="312"/>
      <c r="AT683" s="313">
        <f t="shared" si="253"/>
        <v>0</v>
      </c>
      <c r="AU683" s="308"/>
      <c r="AV683" s="309"/>
      <c r="AW683" s="310">
        <f t="shared" si="254"/>
        <v>0</v>
      </c>
      <c r="AX683" s="311"/>
      <c r="AY683" s="312"/>
      <c r="AZ683" s="313">
        <f t="shared" si="255"/>
        <v>0</v>
      </c>
      <c r="BA683" s="308"/>
      <c r="BB683" s="309"/>
      <c r="BC683" s="310">
        <f t="shared" si="256"/>
        <v>0</v>
      </c>
      <c r="BD683" s="311"/>
      <c r="BE683" s="312"/>
      <c r="BF683" s="313">
        <f t="shared" si="257"/>
        <v>0</v>
      </c>
      <c r="BG683" s="308"/>
      <c r="BH683" s="309"/>
      <c r="BI683" s="310">
        <f t="shared" si="258"/>
        <v>0</v>
      </c>
      <c r="BJ683" s="311"/>
      <c r="BK683" s="312"/>
      <c r="BL683" s="313">
        <f t="shared" si="259"/>
        <v>0</v>
      </c>
      <c r="BM683" s="308"/>
      <c r="BN683" s="309"/>
      <c r="BO683" s="310">
        <f t="shared" si="260"/>
        <v>0</v>
      </c>
      <c r="BP683" s="311"/>
      <c r="BQ683" s="312"/>
      <c r="BR683" s="313">
        <f t="shared" si="261"/>
        <v>0</v>
      </c>
      <c r="BS683" s="308"/>
      <c r="BT683" s="309"/>
      <c r="BU683" s="310">
        <f t="shared" si="262"/>
        <v>0</v>
      </c>
      <c r="BV683" s="311"/>
      <c r="BW683" s="312"/>
      <c r="BX683" s="313">
        <f t="shared" si="263"/>
        <v>0</v>
      </c>
      <c r="BY683" s="290"/>
    </row>
    <row r="684" spans="1:77">
      <c r="A684" s="354" t="s">
        <v>447</v>
      </c>
      <c r="B684" s="355" t="s">
        <v>715</v>
      </c>
      <c r="C684" s="354">
        <v>233639</v>
      </c>
      <c r="D684" s="356">
        <v>9</v>
      </c>
      <c r="E684" s="308"/>
      <c r="F684" s="309"/>
      <c r="G684" s="310">
        <f t="shared" si="240"/>
        <v>0</v>
      </c>
      <c r="H684" s="311"/>
      <c r="I684" s="312"/>
      <c r="J684" s="313">
        <f t="shared" si="241"/>
        <v>0</v>
      </c>
      <c r="K684" s="308"/>
      <c r="L684" s="309"/>
      <c r="M684" s="310">
        <f t="shared" si="242"/>
        <v>0</v>
      </c>
      <c r="N684" s="311"/>
      <c r="O684" s="312"/>
      <c r="P684" s="313">
        <f t="shared" si="243"/>
        <v>0</v>
      </c>
      <c r="Q684" s="308"/>
      <c r="R684" s="309"/>
      <c r="S684" s="310">
        <f t="shared" si="244"/>
        <v>0</v>
      </c>
      <c r="T684" s="311"/>
      <c r="U684" s="312"/>
      <c r="V684" s="313">
        <f t="shared" si="245"/>
        <v>0</v>
      </c>
      <c r="W684" s="308"/>
      <c r="X684" s="309"/>
      <c r="Y684" s="310">
        <f t="shared" si="246"/>
        <v>0</v>
      </c>
      <c r="Z684" s="311"/>
      <c r="AA684" s="312"/>
      <c r="AB684" s="313">
        <f t="shared" si="247"/>
        <v>0</v>
      </c>
      <c r="AC684" s="308"/>
      <c r="AD684" s="309"/>
      <c r="AE684" s="310">
        <f t="shared" si="248"/>
        <v>0</v>
      </c>
      <c r="AF684" s="311"/>
      <c r="AG684" s="312"/>
      <c r="AH684" s="313">
        <f t="shared" si="249"/>
        <v>0</v>
      </c>
      <c r="AI684" s="308"/>
      <c r="AJ684" s="309"/>
      <c r="AK684" s="310">
        <f t="shared" si="250"/>
        <v>0</v>
      </c>
      <c r="AL684" s="311"/>
      <c r="AM684" s="312"/>
      <c r="AN684" s="313">
        <f t="shared" si="251"/>
        <v>0</v>
      </c>
      <c r="AO684" s="308"/>
      <c r="AP684" s="309"/>
      <c r="AQ684" s="310">
        <f t="shared" si="252"/>
        <v>0</v>
      </c>
      <c r="AR684" s="311"/>
      <c r="AS684" s="312"/>
      <c r="AT684" s="313">
        <f t="shared" si="253"/>
        <v>0</v>
      </c>
      <c r="AU684" s="308"/>
      <c r="AV684" s="309"/>
      <c r="AW684" s="310">
        <f t="shared" si="254"/>
        <v>0</v>
      </c>
      <c r="AX684" s="311"/>
      <c r="AY684" s="312"/>
      <c r="AZ684" s="313">
        <f t="shared" si="255"/>
        <v>0</v>
      </c>
      <c r="BA684" s="308"/>
      <c r="BB684" s="309"/>
      <c r="BC684" s="310">
        <f t="shared" si="256"/>
        <v>0</v>
      </c>
      <c r="BD684" s="311"/>
      <c r="BE684" s="312"/>
      <c r="BF684" s="313">
        <f t="shared" si="257"/>
        <v>0</v>
      </c>
      <c r="BG684" s="308"/>
      <c r="BH684" s="309"/>
      <c r="BI684" s="310">
        <f t="shared" si="258"/>
        <v>0</v>
      </c>
      <c r="BJ684" s="311"/>
      <c r="BK684" s="312"/>
      <c r="BL684" s="313">
        <f t="shared" si="259"/>
        <v>0</v>
      </c>
      <c r="BM684" s="308"/>
      <c r="BN684" s="309"/>
      <c r="BO684" s="310">
        <f t="shared" si="260"/>
        <v>0</v>
      </c>
      <c r="BP684" s="311"/>
      <c r="BQ684" s="312"/>
      <c r="BR684" s="313">
        <f t="shared" si="261"/>
        <v>0</v>
      </c>
      <c r="BS684" s="308"/>
      <c r="BT684" s="309"/>
      <c r="BU684" s="310">
        <f t="shared" si="262"/>
        <v>0</v>
      </c>
      <c r="BV684" s="311"/>
      <c r="BW684" s="312"/>
      <c r="BX684" s="313">
        <f t="shared" si="263"/>
        <v>0</v>
      </c>
      <c r="BY684" s="290"/>
    </row>
    <row r="685" spans="1:77">
      <c r="A685" s="354" t="s">
        <v>447</v>
      </c>
      <c r="B685" s="355" t="s">
        <v>716</v>
      </c>
      <c r="C685" s="354">
        <v>233648</v>
      </c>
      <c r="D685" s="356">
        <v>9</v>
      </c>
      <c r="E685" s="308"/>
      <c r="F685" s="309"/>
      <c r="G685" s="310">
        <f t="shared" si="240"/>
        <v>0</v>
      </c>
      <c r="H685" s="311"/>
      <c r="I685" s="312"/>
      <c r="J685" s="313">
        <f t="shared" si="241"/>
        <v>0</v>
      </c>
      <c r="K685" s="308"/>
      <c r="L685" s="309"/>
      <c r="M685" s="310">
        <f t="shared" si="242"/>
        <v>0</v>
      </c>
      <c r="N685" s="311"/>
      <c r="O685" s="312"/>
      <c r="P685" s="313">
        <f t="shared" si="243"/>
        <v>0</v>
      </c>
      <c r="Q685" s="308"/>
      <c r="R685" s="309"/>
      <c r="S685" s="310">
        <f t="shared" si="244"/>
        <v>0</v>
      </c>
      <c r="T685" s="311"/>
      <c r="U685" s="312"/>
      <c r="V685" s="313">
        <f t="shared" si="245"/>
        <v>0</v>
      </c>
      <c r="W685" s="308"/>
      <c r="X685" s="309"/>
      <c r="Y685" s="310">
        <f t="shared" si="246"/>
        <v>0</v>
      </c>
      <c r="Z685" s="311"/>
      <c r="AA685" s="312"/>
      <c r="AB685" s="313">
        <f t="shared" si="247"/>
        <v>0</v>
      </c>
      <c r="AC685" s="308"/>
      <c r="AD685" s="309"/>
      <c r="AE685" s="310">
        <f t="shared" si="248"/>
        <v>0</v>
      </c>
      <c r="AF685" s="311"/>
      <c r="AG685" s="312"/>
      <c r="AH685" s="313">
        <f t="shared" si="249"/>
        <v>0</v>
      </c>
      <c r="AI685" s="308"/>
      <c r="AJ685" s="309"/>
      <c r="AK685" s="310">
        <f t="shared" si="250"/>
        <v>0</v>
      </c>
      <c r="AL685" s="311"/>
      <c r="AM685" s="312"/>
      <c r="AN685" s="313">
        <f t="shared" si="251"/>
        <v>0</v>
      </c>
      <c r="AO685" s="308"/>
      <c r="AP685" s="309"/>
      <c r="AQ685" s="310">
        <f t="shared" si="252"/>
        <v>0</v>
      </c>
      <c r="AR685" s="311"/>
      <c r="AS685" s="312"/>
      <c r="AT685" s="313">
        <f t="shared" si="253"/>
        <v>0</v>
      </c>
      <c r="AU685" s="308"/>
      <c r="AV685" s="309"/>
      <c r="AW685" s="310">
        <f t="shared" si="254"/>
        <v>0</v>
      </c>
      <c r="AX685" s="311"/>
      <c r="AY685" s="312"/>
      <c r="AZ685" s="313">
        <f t="shared" si="255"/>
        <v>0</v>
      </c>
      <c r="BA685" s="308"/>
      <c r="BB685" s="309"/>
      <c r="BC685" s="310">
        <f t="shared" si="256"/>
        <v>0</v>
      </c>
      <c r="BD685" s="311"/>
      <c r="BE685" s="312"/>
      <c r="BF685" s="313">
        <f t="shared" si="257"/>
        <v>0</v>
      </c>
      <c r="BG685" s="308"/>
      <c r="BH685" s="309"/>
      <c r="BI685" s="310">
        <f t="shared" si="258"/>
        <v>0</v>
      </c>
      <c r="BJ685" s="311"/>
      <c r="BK685" s="312"/>
      <c r="BL685" s="313">
        <f t="shared" si="259"/>
        <v>0</v>
      </c>
      <c r="BM685" s="308"/>
      <c r="BN685" s="309"/>
      <c r="BO685" s="310">
        <f t="shared" si="260"/>
        <v>0</v>
      </c>
      <c r="BP685" s="311"/>
      <c r="BQ685" s="312"/>
      <c r="BR685" s="313">
        <f t="shared" si="261"/>
        <v>0</v>
      </c>
      <c r="BS685" s="308"/>
      <c r="BT685" s="309"/>
      <c r="BU685" s="310">
        <f t="shared" si="262"/>
        <v>0</v>
      </c>
      <c r="BV685" s="311"/>
      <c r="BW685" s="312"/>
      <c r="BX685" s="313">
        <f t="shared" si="263"/>
        <v>0</v>
      </c>
      <c r="BY685" s="290"/>
    </row>
    <row r="686" spans="1:77">
      <c r="A686" s="354" t="s">
        <v>447</v>
      </c>
      <c r="B686" s="355" t="s">
        <v>717</v>
      </c>
      <c r="C686" s="354">
        <v>233949</v>
      </c>
      <c r="D686" s="356">
        <v>9</v>
      </c>
      <c r="E686" s="308"/>
      <c r="F686" s="309"/>
      <c r="G686" s="310">
        <f t="shared" si="240"/>
        <v>0</v>
      </c>
      <c r="H686" s="311"/>
      <c r="I686" s="312"/>
      <c r="J686" s="313">
        <f t="shared" si="241"/>
        <v>0</v>
      </c>
      <c r="K686" s="308"/>
      <c r="L686" s="309"/>
      <c r="M686" s="310">
        <f t="shared" si="242"/>
        <v>0</v>
      </c>
      <c r="N686" s="311"/>
      <c r="O686" s="312"/>
      <c r="P686" s="313">
        <f t="shared" si="243"/>
        <v>0</v>
      </c>
      <c r="Q686" s="308"/>
      <c r="R686" s="309"/>
      <c r="S686" s="310">
        <f t="shared" si="244"/>
        <v>0</v>
      </c>
      <c r="T686" s="311"/>
      <c r="U686" s="312"/>
      <c r="V686" s="313">
        <f t="shared" si="245"/>
        <v>0</v>
      </c>
      <c r="W686" s="308"/>
      <c r="X686" s="309"/>
      <c r="Y686" s="310">
        <f t="shared" si="246"/>
        <v>0</v>
      </c>
      <c r="Z686" s="311"/>
      <c r="AA686" s="312"/>
      <c r="AB686" s="313">
        <f t="shared" si="247"/>
        <v>0</v>
      </c>
      <c r="AC686" s="308"/>
      <c r="AD686" s="309"/>
      <c r="AE686" s="310">
        <f t="shared" si="248"/>
        <v>0</v>
      </c>
      <c r="AF686" s="311"/>
      <c r="AG686" s="312"/>
      <c r="AH686" s="313">
        <f t="shared" si="249"/>
        <v>0</v>
      </c>
      <c r="AI686" s="308"/>
      <c r="AJ686" s="309"/>
      <c r="AK686" s="310">
        <f t="shared" si="250"/>
        <v>0</v>
      </c>
      <c r="AL686" s="311"/>
      <c r="AM686" s="312"/>
      <c r="AN686" s="313">
        <f t="shared" si="251"/>
        <v>0</v>
      </c>
      <c r="AO686" s="308"/>
      <c r="AP686" s="309"/>
      <c r="AQ686" s="310">
        <f t="shared" si="252"/>
        <v>0</v>
      </c>
      <c r="AR686" s="311"/>
      <c r="AS686" s="312"/>
      <c r="AT686" s="313">
        <f t="shared" si="253"/>
        <v>0</v>
      </c>
      <c r="AU686" s="308"/>
      <c r="AV686" s="309"/>
      <c r="AW686" s="310">
        <f t="shared" si="254"/>
        <v>0</v>
      </c>
      <c r="AX686" s="311"/>
      <c r="AY686" s="312"/>
      <c r="AZ686" s="313">
        <f t="shared" si="255"/>
        <v>0</v>
      </c>
      <c r="BA686" s="308"/>
      <c r="BB686" s="309"/>
      <c r="BC686" s="310">
        <f t="shared" si="256"/>
        <v>0</v>
      </c>
      <c r="BD686" s="311"/>
      <c r="BE686" s="312"/>
      <c r="BF686" s="313">
        <f t="shared" si="257"/>
        <v>0</v>
      </c>
      <c r="BG686" s="308"/>
      <c r="BH686" s="309"/>
      <c r="BI686" s="310">
        <f t="shared" si="258"/>
        <v>0</v>
      </c>
      <c r="BJ686" s="311"/>
      <c r="BK686" s="312"/>
      <c r="BL686" s="313">
        <f t="shared" si="259"/>
        <v>0</v>
      </c>
      <c r="BM686" s="308"/>
      <c r="BN686" s="309"/>
      <c r="BO686" s="310">
        <f t="shared" si="260"/>
        <v>0</v>
      </c>
      <c r="BP686" s="311"/>
      <c r="BQ686" s="312"/>
      <c r="BR686" s="313">
        <f t="shared" si="261"/>
        <v>0</v>
      </c>
      <c r="BS686" s="308"/>
      <c r="BT686" s="309"/>
      <c r="BU686" s="310">
        <f t="shared" si="262"/>
        <v>0</v>
      </c>
      <c r="BV686" s="311"/>
      <c r="BW686" s="312"/>
      <c r="BX686" s="313">
        <f t="shared" si="263"/>
        <v>0</v>
      </c>
      <c r="BY686" s="290"/>
    </row>
    <row r="687" spans="1:77">
      <c r="A687" s="354" t="s">
        <v>447</v>
      </c>
      <c r="B687" s="355" t="s">
        <v>718</v>
      </c>
      <c r="C687" s="354">
        <v>231873</v>
      </c>
      <c r="D687" s="356">
        <v>10</v>
      </c>
      <c r="E687" s="308"/>
      <c r="F687" s="309"/>
      <c r="G687" s="310">
        <f t="shared" si="240"/>
        <v>0</v>
      </c>
      <c r="H687" s="311"/>
      <c r="I687" s="312"/>
      <c r="J687" s="313">
        <f t="shared" si="241"/>
        <v>0</v>
      </c>
      <c r="K687" s="308"/>
      <c r="L687" s="309"/>
      <c r="M687" s="310">
        <f t="shared" si="242"/>
        <v>0</v>
      </c>
      <c r="N687" s="311"/>
      <c r="O687" s="312"/>
      <c r="P687" s="313">
        <f t="shared" si="243"/>
        <v>0</v>
      </c>
      <c r="Q687" s="308"/>
      <c r="R687" s="309"/>
      <c r="S687" s="310">
        <f t="shared" si="244"/>
        <v>0</v>
      </c>
      <c r="T687" s="311"/>
      <c r="U687" s="312"/>
      <c r="V687" s="313">
        <f t="shared" si="245"/>
        <v>0</v>
      </c>
      <c r="W687" s="308"/>
      <c r="X687" s="309"/>
      <c r="Y687" s="310">
        <f t="shared" si="246"/>
        <v>0</v>
      </c>
      <c r="Z687" s="311"/>
      <c r="AA687" s="312"/>
      <c r="AB687" s="313">
        <f t="shared" si="247"/>
        <v>0</v>
      </c>
      <c r="AC687" s="308"/>
      <c r="AD687" s="309"/>
      <c r="AE687" s="310">
        <f t="shared" si="248"/>
        <v>0</v>
      </c>
      <c r="AF687" s="311"/>
      <c r="AG687" s="312"/>
      <c r="AH687" s="313">
        <f t="shared" si="249"/>
        <v>0</v>
      </c>
      <c r="AI687" s="308"/>
      <c r="AJ687" s="309"/>
      <c r="AK687" s="310">
        <f t="shared" si="250"/>
        <v>0</v>
      </c>
      <c r="AL687" s="311"/>
      <c r="AM687" s="312"/>
      <c r="AN687" s="313">
        <f t="shared" si="251"/>
        <v>0</v>
      </c>
      <c r="AO687" s="308"/>
      <c r="AP687" s="309"/>
      <c r="AQ687" s="310">
        <f t="shared" si="252"/>
        <v>0</v>
      </c>
      <c r="AR687" s="311"/>
      <c r="AS687" s="312"/>
      <c r="AT687" s="313">
        <f t="shared" si="253"/>
        <v>0</v>
      </c>
      <c r="AU687" s="308"/>
      <c r="AV687" s="309"/>
      <c r="AW687" s="310">
        <f t="shared" si="254"/>
        <v>0</v>
      </c>
      <c r="AX687" s="311"/>
      <c r="AY687" s="312"/>
      <c r="AZ687" s="313">
        <f t="shared" si="255"/>
        <v>0</v>
      </c>
      <c r="BA687" s="308"/>
      <c r="BB687" s="309"/>
      <c r="BC687" s="310">
        <f t="shared" si="256"/>
        <v>0</v>
      </c>
      <c r="BD687" s="311"/>
      <c r="BE687" s="312"/>
      <c r="BF687" s="313">
        <f t="shared" si="257"/>
        <v>0</v>
      </c>
      <c r="BG687" s="308"/>
      <c r="BH687" s="309"/>
      <c r="BI687" s="310">
        <f t="shared" si="258"/>
        <v>0</v>
      </c>
      <c r="BJ687" s="311"/>
      <c r="BK687" s="312"/>
      <c r="BL687" s="313">
        <f t="shared" si="259"/>
        <v>0</v>
      </c>
      <c r="BM687" s="308"/>
      <c r="BN687" s="309"/>
      <c r="BO687" s="310">
        <f t="shared" si="260"/>
        <v>0</v>
      </c>
      <c r="BP687" s="311"/>
      <c r="BQ687" s="312"/>
      <c r="BR687" s="313">
        <f t="shared" si="261"/>
        <v>0</v>
      </c>
      <c r="BS687" s="308"/>
      <c r="BT687" s="309"/>
      <c r="BU687" s="310">
        <f t="shared" si="262"/>
        <v>0</v>
      </c>
      <c r="BV687" s="311"/>
      <c r="BW687" s="312"/>
      <c r="BX687" s="313">
        <f t="shared" si="263"/>
        <v>0</v>
      </c>
      <c r="BY687" s="290"/>
    </row>
    <row r="688" spans="1:77">
      <c r="A688" s="354" t="s">
        <v>447</v>
      </c>
      <c r="B688" s="355" t="s">
        <v>719</v>
      </c>
      <c r="C688" s="354">
        <v>232052</v>
      </c>
      <c r="D688" s="356">
        <v>10</v>
      </c>
      <c r="E688" s="308"/>
      <c r="F688" s="309"/>
      <c r="G688" s="310">
        <f t="shared" si="240"/>
        <v>0</v>
      </c>
      <c r="H688" s="311"/>
      <c r="I688" s="312"/>
      <c r="J688" s="313">
        <f t="shared" si="241"/>
        <v>0</v>
      </c>
      <c r="K688" s="308"/>
      <c r="L688" s="309"/>
      <c r="M688" s="310">
        <f t="shared" si="242"/>
        <v>0</v>
      </c>
      <c r="N688" s="311"/>
      <c r="O688" s="312"/>
      <c r="P688" s="313">
        <f t="shared" si="243"/>
        <v>0</v>
      </c>
      <c r="Q688" s="308"/>
      <c r="R688" s="309"/>
      <c r="S688" s="310">
        <f t="shared" si="244"/>
        <v>0</v>
      </c>
      <c r="T688" s="311"/>
      <c r="U688" s="312"/>
      <c r="V688" s="313">
        <f t="shared" si="245"/>
        <v>0</v>
      </c>
      <c r="W688" s="308"/>
      <c r="X688" s="309"/>
      <c r="Y688" s="310">
        <f t="shared" si="246"/>
        <v>0</v>
      </c>
      <c r="Z688" s="311"/>
      <c r="AA688" s="312"/>
      <c r="AB688" s="313">
        <f t="shared" si="247"/>
        <v>0</v>
      </c>
      <c r="AC688" s="308"/>
      <c r="AD688" s="309"/>
      <c r="AE688" s="310">
        <f t="shared" si="248"/>
        <v>0</v>
      </c>
      <c r="AF688" s="311"/>
      <c r="AG688" s="312"/>
      <c r="AH688" s="313">
        <f t="shared" si="249"/>
        <v>0</v>
      </c>
      <c r="AI688" s="308"/>
      <c r="AJ688" s="309"/>
      <c r="AK688" s="310">
        <f t="shared" si="250"/>
        <v>0</v>
      </c>
      <c r="AL688" s="311"/>
      <c r="AM688" s="312"/>
      <c r="AN688" s="313">
        <f t="shared" si="251"/>
        <v>0</v>
      </c>
      <c r="AO688" s="308"/>
      <c r="AP688" s="309"/>
      <c r="AQ688" s="310">
        <f t="shared" si="252"/>
        <v>0</v>
      </c>
      <c r="AR688" s="311"/>
      <c r="AS688" s="312"/>
      <c r="AT688" s="313">
        <f t="shared" si="253"/>
        <v>0</v>
      </c>
      <c r="AU688" s="308"/>
      <c r="AV688" s="309"/>
      <c r="AW688" s="310">
        <f t="shared" si="254"/>
        <v>0</v>
      </c>
      <c r="AX688" s="311"/>
      <c r="AY688" s="312"/>
      <c r="AZ688" s="313">
        <f t="shared" si="255"/>
        <v>0</v>
      </c>
      <c r="BA688" s="308"/>
      <c r="BB688" s="309"/>
      <c r="BC688" s="310">
        <f t="shared" si="256"/>
        <v>0</v>
      </c>
      <c r="BD688" s="311"/>
      <c r="BE688" s="312"/>
      <c r="BF688" s="313">
        <f t="shared" si="257"/>
        <v>0</v>
      </c>
      <c r="BG688" s="308"/>
      <c r="BH688" s="309"/>
      <c r="BI688" s="310">
        <f t="shared" si="258"/>
        <v>0</v>
      </c>
      <c r="BJ688" s="311"/>
      <c r="BK688" s="312"/>
      <c r="BL688" s="313">
        <f t="shared" si="259"/>
        <v>0</v>
      </c>
      <c r="BM688" s="308"/>
      <c r="BN688" s="309"/>
      <c r="BO688" s="310">
        <f t="shared" si="260"/>
        <v>0</v>
      </c>
      <c r="BP688" s="311"/>
      <c r="BQ688" s="312"/>
      <c r="BR688" s="313">
        <f t="shared" si="261"/>
        <v>0</v>
      </c>
      <c r="BS688" s="308"/>
      <c r="BT688" s="309"/>
      <c r="BU688" s="310">
        <f t="shared" si="262"/>
        <v>0</v>
      </c>
      <c r="BV688" s="311"/>
      <c r="BW688" s="312"/>
      <c r="BX688" s="313">
        <f t="shared" si="263"/>
        <v>0</v>
      </c>
      <c r="BY688" s="290"/>
    </row>
    <row r="689" spans="1:77">
      <c r="A689" s="354" t="s">
        <v>447</v>
      </c>
      <c r="B689" s="355" t="s">
        <v>720</v>
      </c>
      <c r="C689" s="354">
        <v>232788</v>
      </c>
      <c r="D689" s="356">
        <v>10</v>
      </c>
      <c r="E689" s="308"/>
      <c r="F689" s="309"/>
      <c r="G689" s="310">
        <f t="shared" si="240"/>
        <v>0</v>
      </c>
      <c r="H689" s="311"/>
      <c r="I689" s="312"/>
      <c r="J689" s="313">
        <f t="shared" si="241"/>
        <v>0</v>
      </c>
      <c r="K689" s="308"/>
      <c r="L689" s="309"/>
      <c r="M689" s="310">
        <f t="shared" si="242"/>
        <v>0</v>
      </c>
      <c r="N689" s="311"/>
      <c r="O689" s="312"/>
      <c r="P689" s="313">
        <f t="shared" si="243"/>
        <v>0</v>
      </c>
      <c r="Q689" s="308"/>
      <c r="R689" s="309"/>
      <c r="S689" s="310">
        <f t="shared" si="244"/>
        <v>0</v>
      </c>
      <c r="T689" s="311"/>
      <c r="U689" s="312"/>
      <c r="V689" s="313">
        <f t="shared" si="245"/>
        <v>0</v>
      </c>
      <c r="W689" s="308"/>
      <c r="X689" s="309"/>
      <c r="Y689" s="310">
        <f t="shared" si="246"/>
        <v>0</v>
      </c>
      <c r="Z689" s="311"/>
      <c r="AA689" s="312"/>
      <c r="AB689" s="313">
        <f t="shared" si="247"/>
        <v>0</v>
      </c>
      <c r="AC689" s="308"/>
      <c r="AD689" s="309"/>
      <c r="AE689" s="310">
        <f t="shared" si="248"/>
        <v>0</v>
      </c>
      <c r="AF689" s="311"/>
      <c r="AG689" s="312"/>
      <c r="AH689" s="313">
        <f t="shared" si="249"/>
        <v>0</v>
      </c>
      <c r="AI689" s="308"/>
      <c r="AJ689" s="309"/>
      <c r="AK689" s="310">
        <f t="shared" si="250"/>
        <v>0</v>
      </c>
      <c r="AL689" s="311"/>
      <c r="AM689" s="312"/>
      <c r="AN689" s="313">
        <f t="shared" si="251"/>
        <v>0</v>
      </c>
      <c r="AO689" s="308"/>
      <c r="AP689" s="309"/>
      <c r="AQ689" s="310">
        <f t="shared" si="252"/>
        <v>0</v>
      </c>
      <c r="AR689" s="311"/>
      <c r="AS689" s="312"/>
      <c r="AT689" s="313">
        <f t="shared" si="253"/>
        <v>0</v>
      </c>
      <c r="AU689" s="308"/>
      <c r="AV689" s="309"/>
      <c r="AW689" s="310">
        <f t="shared" si="254"/>
        <v>0</v>
      </c>
      <c r="AX689" s="311"/>
      <c r="AY689" s="312"/>
      <c r="AZ689" s="313">
        <f t="shared" si="255"/>
        <v>0</v>
      </c>
      <c r="BA689" s="308"/>
      <c r="BB689" s="309"/>
      <c r="BC689" s="310">
        <f t="shared" si="256"/>
        <v>0</v>
      </c>
      <c r="BD689" s="311"/>
      <c r="BE689" s="312"/>
      <c r="BF689" s="313">
        <f t="shared" si="257"/>
        <v>0</v>
      </c>
      <c r="BG689" s="308"/>
      <c r="BH689" s="309"/>
      <c r="BI689" s="310">
        <f t="shared" si="258"/>
        <v>0</v>
      </c>
      <c r="BJ689" s="311"/>
      <c r="BK689" s="312"/>
      <c r="BL689" s="313">
        <f t="shared" si="259"/>
        <v>0</v>
      </c>
      <c r="BM689" s="308"/>
      <c r="BN689" s="309"/>
      <c r="BO689" s="310">
        <f t="shared" si="260"/>
        <v>0</v>
      </c>
      <c r="BP689" s="311"/>
      <c r="BQ689" s="312"/>
      <c r="BR689" s="313">
        <f t="shared" si="261"/>
        <v>0</v>
      </c>
      <c r="BS689" s="308"/>
      <c r="BT689" s="309"/>
      <c r="BU689" s="310">
        <f t="shared" si="262"/>
        <v>0</v>
      </c>
      <c r="BV689" s="311"/>
      <c r="BW689" s="312"/>
      <c r="BX689" s="313">
        <f t="shared" si="263"/>
        <v>0</v>
      </c>
      <c r="BY689" s="290"/>
    </row>
    <row r="690" spans="1:77">
      <c r="A690" s="354" t="s">
        <v>447</v>
      </c>
      <c r="B690" s="439" t="s">
        <v>713</v>
      </c>
      <c r="C690" s="437">
        <v>233019</v>
      </c>
      <c r="D690" s="438">
        <v>10</v>
      </c>
      <c r="E690" s="308"/>
      <c r="F690" s="309"/>
      <c r="G690" s="310">
        <f t="shared" si="240"/>
        <v>0</v>
      </c>
      <c r="H690" s="311"/>
      <c r="I690" s="312"/>
      <c r="J690" s="313">
        <f t="shared" si="241"/>
        <v>0</v>
      </c>
      <c r="K690" s="308"/>
      <c r="L690" s="309"/>
      <c r="M690" s="310">
        <f t="shared" si="242"/>
        <v>0</v>
      </c>
      <c r="N690" s="311"/>
      <c r="O690" s="312"/>
      <c r="P690" s="313">
        <f t="shared" si="243"/>
        <v>0</v>
      </c>
      <c r="Q690" s="308"/>
      <c r="R690" s="309"/>
      <c r="S690" s="310">
        <f t="shared" si="244"/>
        <v>0</v>
      </c>
      <c r="T690" s="311"/>
      <c r="U690" s="312"/>
      <c r="V690" s="313">
        <f t="shared" si="245"/>
        <v>0</v>
      </c>
      <c r="W690" s="308"/>
      <c r="X690" s="309"/>
      <c r="Y690" s="310">
        <f t="shared" si="246"/>
        <v>0</v>
      </c>
      <c r="Z690" s="311"/>
      <c r="AA690" s="312"/>
      <c r="AB690" s="313">
        <f t="shared" si="247"/>
        <v>0</v>
      </c>
      <c r="AC690" s="308"/>
      <c r="AD690" s="309"/>
      <c r="AE690" s="310">
        <f t="shared" si="248"/>
        <v>0</v>
      </c>
      <c r="AF690" s="311"/>
      <c r="AG690" s="312"/>
      <c r="AH690" s="313">
        <f t="shared" si="249"/>
        <v>0</v>
      </c>
      <c r="AI690" s="308"/>
      <c r="AJ690" s="309"/>
      <c r="AK690" s="310">
        <f t="shared" si="250"/>
        <v>0</v>
      </c>
      <c r="AL690" s="311"/>
      <c r="AM690" s="312"/>
      <c r="AN690" s="313">
        <f t="shared" si="251"/>
        <v>0</v>
      </c>
      <c r="AO690" s="308"/>
      <c r="AP690" s="309"/>
      <c r="AQ690" s="310">
        <f t="shared" si="252"/>
        <v>0</v>
      </c>
      <c r="AR690" s="311"/>
      <c r="AS690" s="312"/>
      <c r="AT690" s="313">
        <f t="shared" si="253"/>
        <v>0</v>
      </c>
      <c r="AU690" s="308"/>
      <c r="AV690" s="309"/>
      <c r="AW690" s="310">
        <f t="shared" si="254"/>
        <v>0</v>
      </c>
      <c r="AX690" s="311"/>
      <c r="AY690" s="312"/>
      <c r="AZ690" s="313">
        <f t="shared" si="255"/>
        <v>0</v>
      </c>
      <c r="BA690" s="308"/>
      <c r="BB690" s="309"/>
      <c r="BC690" s="310">
        <f t="shared" si="256"/>
        <v>0</v>
      </c>
      <c r="BD690" s="311"/>
      <c r="BE690" s="312"/>
      <c r="BF690" s="313">
        <f t="shared" si="257"/>
        <v>0</v>
      </c>
      <c r="BG690" s="308"/>
      <c r="BH690" s="309"/>
      <c r="BI690" s="310">
        <f t="shared" si="258"/>
        <v>0</v>
      </c>
      <c r="BJ690" s="311"/>
      <c r="BK690" s="312"/>
      <c r="BL690" s="313">
        <f t="shared" si="259"/>
        <v>0</v>
      </c>
      <c r="BM690" s="308"/>
      <c r="BN690" s="309"/>
      <c r="BO690" s="310">
        <f t="shared" si="260"/>
        <v>0</v>
      </c>
      <c r="BP690" s="311"/>
      <c r="BQ690" s="312"/>
      <c r="BR690" s="313">
        <f t="shared" si="261"/>
        <v>0</v>
      </c>
      <c r="BS690" s="308"/>
      <c r="BT690" s="309"/>
      <c r="BU690" s="310">
        <f t="shared" si="262"/>
        <v>0</v>
      </c>
      <c r="BV690" s="311"/>
      <c r="BW690" s="312"/>
      <c r="BX690" s="313">
        <f t="shared" si="263"/>
        <v>0</v>
      </c>
      <c r="BY690" s="290"/>
    </row>
    <row r="691" spans="1:77">
      <c r="A691" s="354" t="s">
        <v>447</v>
      </c>
      <c r="B691" s="355" t="s">
        <v>721</v>
      </c>
      <c r="C691" s="354">
        <v>233037</v>
      </c>
      <c r="D691" s="356">
        <v>10</v>
      </c>
      <c r="E691" s="308"/>
      <c r="F691" s="309"/>
      <c r="G691" s="310">
        <f t="shared" si="240"/>
        <v>0</v>
      </c>
      <c r="H691" s="311"/>
      <c r="I691" s="312"/>
      <c r="J691" s="313">
        <f t="shared" si="241"/>
        <v>0</v>
      </c>
      <c r="K691" s="308"/>
      <c r="L691" s="309"/>
      <c r="M691" s="310">
        <f t="shared" si="242"/>
        <v>0</v>
      </c>
      <c r="N691" s="311"/>
      <c r="O691" s="312"/>
      <c r="P691" s="313">
        <f t="shared" si="243"/>
        <v>0</v>
      </c>
      <c r="Q691" s="308"/>
      <c r="R691" s="309"/>
      <c r="S691" s="310">
        <f t="shared" si="244"/>
        <v>0</v>
      </c>
      <c r="T691" s="311"/>
      <c r="U691" s="312"/>
      <c r="V691" s="313">
        <f t="shared" si="245"/>
        <v>0</v>
      </c>
      <c r="W691" s="308"/>
      <c r="X691" s="309"/>
      <c r="Y691" s="310">
        <f t="shared" si="246"/>
        <v>0</v>
      </c>
      <c r="Z691" s="311"/>
      <c r="AA691" s="312"/>
      <c r="AB691" s="313">
        <f t="shared" si="247"/>
        <v>0</v>
      </c>
      <c r="AC691" s="308"/>
      <c r="AD691" s="309"/>
      <c r="AE691" s="310">
        <f t="shared" si="248"/>
        <v>0</v>
      </c>
      <c r="AF691" s="311"/>
      <c r="AG691" s="312"/>
      <c r="AH691" s="313">
        <f t="shared" si="249"/>
        <v>0</v>
      </c>
      <c r="AI691" s="308"/>
      <c r="AJ691" s="309"/>
      <c r="AK691" s="310">
        <f t="shared" si="250"/>
        <v>0</v>
      </c>
      <c r="AL691" s="311"/>
      <c r="AM691" s="312"/>
      <c r="AN691" s="313">
        <f t="shared" si="251"/>
        <v>0</v>
      </c>
      <c r="AO691" s="308"/>
      <c r="AP691" s="309"/>
      <c r="AQ691" s="310">
        <f t="shared" si="252"/>
        <v>0</v>
      </c>
      <c r="AR691" s="311"/>
      <c r="AS691" s="312"/>
      <c r="AT691" s="313">
        <f t="shared" si="253"/>
        <v>0</v>
      </c>
      <c r="AU691" s="308"/>
      <c r="AV691" s="309"/>
      <c r="AW691" s="310">
        <f t="shared" si="254"/>
        <v>0</v>
      </c>
      <c r="AX691" s="311"/>
      <c r="AY691" s="312"/>
      <c r="AZ691" s="313">
        <f t="shared" si="255"/>
        <v>0</v>
      </c>
      <c r="BA691" s="308"/>
      <c r="BB691" s="309"/>
      <c r="BC691" s="310">
        <f t="shared" si="256"/>
        <v>0</v>
      </c>
      <c r="BD691" s="311"/>
      <c r="BE691" s="312"/>
      <c r="BF691" s="313">
        <f t="shared" si="257"/>
        <v>0</v>
      </c>
      <c r="BG691" s="308"/>
      <c r="BH691" s="309"/>
      <c r="BI691" s="310">
        <f t="shared" si="258"/>
        <v>0</v>
      </c>
      <c r="BJ691" s="311"/>
      <c r="BK691" s="312"/>
      <c r="BL691" s="313">
        <f t="shared" si="259"/>
        <v>0</v>
      </c>
      <c r="BM691" s="308"/>
      <c r="BN691" s="309"/>
      <c r="BO691" s="310">
        <f t="shared" si="260"/>
        <v>0</v>
      </c>
      <c r="BP691" s="311"/>
      <c r="BQ691" s="312"/>
      <c r="BR691" s="313">
        <f t="shared" si="261"/>
        <v>0</v>
      </c>
      <c r="BS691" s="308"/>
      <c r="BT691" s="309"/>
      <c r="BU691" s="310">
        <f t="shared" si="262"/>
        <v>0</v>
      </c>
      <c r="BV691" s="311"/>
      <c r="BW691" s="312"/>
      <c r="BX691" s="313">
        <f t="shared" si="263"/>
        <v>0</v>
      </c>
      <c r="BY691" s="290"/>
    </row>
    <row r="692" spans="1:77">
      <c r="A692" s="354" t="s">
        <v>447</v>
      </c>
      <c r="B692" s="355" t="s">
        <v>722</v>
      </c>
      <c r="C692" s="354">
        <v>233310</v>
      </c>
      <c r="D692" s="356">
        <v>10</v>
      </c>
      <c r="E692" s="308"/>
      <c r="F692" s="309"/>
      <c r="G692" s="310">
        <f t="shared" si="240"/>
        <v>0</v>
      </c>
      <c r="H692" s="311"/>
      <c r="I692" s="312"/>
      <c r="J692" s="313">
        <f t="shared" si="241"/>
        <v>0</v>
      </c>
      <c r="K692" s="308"/>
      <c r="L692" s="309"/>
      <c r="M692" s="310">
        <f t="shared" si="242"/>
        <v>0</v>
      </c>
      <c r="N692" s="311"/>
      <c r="O692" s="312"/>
      <c r="P692" s="313">
        <f t="shared" si="243"/>
        <v>0</v>
      </c>
      <c r="Q692" s="308"/>
      <c r="R692" s="309"/>
      <c r="S692" s="310">
        <f t="shared" si="244"/>
        <v>0</v>
      </c>
      <c r="T692" s="311"/>
      <c r="U692" s="312"/>
      <c r="V692" s="313">
        <f t="shared" si="245"/>
        <v>0</v>
      </c>
      <c r="W692" s="308"/>
      <c r="X692" s="309"/>
      <c r="Y692" s="310">
        <f t="shared" si="246"/>
        <v>0</v>
      </c>
      <c r="Z692" s="311"/>
      <c r="AA692" s="312"/>
      <c r="AB692" s="313">
        <f t="shared" si="247"/>
        <v>0</v>
      </c>
      <c r="AC692" s="308"/>
      <c r="AD692" s="309"/>
      <c r="AE692" s="310">
        <f t="shared" si="248"/>
        <v>0</v>
      </c>
      <c r="AF692" s="311"/>
      <c r="AG692" s="312"/>
      <c r="AH692" s="313">
        <f t="shared" si="249"/>
        <v>0</v>
      </c>
      <c r="AI692" s="308"/>
      <c r="AJ692" s="309"/>
      <c r="AK692" s="310">
        <f t="shared" si="250"/>
        <v>0</v>
      </c>
      <c r="AL692" s="311"/>
      <c r="AM692" s="312"/>
      <c r="AN692" s="313">
        <f t="shared" si="251"/>
        <v>0</v>
      </c>
      <c r="AO692" s="308"/>
      <c r="AP692" s="309"/>
      <c r="AQ692" s="310">
        <f t="shared" si="252"/>
        <v>0</v>
      </c>
      <c r="AR692" s="311"/>
      <c r="AS692" s="312"/>
      <c r="AT692" s="313">
        <f t="shared" si="253"/>
        <v>0</v>
      </c>
      <c r="AU692" s="308"/>
      <c r="AV692" s="309"/>
      <c r="AW692" s="310">
        <f t="shared" si="254"/>
        <v>0</v>
      </c>
      <c r="AX692" s="311"/>
      <c r="AY692" s="312"/>
      <c r="AZ692" s="313">
        <f t="shared" si="255"/>
        <v>0</v>
      </c>
      <c r="BA692" s="308"/>
      <c r="BB692" s="309"/>
      <c r="BC692" s="310">
        <f t="shared" si="256"/>
        <v>0</v>
      </c>
      <c r="BD692" s="311"/>
      <c r="BE692" s="312"/>
      <c r="BF692" s="313">
        <f t="shared" si="257"/>
        <v>0</v>
      </c>
      <c r="BG692" s="308"/>
      <c r="BH692" s="309"/>
      <c r="BI692" s="310">
        <f t="shared" si="258"/>
        <v>0</v>
      </c>
      <c r="BJ692" s="311"/>
      <c r="BK692" s="312"/>
      <c r="BL692" s="313">
        <f t="shared" si="259"/>
        <v>0</v>
      </c>
      <c r="BM692" s="308"/>
      <c r="BN692" s="309"/>
      <c r="BO692" s="310">
        <f t="shared" si="260"/>
        <v>0</v>
      </c>
      <c r="BP692" s="311"/>
      <c r="BQ692" s="312"/>
      <c r="BR692" s="313">
        <f t="shared" si="261"/>
        <v>0</v>
      </c>
      <c r="BS692" s="308"/>
      <c r="BT692" s="309"/>
      <c r="BU692" s="310">
        <f t="shared" si="262"/>
        <v>0</v>
      </c>
      <c r="BV692" s="311"/>
      <c r="BW692" s="312"/>
      <c r="BX692" s="313">
        <f t="shared" si="263"/>
        <v>0</v>
      </c>
      <c r="BY692" s="290"/>
    </row>
    <row r="693" spans="1:77">
      <c r="A693" s="354" t="s">
        <v>447</v>
      </c>
      <c r="B693" s="355" t="s">
        <v>723</v>
      </c>
      <c r="C693" s="354">
        <v>233338</v>
      </c>
      <c r="D693" s="356">
        <v>10</v>
      </c>
      <c r="E693" s="308">
        <v>8</v>
      </c>
      <c r="F693" s="309">
        <v>65432</v>
      </c>
      <c r="G693" s="310">
        <f t="shared" si="240"/>
        <v>523456</v>
      </c>
      <c r="H693" s="311">
        <v>8</v>
      </c>
      <c r="I693" s="312">
        <v>68049</v>
      </c>
      <c r="J693" s="313">
        <f t="shared" si="241"/>
        <v>544392</v>
      </c>
      <c r="K693" s="308">
        <v>18</v>
      </c>
      <c r="L693" s="309">
        <v>52734</v>
      </c>
      <c r="M693" s="310">
        <f t="shared" si="242"/>
        <v>949212</v>
      </c>
      <c r="N693" s="311">
        <v>19</v>
      </c>
      <c r="O693" s="312">
        <v>53982</v>
      </c>
      <c r="P693" s="313">
        <f t="shared" si="243"/>
        <v>1025658</v>
      </c>
      <c r="Q693" s="308">
        <v>8</v>
      </c>
      <c r="R693" s="309">
        <v>43680</v>
      </c>
      <c r="S693" s="310">
        <f t="shared" si="244"/>
        <v>349440</v>
      </c>
      <c r="T693" s="311">
        <v>6</v>
      </c>
      <c r="U693" s="312">
        <v>48862</v>
      </c>
      <c r="V693" s="313">
        <f t="shared" si="245"/>
        <v>293172</v>
      </c>
      <c r="W693" s="308"/>
      <c r="X693" s="309"/>
      <c r="Y693" s="310">
        <f t="shared" si="246"/>
        <v>0</v>
      </c>
      <c r="Z693" s="311"/>
      <c r="AA693" s="312"/>
      <c r="AB693" s="313">
        <f t="shared" si="247"/>
        <v>0</v>
      </c>
      <c r="AC693" s="308"/>
      <c r="AD693" s="309"/>
      <c r="AE693" s="310">
        <f t="shared" si="248"/>
        <v>0</v>
      </c>
      <c r="AF693" s="311"/>
      <c r="AG693" s="312"/>
      <c r="AH693" s="313">
        <f t="shared" si="249"/>
        <v>0</v>
      </c>
      <c r="AI693" s="308"/>
      <c r="AJ693" s="309"/>
      <c r="AK693" s="310">
        <f t="shared" si="250"/>
        <v>0</v>
      </c>
      <c r="AL693" s="311"/>
      <c r="AM693" s="312"/>
      <c r="AN693" s="313">
        <f t="shared" si="251"/>
        <v>0</v>
      </c>
      <c r="AO693" s="308"/>
      <c r="AP693" s="309"/>
      <c r="AQ693" s="310">
        <f t="shared" si="252"/>
        <v>0</v>
      </c>
      <c r="AR693" s="311"/>
      <c r="AS693" s="312"/>
      <c r="AT693" s="313">
        <f t="shared" si="253"/>
        <v>0</v>
      </c>
      <c r="AU693" s="308"/>
      <c r="AV693" s="309"/>
      <c r="AW693" s="310">
        <f t="shared" si="254"/>
        <v>0</v>
      </c>
      <c r="AX693" s="311"/>
      <c r="AY693" s="312"/>
      <c r="AZ693" s="313">
        <f t="shared" si="255"/>
        <v>0</v>
      </c>
      <c r="BA693" s="308"/>
      <c r="BB693" s="309"/>
      <c r="BC693" s="310">
        <f t="shared" si="256"/>
        <v>0</v>
      </c>
      <c r="BD693" s="311"/>
      <c r="BE693" s="312"/>
      <c r="BF693" s="313">
        <f t="shared" si="257"/>
        <v>0</v>
      </c>
      <c r="BG693" s="308"/>
      <c r="BH693" s="309"/>
      <c r="BI693" s="310">
        <f t="shared" si="258"/>
        <v>0</v>
      </c>
      <c r="BJ693" s="311"/>
      <c r="BK693" s="312"/>
      <c r="BL693" s="313">
        <f t="shared" si="259"/>
        <v>0</v>
      </c>
      <c r="BM693" s="308"/>
      <c r="BN693" s="309"/>
      <c r="BO693" s="310">
        <f t="shared" si="260"/>
        <v>0</v>
      </c>
      <c r="BP693" s="311"/>
      <c r="BQ693" s="312"/>
      <c r="BR693" s="313">
        <f t="shared" si="261"/>
        <v>0</v>
      </c>
      <c r="BS693" s="308"/>
      <c r="BT693" s="309"/>
      <c r="BU693" s="310">
        <f t="shared" si="262"/>
        <v>0</v>
      </c>
      <c r="BV693" s="311"/>
      <c r="BW693" s="312"/>
      <c r="BX693" s="313">
        <f t="shared" si="263"/>
        <v>0</v>
      </c>
      <c r="BY693" s="290"/>
    </row>
    <row r="694" spans="1:77">
      <c r="A694" s="354" t="s">
        <v>447</v>
      </c>
      <c r="B694" s="355" t="s">
        <v>724</v>
      </c>
      <c r="C694" s="354">
        <v>233903</v>
      </c>
      <c r="D694" s="356">
        <v>10</v>
      </c>
      <c r="E694" s="308"/>
      <c r="F694" s="309"/>
      <c r="G694" s="310">
        <f t="shared" si="240"/>
        <v>0</v>
      </c>
      <c r="H694" s="311"/>
      <c r="I694" s="312"/>
      <c r="J694" s="313">
        <f t="shared" si="241"/>
        <v>0</v>
      </c>
      <c r="K694" s="308"/>
      <c r="L694" s="309"/>
      <c r="M694" s="310">
        <f t="shared" si="242"/>
        <v>0</v>
      </c>
      <c r="N694" s="311"/>
      <c r="O694" s="312"/>
      <c r="P694" s="313">
        <f t="shared" si="243"/>
        <v>0</v>
      </c>
      <c r="Q694" s="308"/>
      <c r="R694" s="309"/>
      <c r="S694" s="310">
        <f t="shared" si="244"/>
        <v>0</v>
      </c>
      <c r="T694" s="311"/>
      <c r="U694" s="312"/>
      <c r="V694" s="313">
        <f t="shared" si="245"/>
        <v>0</v>
      </c>
      <c r="W694" s="308"/>
      <c r="X694" s="309"/>
      <c r="Y694" s="310">
        <f t="shared" si="246"/>
        <v>0</v>
      </c>
      <c r="Z694" s="311"/>
      <c r="AA694" s="312"/>
      <c r="AB694" s="313">
        <f t="shared" si="247"/>
        <v>0</v>
      </c>
      <c r="AC694" s="308"/>
      <c r="AD694" s="309"/>
      <c r="AE694" s="310">
        <f t="shared" si="248"/>
        <v>0</v>
      </c>
      <c r="AF694" s="311"/>
      <c r="AG694" s="312"/>
      <c r="AH694" s="313">
        <f t="shared" si="249"/>
        <v>0</v>
      </c>
      <c r="AI694" s="308"/>
      <c r="AJ694" s="309"/>
      <c r="AK694" s="310">
        <f t="shared" si="250"/>
        <v>0</v>
      </c>
      <c r="AL694" s="311"/>
      <c r="AM694" s="312"/>
      <c r="AN694" s="313">
        <f t="shared" si="251"/>
        <v>0</v>
      </c>
      <c r="AO694" s="308"/>
      <c r="AP694" s="309"/>
      <c r="AQ694" s="310">
        <f t="shared" si="252"/>
        <v>0</v>
      </c>
      <c r="AR694" s="311"/>
      <c r="AS694" s="312"/>
      <c r="AT694" s="313">
        <f t="shared" si="253"/>
        <v>0</v>
      </c>
      <c r="AU694" s="308"/>
      <c r="AV694" s="309"/>
      <c r="AW694" s="310">
        <f t="shared" si="254"/>
        <v>0</v>
      </c>
      <c r="AX694" s="311"/>
      <c r="AY694" s="312"/>
      <c r="AZ694" s="313">
        <f t="shared" si="255"/>
        <v>0</v>
      </c>
      <c r="BA694" s="308"/>
      <c r="BB694" s="309"/>
      <c r="BC694" s="310">
        <f t="shared" si="256"/>
        <v>0</v>
      </c>
      <c r="BD694" s="311"/>
      <c r="BE694" s="312"/>
      <c r="BF694" s="313">
        <f t="shared" si="257"/>
        <v>0</v>
      </c>
      <c r="BG694" s="308"/>
      <c r="BH694" s="309"/>
      <c r="BI694" s="310">
        <f t="shared" si="258"/>
        <v>0</v>
      </c>
      <c r="BJ694" s="311"/>
      <c r="BK694" s="312"/>
      <c r="BL694" s="313">
        <f t="shared" si="259"/>
        <v>0</v>
      </c>
      <c r="BM694" s="308"/>
      <c r="BN694" s="309"/>
      <c r="BO694" s="310">
        <f t="shared" si="260"/>
        <v>0</v>
      </c>
      <c r="BP694" s="311"/>
      <c r="BQ694" s="312"/>
      <c r="BR694" s="313">
        <f t="shared" si="261"/>
        <v>0</v>
      </c>
      <c r="BS694" s="308"/>
      <c r="BT694" s="309"/>
      <c r="BU694" s="310">
        <f t="shared" si="262"/>
        <v>0</v>
      </c>
      <c r="BV694" s="311"/>
      <c r="BW694" s="312"/>
      <c r="BX694" s="313">
        <f t="shared" si="263"/>
        <v>0</v>
      </c>
      <c r="BY694" s="290"/>
    </row>
    <row r="695" spans="1:77">
      <c r="A695" s="354" t="s">
        <v>447</v>
      </c>
      <c r="B695" s="355" t="s">
        <v>725</v>
      </c>
      <c r="C695" s="354">
        <v>234377</v>
      </c>
      <c r="D695" s="356">
        <v>10</v>
      </c>
      <c r="E695" s="308"/>
      <c r="F695" s="309"/>
      <c r="G695" s="310">
        <f t="shared" si="240"/>
        <v>0</v>
      </c>
      <c r="H695" s="311"/>
      <c r="I695" s="312"/>
      <c r="J695" s="313">
        <f t="shared" si="241"/>
        <v>0</v>
      </c>
      <c r="K695" s="308"/>
      <c r="L695" s="309"/>
      <c r="M695" s="310">
        <f t="shared" si="242"/>
        <v>0</v>
      </c>
      <c r="N695" s="311"/>
      <c r="O695" s="312"/>
      <c r="P695" s="313">
        <f t="shared" si="243"/>
        <v>0</v>
      </c>
      <c r="Q695" s="308"/>
      <c r="R695" s="309"/>
      <c r="S695" s="310">
        <f t="shared" si="244"/>
        <v>0</v>
      </c>
      <c r="T695" s="311"/>
      <c r="U695" s="312"/>
      <c r="V695" s="313">
        <f t="shared" si="245"/>
        <v>0</v>
      </c>
      <c r="W695" s="308"/>
      <c r="X695" s="309"/>
      <c r="Y695" s="310">
        <f t="shared" si="246"/>
        <v>0</v>
      </c>
      <c r="Z695" s="311"/>
      <c r="AA695" s="312"/>
      <c r="AB695" s="313">
        <f t="shared" si="247"/>
        <v>0</v>
      </c>
      <c r="AC695" s="308"/>
      <c r="AD695" s="309"/>
      <c r="AE695" s="310">
        <f t="shared" si="248"/>
        <v>0</v>
      </c>
      <c r="AF695" s="311"/>
      <c r="AG695" s="312"/>
      <c r="AH695" s="313">
        <f t="shared" si="249"/>
        <v>0</v>
      </c>
      <c r="AI695" s="308"/>
      <c r="AJ695" s="309"/>
      <c r="AK695" s="310">
        <f t="shared" si="250"/>
        <v>0</v>
      </c>
      <c r="AL695" s="311"/>
      <c r="AM695" s="312"/>
      <c r="AN695" s="313">
        <f t="shared" si="251"/>
        <v>0</v>
      </c>
      <c r="AO695" s="308"/>
      <c r="AP695" s="309"/>
      <c r="AQ695" s="310">
        <f t="shared" si="252"/>
        <v>0</v>
      </c>
      <c r="AR695" s="311"/>
      <c r="AS695" s="312"/>
      <c r="AT695" s="313">
        <f t="shared" si="253"/>
        <v>0</v>
      </c>
      <c r="AU695" s="308"/>
      <c r="AV695" s="309"/>
      <c r="AW695" s="310">
        <f t="shared" si="254"/>
        <v>0</v>
      </c>
      <c r="AX695" s="311"/>
      <c r="AY695" s="312"/>
      <c r="AZ695" s="313">
        <f t="shared" si="255"/>
        <v>0</v>
      </c>
      <c r="BA695" s="308"/>
      <c r="BB695" s="309"/>
      <c r="BC695" s="310">
        <f t="shared" si="256"/>
        <v>0</v>
      </c>
      <c r="BD695" s="311"/>
      <c r="BE695" s="312"/>
      <c r="BF695" s="313">
        <f t="shared" si="257"/>
        <v>0</v>
      </c>
      <c r="BG695" s="308"/>
      <c r="BH695" s="309"/>
      <c r="BI695" s="310">
        <f t="shared" si="258"/>
        <v>0</v>
      </c>
      <c r="BJ695" s="311"/>
      <c r="BK695" s="312"/>
      <c r="BL695" s="313">
        <f t="shared" si="259"/>
        <v>0</v>
      </c>
      <c r="BM695" s="308"/>
      <c r="BN695" s="309"/>
      <c r="BO695" s="310">
        <f t="shared" si="260"/>
        <v>0</v>
      </c>
      <c r="BP695" s="311"/>
      <c r="BQ695" s="312"/>
      <c r="BR695" s="313">
        <f t="shared" si="261"/>
        <v>0</v>
      </c>
      <c r="BS695" s="308"/>
      <c r="BT695" s="309"/>
      <c r="BU695" s="310">
        <f t="shared" si="262"/>
        <v>0</v>
      </c>
      <c r="BV695" s="311"/>
      <c r="BW695" s="312"/>
      <c r="BX695" s="313">
        <f t="shared" si="263"/>
        <v>0</v>
      </c>
      <c r="BY695" s="290"/>
    </row>
    <row r="696" spans="1:77">
      <c r="A696" s="354" t="s">
        <v>447</v>
      </c>
      <c r="B696" s="355" t="s">
        <v>726</v>
      </c>
      <c r="C696" s="354"/>
      <c r="D696" s="356">
        <v>11</v>
      </c>
      <c r="E696" s="308">
        <f>236+164</f>
        <v>400</v>
      </c>
      <c r="F696" s="309">
        <f>+(15814129+10398918)/E696</f>
        <v>65532.6175</v>
      </c>
      <c r="G696" s="310">
        <f t="shared" si="240"/>
        <v>26213047</v>
      </c>
      <c r="H696" s="311">
        <f>225+170</f>
        <v>395</v>
      </c>
      <c r="I696" s="312">
        <v>68399.356962025311</v>
      </c>
      <c r="J696" s="313">
        <f t="shared" si="241"/>
        <v>27017745.999999996</v>
      </c>
      <c r="K696" s="308">
        <f>327+288</f>
        <v>615</v>
      </c>
      <c r="L696" s="309">
        <f>+(19125066+16172814)/K696</f>
        <v>57394.92682926829</v>
      </c>
      <c r="M696" s="310">
        <f t="shared" si="242"/>
        <v>35297880</v>
      </c>
      <c r="N696" s="311">
        <f>294+281</f>
        <v>575</v>
      </c>
      <c r="O696" s="312">
        <v>60623.519999999997</v>
      </c>
      <c r="P696" s="313">
        <f t="shared" si="243"/>
        <v>34858524</v>
      </c>
      <c r="Q696" s="308">
        <f>268+375</f>
        <v>643</v>
      </c>
      <c r="R696" s="309">
        <f>+(13920593+19085782)/Q696</f>
        <v>51331.842923794713</v>
      </c>
      <c r="S696" s="310">
        <f t="shared" si="244"/>
        <v>33006375</v>
      </c>
      <c r="T696" s="311">
        <f>268+363</f>
        <v>631</v>
      </c>
      <c r="U696" s="312">
        <v>54375.232963549919</v>
      </c>
      <c r="V696" s="313">
        <f t="shared" si="245"/>
        <v>34310772</v>
      </c>
      <c r="W696" s="308">
        <f>161+225</f>
        <v>386</v>
      </c>
      <c r="X696" s="309">
        <f>+(7457084+10018073)/W696</f>
        <v>45272.427461139894</v>
      </c>
      <c r="Y696" s="310">
        <f t="shared" si="246"/>
        <v>17475157</v>
      </c>
      <c r="Z696" s="311">
        <f>156+219</f>
        <v>375</v>
      </c>
      <c r="AA696" s="312">
        <v>47872.832000000002</v>
      </c>
      <c r="AB696" s="313">
        <f t="shared" si="247"/>
        <v>17952312</v>
      </c>
      <c r="AC696" s="308">
        <v>1</v>
      </c>
      <c r="AD696" s="309">
        <v>28185</v>
      </c>
      <c r="AE696" s="310">
        <f t="shared" si="248"/>
        <v>28185</v>
      </c>
      <c r="AF696" s="311"/>
      <c r="AG696" s="312"/>
      <c r="AH696" s="313">
        <f t="shared" si="249"/>
        <v>0</v>
      </c>
      <c r="AI696" s="308"/>
      <c r="AJ696" s="309"/>
      <c r="AK696" s="310">
        <f t="shared" si="250"/>
        <v>0</v>
      </c>
      <c r="AL696" s="311"/>
      <c r="AM696" s="312"/>
      <c r="AN696" s="313">
        <f t="shared" si="251"/>
        <v>0</v>
      </c>
      <c r="AO696" s="308">
        <f>5+11</f>
        <v>16</v>
      </c>
      <c r="AP696" s="309">
        <f>+(447716+886928)/AO696</f>
        <v>83415.25</v>
      </c>
      <c r="AQ696" s="310">
        <f t="shared" si="252"/>
        <v>1092005.7208</v>
      </c>
      <c r="AR696" s="311">
        <f>19+18</f>
        <v>37</v>
      </c>
      <c r="AS696" s="312">
        <v>76810.432432432426</v>
      </c>
      <c r="AT696" s="313">
        <f t="shared" si="253"/>
        <v>2325312.9452</v>
      </c>
      <c r="AU696" s="308">
        <f>10+12</f>
        <v>22</v>
      </c>
      <c r="AV696" s="309">
        <f>+(771759+857532)/AU696</f>
        <v>74058.681818181823</v>
      </c>
      <c r="AW696" s="310">
        <f t="shared" si="254"/>
        <v>1333085.8962000001</v>
      </c>
      <c r="AX696" s="311">
        <f>27+34</f>
        <v>61</v>
      </c>
      <c r="AY696" s="312">
        <v>64889.967213114753</v>
      </c>
      <c r="AZ696" s="313">
        <f t="shared" si="255"/>
        <v>3238671.2416000003</v>
      </c>
      <c r="BA696" s="308">
        <f>11+17</f>
        <v>28</v>
      </c>
      <c r="BB696" s="309">
        <f>+(725169+1095563)/BA696</f>
        <v>65026.142857142855</v>
      </c>
      <c r="BC696" s="310">
        <f t="shared" si="256"/>
        <v>1489722.9224</v>
      </c>
      <c r="BD696" s="311">
        <f>21+38</f>
        <v>59</v>
      </c>
      <c r="BE696" s="312">
        <v>63150.966101694918</v>
      </c>
      <c r="BF696" s="313">
        <f t="shared" si="257"/>
        <v>3048537.1074000001</v>
      </c>
      <c r="BG696" s="308">
        <f>44+18</f>
        <v>62</v>
      </c>
      <c r="BH696" s="309">
        <f>+(2224368+963820)/BG696</f>
        <v>51422.387096774197</v>
      </c>
      <c r="BI696" s="310">
        <f t="shared" si="258"/>
        <v>2608575.4216</v>
      </c>
      <c r="BJ696" s="311">
        <f>16+23</f>
        <v>39</v>
      </c>
      <c r="BK696" s="312">
        <v>56616.820512820515</v>
      </c>
      <c r="BL696" s="313">
        <f t="shared" si="259"/>
        <v>1806631.4192000001</v>
      </c>
      <c r="BM696" s="308"/>
      <c r="BN696" s="309"/>
      <c r="BO696" s="310">
        <f t="shared" si="260"/>
        <v>0</v>
      </c>
      <c r="BP696" s="311"/>
      <c r="BQ696" s="312"/>
      <c r="BR696" s="313">
        <f t="shared" si="261"/>
        <v>0</v>
      </c>
      <c r="BS696" s="308"/>
      <c r="BT696" s="309"/>
      <c r="BU696" s="310">
        <f t="shared" si="262"/>
        <v>0</v>
      </c>
      <c r="BV696" s="311"/>
      <c r="BW696" s="312"/>
      <c r="BX696" s="313">
        <f t="shared" si="263"/>
        <v>0</v>
      </c>
      <c r="BY696" s="290"/>
    </row>
    <row r="697" spans="1:77">
      <c r="A697" s="335" t="s">
        <v>446</v>
      </c>
      <c r="B697" s="334" t="s">
        <v>641</v>
      </c>
      <c r="C697" s="333">
        <v>238032</v>
      </c>
      <c r="D697" s="333">
        <v>1</v>
      </c>
      <c r="E697" s="308">
        <v>217</v>
      </c>
      <c r="F697" s="309">
        <v>91889</v>
      </c>
      <c r="G697" s="310">
        <f t="shared" si="240"/>
        <v>19939913</v>
      </c>
      <c r="H697" s="311">
        <v>218</v>
      </c>
      <c r="I697" s="312">
        <v>101544</v>
      </c>
      <c r="J697" s="313">
        <f t="shared" si="241"/>
        <v>22136592</v>
      </c>
      <c r="K697" s="308">
        <v>184</v>
      </c>
      <c r="L697" s="309">
        <v>67257</v>
      </c>
      <c r="M697" s="310">
        <f t="shared" si="242"/>
        <v>12375288</v>
      </c>
      <c r="N697" s="311">
        <v>197</v>
      </c>
      <c r="O697" s="312">
        <v>71902</v>
      </c>
      <c r="P697" s="313">
        <f t="shared" si="243"/>
        <v>14164694</v>
      </c>
      <c r="Q697" s="308">
        <v>231</v>
      </c>
      <c r="R697" s="309">
        <v>57275</v>
      </c>
      <c r="S697" s="310">
        <f t="shared" si="244"/>
        <v>13230525</v>
      </c>
      <c r="T697" s="311">
        <v>278</v>
      </c>
      <c r="U697" s="312">
        <v>59227</v>
      </c>
      <c r="V697" s="313">
        <f t="shared" si="245"/>
        <v>16465106</v>
      </c>
      <c r="W697" s="308">
        <v>4</v>
      </c>
      <c r="X697" s="309">
        <v>38091</v>
      </c>
      <c r="Y697" s="310">
        <f t="shared" si="246"/>
        <v>152364</v>
      </c>
      <c r="Z697" s="311">
        <v>35</v>
      </c>
      <c r="AA697" s="312">
        <v>40040</v>
      </c>
      <c r="AB697" s="313">
        <f t="shared" si="247"/>
        <v>1401400</v>
      </c>
      <c r="AC697" s="308">
        <v>24</v>
      </c>
      <c r="AD697" s="309">
        <v>47803</v>
      </c>
      <c r="AE697" s="310">
        <f t="shared" si="248"/>
        <v>1147272</v>
      </c>
      <c r="AF697" s="311">
        <v>20</v>
      </c>
      <c r="AG697" s="312">
        <v>49213</v>
      </c>
      <c r="AH697" s="313">
        <f t="shared" si="249"/>
        <v>984260</v>
      </c>
      <c r="AI697" s="308"/>
      <c r="AJ697" s="309"/>
      <c r="AK697" s="310">
        <f t="shared" si="250"/>
        <v>0</v>
      </c>
      <c r="AL697" s="311"/>
      <c r="AM697" s="312"/>
      <c r="AN697" s="313">
        <f t="shared" si="251"/>
        <v>0</v>
      </c>
      <c r="AO697" s="308">
        <v>77</v>
      </c>
      <c r="AP697" s="309">
        <v>114103</v>
      </c>
      <c r="AQ697" s="310">
        <f t="shared" si="252"/>
        <v>7188648.7442000005</v>
      </c>
      <c r="AR697" s="311">
        <v>69</v>
      </c>
      <c r="AS697" s="312">
        <v>126944</v>
      </c>
      <c r="AT697" s="313">
        <f t="shared" si="253"/>
        <v>7166725.0752000008</v>
      </c>
      <c r="AU697" s="308">
        <v>35</v>
      </c>
      <c r="AV697" s="309">
        <v>89496</v>
      </c>
      <c r="AW697" s="310">
        <f t="shared" si="254"/>
        <v>2562896.952</v>
      </c>
      <c r="AX697" s="311">
        <v>37</v>
      </c>
      <c r="AY697" s="312">
        <v>100369</v>
      </c>
      <c r="AZ697" s="313">
        <f t="shared" si="255"/>
        <v>3038510.8846</v>
      </c>
      <c r="BA697" s="308">
        <v>39</v>
      </c>
      <c r="BB697" s="309">
        <v>81422</v>
      </c>
      <c r="BC697" s="310">
        <f t="shared" si="256"/>
        <v>2598159.7356000002</v>
      </c>
      <c r="BD697" s="311">
        <v>30</v>
      </c>
      <c r="BE697" s="312">
        <v>88986</v>
      </c>
      <c r="BF697" s="313">
        <f t="shared" si="257"/>
        <v>2184250.3560000001</v>
      </c>
      <c r="BG697" s="308">
        <v>15</v>
      </c>
      <c r="BH697" s="309">
        <v>54101</v>
      </c>
      <c r="BI697" s="310">
        <f t="shared" si="258"/>
        <v>663981.57299999997</v>
      </c>
      <c r="BJ697" s="311">
        <v>7</v>
      </c>
      <c r="BK697" s="312">
        <v>61189</v>
      </c>
      <c r="BL697" s="313">
        <f t="shared" si="259"/>
        <v>350453.8786</v>
      </c>
      <c r="BM697" s="308">
        <v>3</v>
      </c>
      <c r="BN697" s="309">
        <v>55096</v>
      </c>
      <c r="BO697" s="310">
        <f t="shared" si="260"/>
        <v>135238.6416</v>
      </c>
      <c r="BP697" s="311">
        <v>3</v>
      </c>
      <c r="BQ697" s="312">
        <v>65492</v>
      </c>
      <c r="BR697" s="313">
        <f t="shared" si="261"/>
        <v>160756.66320000001</v>
      </c>
      <c r="BS697" s="308"/>
      <c r="BT697" s="309"/>
      <c r="BU697" s="310">
        <f t="shared" si="262"/>
        <v>0</v>
      </c>
      <c r="BV697" s="311"/>
      <c r="BW697" s="312"/>
      <c r="BX697" s="313">
        <f t="shared" si="263"/>
        <v>0</v>
      </c>
      <c r="BY697" s="290"/>
    </row>
    <row r="698" spans="1:77">
      <c r="A698" s="335" t="s">
        <v>446</v>
      </c>
      <c r="B698" s="334" t="s">
        <v>642</v>
      </c>
      <c r="C698" s="333">
        <v>237525</v>
      </c>
      <c r="D698" s="335">
        <v>3</v>
      </c>
      <c r="E698" s="308">
        <v>190</v>
      </c>
      <c r="F698" s="309">
        <v>71085</v>
      </c>
      <c r="G698" s="310">
        <f t="shared" si="240"/>
        <v>13506150</v>
      </c>
      <c r="H698" s="311">
        <v>183</v>
      </c>
      <c r="I698" s="312">
        <v>73190</v>
      </c>
      <c r="J698" s="313">
        <f t="shared" si="241"/>
        <v>13393770</v>
      </c>
      <c r="K698" s="308">
        <v>104</v>
      </c>
      <c r="L698" s="309">
        <v>56410</v>
      </c>
      <c r="M698" s="310">
        <f t="shared" si="242"/>
        <v>5866640</v>
      </c>
      <c r="N698" s="311">
        <v>110</v>
      </c>
      <c r="O698" s="312">
        <v>58519</v>
      </c>
      <c r="P698" s="313">
        <f t="shared" si="243"/>
        <v>6437090</v>
      </c>
      <c r="Q698" s="308">
        <v>115</v>
      </c>
      <c r="R698" s="309">
        <v>47971</v>
      </c>
      <c r="S698" s="310">
        <f t="shared" si="244"/>
        <v>5516665</v>
      </c>
      <c r="T698" s="311">
        <v>116</v>
      </c>
      <c r="U698" s="312">
        <v>48541</v>
      </c>
      <c r="V698" s="313">
        <f t="shared" si="245"/>
        <v>5630756</v>
      </c>
      <c r="W698" s="308">
        <v>24</v>
      </c>
      <c r="X698" s="309">
        <v>28235</v>
      </c>
      <c r="Y698" s="310">
        <f t="shared" si="246"/>
        <v>677640</v>
      </c>
      <c r="Z698" s="311">
        <v>28</v>
      </c>
      <c r="AA698" s="312">
        <v>31227</v>
      </c>
      <c r="AB698" s="313">
        <f t="shared" si="247"/>
        <v>874356</v>
      </c>
      <c r="AC698" s="308"/>
      <c r="AD698" s="309"/>
      <c r="AE698" s="310">
        <f t="shared" si="248"/>
        <v>0</v>
      </c>
      <c r="AF698" s="311"/>
      <c r="AG698" s="312"/>
      <c r="AH698" s="313">
        <f t="shared" si="249"/>
        <v>0</v>
      </c>
      <c r="AI698" s="308"/>
      <c r="AJ698" s="309"/>
      <c r="AK698" s="310">
        <f t="shared" si="250"/>
        <v>0</v>
      </c>
      <c r="AL698" s="311"/>
      <c r="AM698" s="312"/>
      <c r="AN698" s="313">
        <f t="shared" si="251"/>
        <v>0</v>
      </c>
      <c r="AO698" s="308">
        <v>15</v>
      </c>
      <c r="AP698" s="309">
        <v>96126</v>
      </c>
      <c r="AQ698" s="310">
        <f t="shared" si="252"/>
        <v>1179754.398</v>
      </c>
      <c r="AR698" s="311">
        <v>16</v>
      </c>
      <c r="AS698" s="312">
        <v>96496</v>
      </c>
      <c r="AT698" s="313">
        <f t="shared" si="253"/>
        <v>1263248.4351999999</v>
      </c>
      <c r="AU698" s="308">
        <v>6</v>
      </c>
      <c r="AV698" s="309">
        <v>77418</v>
      </c>
      <c r="AW698" s="310">
        <f t="shared" si="254"/>
        <v>380060.44560000004</v>
      </c>
      <c r="AX698" s="311">
        <v>5</v>
      </c>
      <c r="AY698" s="312">
        <v>71376</v>
      </c>
      <c r="AZ698" s="313">
        <f t="shared" si="255"/>
        <v>291999.21600000001</v>
      </c>
      <c r="BA698" s="308">
        <v>4</v>
      </c>
      <c r="BB698" s="309">
        <v>59993</v>
      </c>
      <c r="BC698" s="310">
        <f t="shared" si="256"/>
        <v>196345.09040000002</v>
      </c>
      <c r="BD698" s="311">
        <v>4</v>
      </c>
      <c r="BE698" s="312">
        <v>60982</v>
      </c>
      <c r="BF698" s="313">
        <f t="shared" si="257"/>
        <v>199581.88959999999</v>
      </c>
      <c r="BG698" s="308"/>
      <c r="BH698" s="309"/>
      <c r="BI698" s="310">
        <f t="shared" si="258"/>
        <v>0</v>
      </c>
      <c r="BJ698" s="311"/>
      <c r="BK698" s="312"/>
      <c r="BL698" s="313">
        <f t="shared" si="259"/>
        <v>0</v>
      </c>
      <c r="BM698" s="308"/>
      <c r="BN698" s="309"/>
      <c r="BO698" s="310">
        <f t="shared" si="260"/>
        <v>0</v>
      </c>
      <c r="BP698" s="311"/>
      <c r="BQ698" s="312"/>
      <c r="BR698" s="313">
        <f t="shared" si="261"/>
        <v>0</v>
      </c>
      <c r="BS698" s="308"/>
      <c r="BT698" s="309"/>
      <c r="BU698" s="310">
        <f t="shared" si="262"/>
        <v>0</v>
      </c>
      <c r="BV698" s="311"/>
      <c r="BW698" s="312"/>
      <c r="BX698" s="313">
        <f t="shared" si="263"/>
        <v>0</v>
      </c>
      <c r="BY698" s="290"/>
    </row>
    <row r="699" spans="1:77">
      <c r="A699" s="335" t="s">
        <v>446</v>
      </c>
      <c r="B699" s="334" t="s">
        <v>643</v>
      </c>
      <c r="C699" s="333">
        <v>237215</v>
      </c>
      <c r="D699" s="335">
        <v>6</v>
      </c>
      <c r="E699" s="308">
        <v>25</v>
      </c>
      <c r="F699" s="309">
        <v>64081</v>
      </c>
      <c r="G699" s="310">
        <f t="shared" si="240"/>
        <v>1602025</v>
      </c>
      <c r="H699" s="311">
        <v>26</v>
      </c>
      <c r="I699" s="312">
        <v>66572</v>
      </c>
      <c r="J699" s="313">
        <f t="shared" si="241"/>
        <v>1730872</v>
      </c>
      <c r="K699" s="308">
        <v>19</v>
      </c>
      <c r="L699" s="309">
        <v>50682</v>
      </c>
      <c r="M699" s="310">
        <f t="shared" si="242"/>
        <v>962958</v>
      </c>
      <c r="N699" s="311">
        <v>15</v>
      </c>
      <c r="O699" s="312">
        <v>56522</v>
      </c>
      <c r="P699" s="313">
        <f t="shared" si="243"/>
        <v>847830</v>
      </c>
      <c r="Q699" s="308">
        <v>22</v>
      </c>
      <c r="R699" s="309">
        <v>47256</v>
      </c>
      <c r="S699" s="310">
        <f t="shared" si="244"/>
        <v>1039632</v>
      </c>
      <c r="T699" s="311">
        <v>21</v>
      </c>
      <c r="U699" s="312">
        <v>51334</v>
      </c>
      <c r="V699" s="313">
        <f t="shared" si="245"/>
        <v>1078014</v>
      </c>
      <c r="W699" s="308">
        <v>3</v>
      </c>
      <c r="X699" s="309">
        <v>36836</v>
      </c>
      <c r="Y699" s="310">
        <f t="shared" si="246"/>
        <v>110508</v>
      </c>
      <c r="Z699" s="311">
        <v>3</v>
      </c>
      <c r="AA699" s="312">
        <v>39052</v>
      </c>
      <c r="AB699" s="313">
        <f t="shared" si="247"/>
        <v>117156</v>
      </c>
      <c r="AC699" s="308">
        <v>2</v>
      </c>
      <c r="AD699" s="309">
        <v>35262</v>
      </c>
      <c r="AE699" s="310">
        <f t="shared" si="248"/>
        <v>70524</v>
      </c>
      <c r="AF699" s="311">
        <v>2</v>
      </c>
      <c r="AG699" s="312">
        <v>37086</v>
      </c>
      <c r="AH699" s="313">
        <f t="shared" si="249"/>
        <v>74172</v>
      </c>
      <c r="AI699" s="308"/>
      <c r="AJ699" s="309"/>
      <c r="AK699" s="310">
        <f t="shared" si="250"/>
        <v>0</v>
      </c>
      <c r="AL699" s="311"/>
      <c r="AM699" s="312"/>
      <c r="AN699" s="313">
        <f t="shared" si="251"/>
        <v>0</v>
      </c>
      <c r="AO699" s="308">
        <v>3</v>
      </c>
      <c r="AP699" s="309">
        <v>104719</v>
      </c>
      <c r="AQ699" s="310">
        <f t="shared" si="252"/>
        <v>257043.2574</v>
      </c>
      <c r="AR699" s="311">
        <v>3</v>
      </c>
      <c r="AS699" s="312">
        <v>85683</v>
      </c>
      <c r="AT699" s="313">
        <f t="shared" si="253"/>
        <v>210317.49180000002</v>
      </c>
      <c r="AU699" s="308">
        <v>1</v>
      </c>
      <c r="AV699" s="309">
        <v>46560</v>
      </c>
      <c r="AW699" s="310">
        <f t="shared" si="254"/>
        <v>38095.392</v>
      </c>
      <c r="AX699" s="311">
        <v>1</v>
      </c>
      <c r="AY699" s="312">
        <v>50064</v>
      </c>
      <c r="AZ699" s="313">
        <f t="shared" si="255"/>
        <v>40962.364800000003</v>
      </c>
      <c r="BA699" s="308">
        <v>1</v>
      </c>
      <c r="BB699" s="309">
        <v>48256</v>
      </c>
      <c r="BC699" s="310">
        <f t="shared" si="256"/>
        <v>39483.059200000003</v>
      </c>
      <c r="BD699" s="311">
        <v>1</v>
      </c>
      <c r="BE699" s="312">
        <v>71812</v>
      </c>
      <c r="BF699" s="313">
        <f t="shared" si="257"/>
        <v>58756.578400000006</v>
      </c>
      <c r="BG699" s="308"/>
      <c r="BH699" s="309"/>
      <c r="BI699" s="310">
        <f t="shared" si="258"/>
        <v>0</v>
      </c>
      <c r="BJ699" s="311"/>
      <c r="BK699" s="312"/>
      <c r="BL699" s="313">
        <f t="shared" si="259"/>
        <v>0</v>
      </c>
      <c r="BM699" s="308"/>
      <c r="BN699" s="309"/>
      <c r="BO699" s="310">
        <f t="shared" si="260"/>
        <v>0</v>
      </c>
      <c r="BP699" s="311"/>
      <c r="BQ699" s="312"/>
      <c r="BR699" s="313">
        <f t="shared" si="261"/>
        <v>0</v>
      </c>
      <c r="BS699" s="308"/>
      <c r="BT699" s="309"/>
      <c r="BU699" s="310">
        <f t="shared" si="262"/>
        <v>0</v>
      </c>
      <c r="BV699" s="311"/>
      <c r="BW699" s="312"/>
      <c r="BX699" s="313">
        <f t="shared" si="263"/>
        <v>0</v>
      </c>
      <c r="BY699" s="290"/>
    </row>
    <row r="700" spans="1:77">
      <c r="A700" s="335" t="s">
        <v>446</v>
      </c>
      <c r="B700" s="334" t="s">
        <v>644</v>
      </c>
      <c r="C700" s="333">
        <v>237330</v>
      </c>
      <c r="D700" s="335">
        <v>6</v>
      </c>
      <c r="E700" s="308">
        <v>17</v>
      </c>
      <c r="F700" s="309">
        <v>65448</v>
      </c>
      <c r="G700" s="310">
        <f t="shared" si="240"/>
        <v>1112616</v>
      </c>
      <c r="H700" s="311">
        <v>17</v>
      </c>
      <c r="I700" s="312">
        <v>68277</v>
      </c>
      <c r="J700" s="313">
        <f t="shared" si="241"/>
        <v>1160709</v>
      </c>
      <c r="K700" s="308">
        <v>29</v>
      </c>
      <c r="L700" s="309">
        <v>56292</v>
      </c>
      <c r="M700" s="310">
        <f t="shared" si="242"/>
        <v>1632468</v>
      </c>
      <c r="N700" s="311">
        <v>28</v>
      </c>
      <c r="O700" s="312">
        <v>58767</v>
      </c>
      <c r="P700" s="313">
        <f t="shared" si="243"/>
        <v>1645476</v>
      </c>
      <c r="Q700" s="308">
        <v>37</v>
      </c>
      <c r="R700" s="309">
        <v>45943</v>
      </c>
      <c r="S700" s="310">
        <f t="shared" si="244"/>
        <v>1699891</v>
      </c>
      <c r="T700" s="311">
        <v>44</v>
      </c>
      <c r="U700" s="312">
        <v>48453</v>
      </c>
      <c r="V700" s="313">
        <f t="shared" si="245"/>
        <v>2131932</v>
      </c>
      <c r="W700" s="308">
        <v>13</v>
      </c>
      <c r="X700" s="309">
        <v>39923</v>
      </c>
      <c r="Y700" s="310">
        <f t="shared" si="246"/>
        <v>518999</v>
      </c>
      <c r="Z700" s="311">
        <v>13</v>
      </c>
      <c r="AA700" s="312">
        <v>41270</v>
      </c>
      <c r="AB700" s="313">
        <f t="shared" si="247"/>
        <v>536510</v>
      </c>
      <c r="AC700" s="308"/>
      <c r="AD700" s="309"/>
      <c r="AE700" s="310">
        <f t="shared" si="248"/>
        <v>0</v>
      </c>
      <c r="AF700" s="311"/>
      <c r="AG700" s="312"/>
      <c r="AH700" s="313">
        <f t="shared" si="249"/>
        <v>0</v>
      </c>
      <c r="AI700" s="308"/>
      <c r="AJ700" s="309"/>
      <c r="AK700" s="310">
        <f t="shared" si="250"/>
        <v>0</v>
      </c>
      <c r="AL700" s="311"/>
      <c r="AM700" s="312"/>
      <c r="AN700" s="313">
        <f t="shared" si="251"/>
        <v>0</v>
      </c>
      <c r="AO700" s="308">
        <v>2</v>
      </c>
      <c r="AP700" s="309">
        <v>82261</v>
      </c>
      <c r="AQ700" s="310">
        <f t="shared" si="252"/>
        <v>134611.90040000001</v>
      </c>
      <c r="AR700" s="311">
        <v>2</v>
      </c>
      <c r="AS700" s="312">
        <v>85735</v>
      </c>
      <c r="AT700" s="313">
        <f t="shared" si="253"/>
        <v>140296.75400000002</v>
      </c>
      <c r="AU700" s="308">
        <v>2</v>
      </c>
      <c r="AV700" s="309">
        <v>65193</v>
      </c>
      <c r="AW700" s="310">
        <f t="shared" si="254"/>
        <v>106681.82520000001</v>
      </c>
      <c r="AX700" s="311">
        <v>2</v>
      </c>
      <c r="AY700" s="312">
        <v>68084</v>
      </c>
      <c r="AZ700" s="313">
        <f t="shared" si="255"/>
        <v>111412.65760000001</v>
      </c>
      <c r="BA700" s="308"/>
      <c r="BB700" s="309"/>
      <c r="BC700" s="310">
        <f t="shared" si="256"/>
        <v>0</v>
      </c>
      <c r="BD700" s="311"/>
      <c r="BE700" s="312"/>
      <c r="BF700" s="313">
        <f t="shared" si="257"/>
        <v>0</v>
      </c>
      <c r="BG700" s="308"/>
      <c r="BH700" s="309"/>
      <c r="BI700" s="310">
        <f t="shared" si="258"/>
        <v>0</v>
      </c>
      <c r="BJ700" s="311"/>
      <c r="BK700" s="312"/>
      <c r="BL700" s="313">
        <f t="shared" si="259"/>
        <v>0</v>
      </c>
      <c r="BM700" s="308"/>
      <c r="BN700" s="309"/>
      <c r="BO700" s="310">
        <f t="shared" si="260"/>
        <v>0</v>
      </c>
      <c r="BP700" s="311"/>
      <c r="BQ700" s="312"/>
      <c r="BR700" s="313">
        <f t="shared" si="261"/>
        <v>0</v>
      </c>
      <c r="BS700" s="308"/>
      <c r="BT700" s="309"/>
      <c r="BU700" s="310">
        <f t="shared" si="262"/>
        <v>0</v>
      </c>
      <c r="BV700" s="311"/>
      <c r="BW700" s="312"/>
      <c r="BX700" s="313">
        <f t="shared" si="263"/>
        <v>0</v>
      </c>
      <c r="BY700" s="290"/>
    </row>
    <row r="701" spans="1:77">
      <c r="A701" s="335" t="s">
        <v>446</v>
      </c>
      <c r="B701" s="424" t="s">
        <v>218</v>
      </c>
      <c r="C701" s="333">
        <v>237367</v>
      </c>
      <c r="D701" s="335">
        <v>6</v>
      </c>
      <c r="E701" s="308">
        <v>45</v>
      </c>
      <c r="F701" s="309">
        <v>69573</v>
      </c>
      <c r="G701" s="310">
        <f t="shared" si="240"/>
        <v>3130785</v>
      </c>
      <c r="H701" s="311">
        <v>45</v>
      </c>
      <c r="I701" s="312">
        <v>73139</v>
      </c>
      <c r="J701" s="313">
        <f t="shared" si="241"/>
        <v>3291255</v>
      </c>
      <c r="K701" s="308">
        <v>32</v>
      </c>
      <c r="L701" s="309">
        <v>57202</v>
      </c>
      <c r="M701" s="310">
        <f t="shared" si="242"/>
        <v>1830464</v>
      </c>
      <c r="N701" s="311">
        <v>30</v>
      </c>
      <c r="O701" s="312">
        <v>61852</v>
      </c>
      <c r="P701" s="313">
        <f t="shared" si="243"/>
        <v>1855560</v>
      </c>
      <c r="Q701" s="308">
        <v>66</v>
      </c>
      <c r="R701" s="309">
        <v>49542</v>
      </c>
      <c r="S701" s="310">
        <f t="shared" si="244"/>
        <v>3269772</v>
      </c>
      <c r="T701" s="311">
        <v>62</v>
      </c>
      <c r="U701" s="312">
        <v>51313</v>
      </c>
      <c r="V701" s="313">
        <f t="shared" si="245"/>
        <v>3181406</v>
      </c>
      <c r="W701" s="308">
        <v>9</v>
      </c>
      <c r="X701" s="309">
        <v>42835</v>
      </c>
      <c r="Y701" s="310">
        <f t="shared" si="246"/>
        <v>385515</v>
      </c>
      <c r="Z701" s="311">
        <v>8</v>
      </c>
      <c r="AA701" s="312">
        <v>44706</v>
      </c>
      <c r="AB701" s="313">
        <f t="shared" si="247"/>
        <v>357648</v>
      </c>
      <c r="AC701" s="308"/>
      <c r="AD701" s="309"/>
      <c r="AE701" s="310">
        <f t="shared" si="248"/>
        <v>0</v>
      </c>
      <c r="AF701" s="311">
        <v>1</v>
      </c>
      <c r="AG701" s="312">
        <v>42962</v>
      </c>
      <c r="AH701" s="313">
        <f t="shared" si="249"/>
        <v>42962</v>
      </c>
      <c r="AI701" s="308"/>
      <c r="AJ701" s="309"/>
      <c r="AK701" s="310">
        <f t="shared" si="250"/>
        <v>0</v>
      </c>
      <c r="AL701" s="311"/>
      <c r="AM701" s="312"/>
      <c r="AN701" s="313">
        <f t="shared" si="251"/>
        <v>0</v>
      </c>
      <c r="AO701" s="308">
        <v>6</v>
      </c>
      <c r="AP701" s="309">
        <v>97031</v>
      </c>
      <c r="AQ701" s="310">
        <f t="shared" si="252"/>
        <v>476344.58520000003</v>
      </c>
      <c r="AR701" s="311">
        <v>6</v>
      </c>
      <c r="AS701" s="312">
        <v>113122</v>
      </c>
      <c r="AT701" s="313">
        <f t="shared" si="253"/>
        <v>555338.52240000002</v>
      </c>
      <c r="AU701" s="308">
        <v>2</v>
      </c>
      <c r="AV701" s="309">
        <v>90612</v>
      </c>
      <c r="AW701" s="310">
        <f t="shared" si="254"/>
        <v>148277.4768</v>
      </c>
      <c r="AX701" s="311">
        <v>3</v>
      </c>
      <c r="AY701" s="312">
        <v>92023</v>
      </c>
      <c r="AZ701" s="313">
        <f t="shared" si="255"/>
        <v>225879.65580000001</v>
      </c>
      <c r="BA701" s="308">
        <v>9</v>
      </c>
      <c r="BB701" s="309">
        <v>45742</v>
      </c>
      <c r="BC701" s="310">
        <f t="shared" si="256"/>
        <v>336834.93960000004</v>
      </c>
      <c r="BD701" s="311">
        <v>5</v>
      </c>
      <c r="BE701" s="312">
        <v>47687</v>
      </c>
      <c r="BF701" s="313">
        <f t="shared" si="257"/>
        <v>195087.51700000002</v>
      </c>
      <c r="BG701" s="308">
        <v>9</v>
      </c>
      <c r="BH701" s="309">
        <v>37080</v>
      </c>
      <c r="BI701" s="310">
        <f t="shared" si="258"/>
        <v>273049.70400000003</v>
      </c>
      <c r="BJ701" s="311">
        <v>11</v>
      </c>
      <c r="BK701" s="312">
        <v>47699</v>
      </c>
      <c r="BL701" s="313">
        <f t="shared" si="259"/>
        <v>429300.53980000003</v>
      </c>
      <c r="BM701" s="308"/>
      <c r="BN701" s="309"/>
      <c r="BO701" s="310">
        <f t="shared" si="260"/>
        <v>0</v>
      </c>
      <c r="BP701" s="311">
        <v>1</v>
      </c>
      <c r="BQ701" s="312">
        <v>32004</v>
      </c>
      <c r="BR701" s="313">
        <f t="shared" si="261"/>
        <v>26185.6728</v>
      </c>
      <c r="BS701" s="308"/>
      <c r="BT701" s="309"/>
      <c r="BU701" s="310">
        <f t="shared" si="262"/>
        <v>0</v>
      </c>
      <c r="BV701" s="311"/>
      <c r="BW701" s="312"/>
      <c r="BX701" s="313">
        <f t="shared" si="263"/>
        <v>0</v>
      </c>
      <c r="BY701" s="290"/>
    </row>
    <row r="702" spans="1:77">
      <c r="A702" s="335" t="s">
        <v>446</v>
      </c>
      <c r="B702" s="424" t="s">
        <v>645</v>
      </c>
      <c r="C702" s="333">
        <v>237385</v>
      </c>
      <c r="D702" s="335">
        <v>6</v>
      </c>
      <c r="E702" s="308">
        <v>9</v>
      </c>
      <c r="F702" s="309">
        <v>64054</v>
      </c>
      <c r="G702" s="310">
        <f t="shared" si="240"/>
        <v>576486</v>
      </c>
      <c r="H702" s="311">
        <v>8</v>
      </c>
      <c r="I702" s="312">
        <v>65885</v>
      </c>
      <c r="J702" s="313">
        <f t="shared" si="241"/>
        <v>527080</v>
      </c>
      <c r="K702" s="308">
        <v>15</v>
      </c>
      <c r="L702" s="309">
        <v>55922</v>
      </c>
      <c r="M702" s="310">
        <f t="shared" si="242"/>
        <v>838830</v>
      </c>
      <c r="N702" s="311">
        <v>15</v>
      </c>
      <c r="O702" s="312">
        <v>58612</v>
      </c>
      <c r="P702" s="313">
        <f t="shared" si="243"/>
        <v>879180</v>
      </c>
      <c r="Q702" s="308">
        <v>20</v>
      </c>
      <c r="R702" s="309">
        <v>44495</v>
      </c>
      <c r="S702" s="310">
        <f t="shared" si="244"/>
        <v>889900</v>
      </c>
      <c r="T702" s="311">
        <v>20</v>
      </c>
      <c r="U702" s="312">
        <v>46100</v>
      </c>
      <c r="V702" s="313">
        <f t="shared" si="245"/>
        <v>922000</v>
      </c>
      <c r="W702" s="308">
        <v>10</v>
      </c>
      <c r="X702" s="309">
        <v>36754</v>
      </c>
      <c r="Y702" s="310">
        <f t="shared" si="246"/>
        <v>367540</v>
      </c>
      <c r="Z702" s="311">
        <v>14</v>
      </c>
      <c r="AA702" s="312">
        <v>35203</v>
      </c>
      <c r="AB702" s="313">
        <f t="shared" si="247"/>
        <v>492842</v>
      </c>
      <c r="AC702" s="308">
        <v>1</v>
      </c>
      <c r="AD702" s="309">
        <v>31176</v>
      </c>
      <c r="AE702" s="310">
        <f t="shared" si="248"/>
        <v>31176</v>
      </c>
      <c r="AF702" s="311">
        <v>1</v>
      </c>
      <c r="AG702" s="312">
        <v>32424</v>
      </c>
      <c r="AH702" s="313">
        <f t="shared" si="249"/>
        <v>32424</v>
      </c>
      <c r="AI702" s="308"/>
      <c r="AJ702" s="309"/>
      <c r="AK702" s="310">
        <f t="shared" si="250"/>
        <v>0</v>
      </c>
      <c r="AL702" s="311"/>
      <c r="AM702" s="312"/>
      <c r="AN702" s="313">
        <f t="shared" si="251"/>
        <v>0</v>
      </c>
      <c r="AO702" s="308"/>
      <c r="AP702" s="309"/>
      <c r="AQ702" s="310">
        <f t="shared" si="252"/>
        <v>0</v>
      </c>
      <c r="AR702" s="311"/>
      <c r="AS702" s="312"/>
      <c r="AT702" s="313">
        <f t="shared" si="253"/>
        <v>0</v>
      </c>
      <c r="AU702" s="308">
        <v>1</v>
      </c>
      <c r="AV702" s="309">
        <v>62196</v>
      </c>
      <c r="AW702" s="310">
        <f t="shared" si="254"/>
        <v>50888.767200000002</v>
      </c>
      <c r="AX702" s="311">
        <v>1</v>
      </c>
      <c r="AY702" s="312">
        <v>63900</v>
      </c>
      <c r="AZ702" s="313">
        <f t="shared" si="255"/>
        <v>52282.98</v>
      </c>
      <c r="BA702" s="308"/>
      <c r="BB702" s="309"/>
      <c r="BC702" s="310">
        <f t="shared" si="256"/>
        <v>0</v>
      </c>
      <c r="BD702" s="311"/>
      <c r="BE702" s="312"/>
      <c r="BF702" s="313">
        <f t="shared" si="257"/>
        <v>0</v>
      </c>
      <c r="BG702" s="308"/>
      <c r="BH702" s="309"/>
      <c r="BI702" s="310">
        <f t="shared" si="258"/>
        <v>0</v>
      </c>
      <c r="BJ702" s="311"/>
      <c r="BK702" s="312"/>
      <c r="BL702" s="313">
        <f t="shared" si="259"/>
        <v>0</v>
      </c>
      <c r="BM702" s="308">
        <v>1</v>
      </c>
      <c r="BN702" s="309">
        <v>39898</v>
      </c>
      <c r="BO702" s="310">
        <f t="shared" si="260"/>
        <v>32644.543600000001</v>
      </c>
      <c r="BP702" s="311">
        <v>1</v>
      </c>
      <c r="BQ702" s="312">
        <v>41640</v>
      </c>
      <c r="BR702" s="313">
        <f t="shared" si="261"/>
        <v>34069.847999999998</v>
      </c>
      <c r="BS702" s="308"/>
      <c r="BT702" s="309"/>
      <c r="BU702" s="310">
        <f t="shared" si="262"/>
        <v>0</v>
      </c>
      <c r="BV702" s="311"/>
      <c r="BW702" s="312"/>
      <c r="BX702" s="313">
        <f t="shared" si="263"/>
        <v>0</v>
      </c>
      <c r="BY702" s="290"/>
    </row>
    <row r="703" spans="1:77">
      <c r="A703" s="335" t="s">
        <v>446</v>
      </c>
      <c r="B703" s="424" t="s">
        <v>646</v>
      </c>
      <c r="C703" s="333">
        <v>237792</v>
      </c>
      <c r="D703" s="335">
        <v>6</v>
      </c>
      <c r="E703" s="308">
        <v>27</v>
      </c>
      <c r="F703" s="309">
        <v>70162</v>
      </c>
      <c r="G703" s="310">
        <f t="shared" si="240"/>
        <v>1894374</v>
      </c>
      <c r="H703" s="311">
        <v>27</v>
      </c>
      <c r="I703" s="312">
        <v>73382</v>
      </c>
      <c r="J703" s="313">
        <f t="shared" si="241"/>
        <v>1981314</v>
      </c>
      <c r="K703" s="308">
        <v>33</v>
      </c>
      <c r="L703" s="309">
        <v>58891</v>
      </c>
      <c r="M703" s="310">
        <f t="shared" si="242"/>
        <v>1943403</v>
      </c>
      <c r="N703" s="311">
        <v>30</v>
      </c>
      <c r="O703" s="312">
        <v>61806</v>
      </c>
      <c r="P703" s="313">
        <f t="shared" si="243"/>
        <v>1854180</v>
      </c>
      <c r="Q703" s="308">
        <v>38</v>
      </c>
      <c r="R703" s="309">
        <v>50780</v>
      </c>
      <c r="S703" s="310">
        <f t="shared" si="244"/>
        <v>1929640</v>
      </c>
      <c r="T703" s="311">
        <v>44</v>
      </c>
      <c r="U703" s="312">
        <v>52812</v>
      </c>
      <c r="V703" s="313">
        <f t="shared" si="245"/>
        <v>2323728</v>
      </c>
      <c r="W703" s="308"/>
      <c r="X703" s="309"/>
      <c r="Y703" s="310">
        <f t="shared" si="246"/>
        <v>0</v>
      </c>
      <c r="Z703" s="311">
        <v>1</v>
      </c>
      <c r="AA703" s="312">
        <v>39000</v>
      </c>
      <c r="AB703" s="313">
        <f t="shared" si="247"/>
        <v>39000</v>
      </c>
      <c r="AC703" s="308">
        <v>15</v>
      </c>
      <c r="AD703" s="309">
        <v>44426</v>
      </c>
      <c r="AE703" s="310">
        <f t="shared" si="248"/>
        <v>666390</v>
      </c>
      <c r="AF703" s="311">
        <v>13</v>
      </c>
      <c r="AG703" s="312">
        <v>46944</v>
      </c>
      <c r="AH703" s="313">
        <f t="shared" si="249"/>
        <v>610272</v>
      </c>
      <c r="AI703" s="308"/>
      <c r="AJ703" s="309"/>
      <c r="AK703" s="310">
        <f t="shared" si="250"/>
        <v>0</v>
      </c>
      <c r="AL703" s="311"/>
      <c r="AM703" s="312"/>
      <c r="AN703" s="313">
        <f t="shared" si="251"/>
        <v>0</v>
      </c>
      <c r="AO703" s="308">
        <v>2</v>
      </c>
      <c r="AP703" s="309">
        <v>83884</v>
      </c>
      <c r="AQ703" s="310">
        <f t="shared" si="252"/>
        <v>137267.7776</v>
      </c>
      <c r="AR703" s="311">
        <v>2</v>
      </c>
      <c r="AS703" s="312">
        <v>91782</v>
      </c>
      <c r="AT703" s="313">
        <f t="shared" si="253"/>
        <v>150192.06479999999</v>
      </c>
      <c r="AU703" s="308">
        <v>1</v>
      </c>
      <c r="AV703" s="309">
        <v>66165</v>
      </c>
      <c r="AW703" s="310">
        <f t="shared" si="254"/>
        <v>54136.203000000001</v>
      </c>
      <c r="AX703" s="311">
        <v>1</v>
      </c>
      <c r="AY703" s="312">
        <v>70552</v>
      </c>
      <c r="AZ703" s="313">
        <f t="shared" si="255"/>
        <v>57725.646400000005</v>
      </c>
      <c r="BA703" s="308"/>
      <c r="BB703" s="309"/>
      <c r="BC703" s="310">
        <f t="shared" si="256"/>
        <v>0</v>
      </c>
      <c r="BD703" s="311"/>
      <c r="BE703" s="312"/>
      <c r="BF703" s="313">
        <f t="shared" si="257"/>
        <v>0</v>
      </c>
      <c r="BG703" s="308"/>
      <c r="BH703" s="309"/>
      <c r="BI703" s="310">
        <f t="shared" si="258"/>
        <v>0</v>
      </c>
      <c r="BJ703" s="311"/>
      <c r="BK703" s="312"/>
      <c r="BL703" s="313">
        <f t="shared" si="259"/>
        <v>0</v>
      </c>
      <c r="BM703" s="308"/>
      <c r="BN703" s="309"/>
      <c r="BO703" s="310">
        <f t="shared" si="260"/>
        <v>0</v>
      </c>
      <c r="BP703" s="311"/>
      <c r="BQ703" s="312"/>
      <c r="BR703" s="313">
        <f t="shared" si="261"/>
        <v>0</v>
      </c>
      <c r="BS703" s="308"/>
      <c r="BT703" s="309"/>
      <c r="BU703" s="310">
        <f t="shared" si="262"/>
        <v>0</v>
      </c>
      <c r="BV703" s="311"/>
      <c r="BW703" s="312"/>
      <c r="BX703" s="313">
        <f t="shared" si="263"/>
        <v>0</v>
      </c>
      <c r="BY703" s="290"/>
    </row>
    <row r="704" spans="1:77">
      <c r="A704" s="335" t="s">
        <v>446</v>
      </c>
      <c r="B704" s="440" t="s">
        <v>18</v>
      </c>
      <c r="C704" s="333">
        <v>237932</v>
      </c>
      <c r="D704" s="335">
        <v>6</v>
      </c>
      <c r="E704" s="308">
        <v>23</v>
      </c>
      <c r="F704" s="309">
        <v>61068</v>
      </c>
      <c r="G704" s="310">
        <f t="shared" si="240"/>
        <v>1404564</v>
      </c>
      <c r="H704" s="311">
        <v>16</v>
      </c>
      <c r="I704" s="312">
        <v>63469</v>
      </c>
      <c r="J704" s="313">
        <f t="shared" si="241"/>
        <v>1015504</v>
      </c>
      <c r="K704" s="308">
        <v>31</v>
      </c>
      <c r="L704" s="309">
        <v>53544</v>
      </c>
      <c r="M704" s="310">
        <f t="shared" si="242"/>
        <v>1659864</v>
      </c>
      <c r="N704" s="311">
        <v>30</v>
      </c>
      <c r="O704" s="312">
        <v>54266</v>
      </c>
      <c r="P704" s="313">
        <f t="shared" si="243"/>
        <v>1627980</v>
      </c>
      <c r="Q704" s="308">
        <v>26</v>
      </c>
      <c r="R704" s="309">
        <v>44613</v>
      </c>
      <c r="S704" s="310">
        <f t="shared" si="244"/>
        <v>1159938</v>
      </c>
      <c r="T704" s="311">
        <v>28</v>
      </c>
      <c r="U704" s="312">
        <v>45748</v>
      </c>
      <c r="V704" s="313">
        <f t="shared" si="245"/>
        <v>1280944</v>
      </c>
      <c r="W704" s="308">
        <v>12</v>
      </c>
      <c r="X704" s="309">
        <v>38964</v>
      </c>
      <c r="Y704" s="310">
        <f t="shared" si="246"/>
        <v>467568</v>
      </c>
      <c r="Z704" s="311">
        <v>16</v>
      </c>
      <c r="AA704" s="312">
        <v>41891</v>
      </c>
      <c r="AB704" s="313">
        <f t="shared" si="247"/>
        <v>670256</v>
      </c>
      <c r="AC704" s="308">
        <v>4</v>
      </c>
      <c r="AD704" s="309">
        <v>33118</v>
      </c>
      <c r="AE704" s="310">
        <f t="shared" si="248"/>
        <v>132472</v>
      </c>
      <c r="AF704" s="311">
        <v>4</v>
      </c>
      <c r="AG704" s="312">
        <v>35225</v>
      </c>
      <c r="AH704" s="313">
        <f t="shared" si="249"/>
        <v>140900</v>
      </c>
      <c r="AI704" s="308"/>
      <c r="AJ704" s="309"/>
      <c r="AK704" s="310">
        <f t="shared" si="250"/>
        <v>0</v>
      </c>
      <c r="AL704" s="311"/>
      <c r="AM704" s="312"/>
      <c r="AN704" s="313">
        <f t="shared" si="251"/>
        <v>0</v>
      </c>
      <c r="AO704" s="308">
        <v>1</v>
      </c>
      <c r="AP704" s="309">
        <v>87750</v>
      </c>
      <c r="AQ704" s="310">
        <f t="shared" si="252"/>
        <v>71797.05</v>
      </c>
      <c r="AR704" s="311">
        <v>2</v>
      </c>
      <c r="AS704" s="312">
        <v>74164</v>
      </c>
      <c r="AT704" s="313">
        <f t="shared" si="253"/>
        <v>121361.96960000001</v>
      </c>
      <c r="AU704" s="308">
        <v>3</v>
      </c>
      <c r="AV704" s="309">
        <v>60371</v>
      </c>
      <c r="AW704" s="310">
        <f t="shared" si="254"/>
        <v>148186.65660000002</v>
      </c>
      <c r="AX704" s="311">
        <v>2</v>
      </c>
      <c r="AY704" s="312">
        <v>77968</v>
      </c>
      <c r="AZ704" s="313">
        <f t="shared" si="255"/>
        <v>127586.8352</v>
      </c>
      <c r="BA704" s="308"/>
      <c r="BB704" s="309"/>
      <c r="BC704" s="310">
        <f t="shared" si="256"/>
        <v>0</v>
      </c>
      <c r="BD704" s="311"/>
      <c r="BE704" s="312"/>
      <c r="BF704" s="313">
        <f t="shared" si="257"/>
        <v>0</v>
      </c>
      <c r="BG704" s="308">
        <v>1</v>
      </c>
      <c r="BH704" s="309">
        <v>66973</v>
      </c>
      <c r="BI704" s="310">
        <f t="shared" si="258"/>
        <v>54797.308600000004</v>
      </c>
      <c r="BJ704" s="311">
        <v>2</v>
      </c>
      <c r="BK704" s="312">
        <v>51532</v>
      </c>
      <c r="BL704" s="313">
        <f t="shared" si="259"/>
        <v>84326.964800000002</v>
      </c>
      <c r="BM704" s="308"/>
      <c r="BN704" s="309"/>
      <c r="BO704" s="310">
        <f t="shared" si="260"/>
        <v>0</v>
      </c>
      <c r="BP704" s="311"/>
      <c r="BQ704" s="312"/>
      <c r="BR704" s="313">
        <f t="shared" si="261"/>
        <v>0</v>
      </c>
      <c r="BS704" s="308"/>
      <c r="BT704" s="309"/>
      <c r="BU704" s="310">
        <f t="shared" si="262"/>
        <v>0</v>
      </c>
      <c r="BV704" s="311"/>
      <c r="BW704" s="312"/>
      <c r="BX704" s="313">
        <f t="shared" si="263"/>
        <v>0</v>
      </c>
      <c r="BY704" s="290"/>
    </row>
    <row r="705" spans="1:77">
      <c r="A705" s="335" t="s">
        <v>446</v>
      </c>
      <c r="B705" s="334" t="s">
        <v>647</v>
      </c>
      <c r="C705" s="333">
        <v>237899</v>
      </c>
      <c r="D705" s="335">
        <v>6</v>
      </c>
      <c r="E705" s="308">
        <v>26</v>
      </c>
      <c r="F705" s="309">
        <v>58341</v>
      </c>
      <c r="G705" s="310">
        <f t="shared" si="240"/>
        <v>1516866</v>
      </c>
      <c r="H705" s="311">
        <v>26</v>
      </c>
      <c r="I705" s="312">
        <v>62171</v>
      </c>
      <c r="J705" s="313">
        <f t="shared" si="241"/>
        <v>1616446</v>
      </c>
      <c r="K705" s="308">
        <v>39</v>
      </c>
      <c r="L705" s="309">
        <v>52729</v>
      </c>
      <c r="M705" s="310">
        <f t="shared" si="242"/>
        <v>2056431</v>
      </c>
      <c r="N705" s="311">
        <v>36</v>
      </c>
      <c r="O705" s="312">
        <v>56989</v>
      </c>
      <c r="P705" s="313">
        <f t="shared" si="243"/>
        <v>2051604</v>
      </c>
      <c r="Q705" s="308">
        <v>43</v>
      </c>
      <c r="R705" s="309">
        <v>44783</v>
      </c>
      <c r="S705" s="310">
        <f t="shared" si="244"/>
        <v>1925669</v>
      </c>
      <c r="T705" s="311">
        <v>43</v>
      </c>
      <c r="U705" s="312">
        <v>47741</v>
      </c>
      <c r="V705" s="313">
        <f t="shared" si="245"/>
        <v>2052863</v>
      </c>
      <c r="W705" s="308">
        <v>10</v>
      </c>
      <c r="X705" s="309">
        <v>36403</v>
      </c>
      <c r="Y705" s="310">
        <f t="shared" si="246"/>
        <v>364030</v>
      </c>
      <c r="Z705" s="311">
        <v>13</v>
      </c>
      <c r="AA705" s="312">
        <v>38692</v>
      </c>
      <c r="AB705" s="313">
        <f t="shared" si="247"/>
        <v>502996</v>
      </c>
      <c r="AC705" s="308"/>
      <c r="AD705" s="309"/>
      <c r="AE705" s="310">
        <f t="shared" si="248"/>
        <v>0</v>
      </c>
      <c r="AF705" s="311"/>
      <c r="AG705" s="312"/>
      <c r="AH705" s="313">
        <f t="shared" si="249"/>
        <v>0</v>
      </c>
      <c r="AI705" s="308"/>
      <c r="AJ705" s="309"/>
      <c r="AK705" s="310">
        <f t="shared" si="250"/>
        <v>0</v>
      </c>
      <c r="AL705" s="311"/>
      <c r="AM705" s="312"/>
      <c r="AN705" s="313">
        <f t="shared" si="251"/>
        <v>0</v>
      </c>
      <c r="AO705" s="308">
        <v>3</v>
      </c>
      <c r="AP705" s="309">
        <v>74847</v>
      </c>
      <c r="AQ705" s="310">
        <f t="shared" si="252"/>
        <v>183719.44620000001</v>
      </c>
      <c r="AR705" s="311">
        <v>1</v>
      </c>
      <c r="AS705" s="312">
        <v>80170</v>
      </c>
      <c r="AT705" s="313">
        <f t="shared" si="253"/>
        <v>65595.093999999997</v>
      </c>
      <c r="AU705" s="308">
        <v>3</v>
      </c>
      <c r="AV705" s="309">
        <v>74088</v>
      </c>
      <c r="AW705" s="310">
        <f t="shared" si="254"/>
        <v>181856.40480000002</v>
      </c>
      <c r="AX705" s="311"/>
      <c r="AY705" s="312"/>
      <c r="AZ705" s="313">
        <f t="shared" si="255"/>
        <v>0</v>
      </c>
      <c r="BA705" s="308">
        <v>1</v>
      </c>
      <c r="BB705" s="309">
        <v>48050</v>
      </c>
      <c r="BC705" s="310">
        <f t="shared" si="256"/>
        <v>39314.51</v>
      </c>
      <c r="BD705" s="311">
        <v>1</v>
      </c>
      <c r="BE705" s="312">
        <v>51834</v>
      </c>
      <c r="BF705" s="313">
        <f t="shared" si="257"/>
        <v>42410.578800000003</v>
      </c>
      <c r="BG705" s="308"/>
      <c r="BH705" s="309"/>
      <c r="BI705" s="310">
        <f t="shared" si="258"/>
        <v>0</v>
      </c>
      <c r="BJ705" s="311"/>
      <c r="BK705" s="312"/>
      <c r="BL705" s="313">
        <f t="shared" si="259"/>
        <v>0</v>
      </c>
      <c r="BM705" s="308"/>
      <c r="BN705" s="309"/>
      <c r="BO705" s="310">
        <f t="shared" si="260"/>
        <v>0</v>
      </c>
      <c r="BP705" s="311"/>
      <c r="BQ705" s="312"/>
      <c r="BR705" s="313">
        <f t="shared" si="261"/>
        <v>0</v>
      </c>
      <c r="BS705" s="308"/>
      <c r="BT705" s="309"/>
      <c r="BU705" s="310">
        <f t="shared" si="262"/>
        <v>0</v>
      </c>
      <c r="BV705" s="311"/>
      <c r="BW705" s="312"/>
      <c r="BX705" s="313">
        <f t="shared" si="263"/>
        <v>0</v>
      </c>
      <c r="BY705" s="290"/>
    </row>
    <row r="706" spans="1:77">
      <c r="A706" s="335" t="s">
        <v>446</v>
      </c>
      <c r="B706" s="334" t="s">
        <v>648</v>
      </c>
      <c r="C706" s="333">
        <v>237950</v>
      </c>
      <c r="D706" s="335">
        <v>6</v>
      </c>
      <c r="E706" s="308">
        <v>25</v>
      </c>
      <c r="F706" s="309">
        <v>64544</v>
      </c>
      <c r="G706" s="310">
        <f t="shared" si="240"/>
        <v>1613600</v>
      </c>
      <c r="H706" s="311">
        <v>27</v>
      </c>
      <c r="I706" s="312">
        <v>68210</v>
      </c>
      <c r="J706" s="313">
        <f t="shared" si="241"/>
        <v>1841670</v>
      </c>
      <c r="K706" s="308">
        <v>15</v>
      </c>
      <c r="L706" s="309">
        <v>54101</v>
      </c>
      <c r="M706" s="310">
        <f t="shared" si="242"/>
        <v>811515</v>
      </c>
      <c r="N706" s="311">
        <v>18</v>
      </c>
      <c r="O706" s="312">
        <v>54789</v>
      </c>
      <c r="P706" s="313">
        <f t="shared" si="243"/>
        <v>986202</v>
      </c>
      <c r="Q706" s="308">
        <v>22</v>
      </c>
      <c r="R706" s="309">
        <v>43885</v>
      </c>
      <c r="S706" s="310">
        <f t="shared" si="244"/>
        <v>965470</v>
      </c>
      <c r="T706" s="311">
        <v>22</v>
      </c>
      <c r="U706" s="312">
        <v>48541</v>
      </c>
      <c r="V706" s="313">
        <f t="shared" si="245"/>
        <v>1067902</v>
      </c>
      <c r="W706" s="308">
        <v>7</v>
      </c>
      <c r="X706" s="309">
        <v>42100</v>
      </c>
      <c r="Y706" s="310">
        <f t="shared" si="246"/>
        <v>294700</v>
      </c>
      <c r="Z706" s="311">
        <v>7</v>
      </c>
      <c r="AA706" s="312">
        <v>44049</v>
      </c>
      <c r="AB706" s="313">
        <f t="shared" si="247"/>
        <v>308343</v>
      </c>
      <c r="AC706" s="308">
        <v>4</v>
      </c>
      <c r="AD706" s="309">
        <v>40375</v>
      </c>
      <c r="AE706" s="310">
        <f t="shared" si="248"/>
        <v>161500</v>
      </c>
      <c r="AF706" s="311">
        <v>6</v>
      </c>
      <c r="AG706" s="312">
        <v>42293</v>
      </c>
      <c r="AH706" s="313">
        <f t="shared" si="249"/>
        <v>253758</v>
      </c>
      <c r="AI706" s="308"/>
      <c r="AJ706" s="309"/>
      <c r="AK706" s="310">
        <f t="shared" si="250"/>
        <v>0</v>
      </c>
      <c r="AL706" s="311"/>
      <c r="AM706" s="312"/>
      <c r="AN706" s="313">
        <f t="shared" si="251"/>
        <v>0</v>
      </c>
      <c r="AO706" s="308"/>
      <c r="AP706" s="309"/>
      <c r="AQ706" s="310">
        <f t="shared" si="252"/>
        <v>0</v>
      </c>
      <c r="AR706" s="311"/>
      <c r="AS706" s="312"/>
      <c r="AT706" s="313">
        <f t="shared" si="253"/>
        <v>0</v>
      </c>
      <c r="AU706" s="308">
        <v>2</v>
      </c>
      <c r="AV706" s="309">
        <v>63994</v>
      </c>
      <c r="AW706" s="310">
        <f t="shared" si="254"/>
        <v>104719.7816</v>
      </c>
      <c r="AX706" s="311">
        <v>3</v>
      </c>
      <c r="AY706" s="312">
        <v>61880</v>
      </c>
      <c r="AZ706" s="313">
        <f t="shared" si="255"/>
        <v>151890.64800000002</v>
      </c>
      <c r="BA706" s="308">
        <v>3</v>
      </c>
      <c r="BB706" s="309">
        <v>49103</v>
      </c>
      <c r="BC706" s="310">
        <f t="shared" si="256"/>
        <v>120528.22380000001</v>
      </c>
      <c r="BD706" s="311">
        <v>3</v>
      </c>
      <c r="BE706" s="312">
        <v>57017</v>
      </c>
      <c r="BF706" s="313">
        <f t="shared" si="257"/>
        <v>139953.92819999999</v>
      </c>
      <c r="BG706" s="308"/>
      <c r="BH706" s="309"/>
      <c r="BI706" s="310">
        <f t="shared" si="258"/>
        <v>0</v>
      </c>
      <c r="BJ706" s="311"/>
      <c r="BK706" s="312"/>
      <c r="BL706" s="313">
        <f t="shared" si="259"/>
        <v>0</v>
      </c>
      <c r="BM706" s="308">
        <v>1</v>
      </c>
      <c r="BN706" s="309">
        <v>43812</v>
      </c>
      <c r="BO706" s="310">
        <f t="shared" si="260"/>
        <v>35846.9784</v>
      </c>
      <c r="BP706" s="311">
        <v>1</v>
      </c>
      <c r="BQ706" s="312">
        <v>43812</v>
      </c>
      <c r="BR706" s="313">
        <f t="shared" si="261"/>
        <v>35846.9784</v>
      </c>
      <c r="BS706" s="308"/>
      <c r="BT706" s="309"/>
      <c r="BU706" s="310">
        <f t="shared" si="262"/>
        <v>0</v>
      </c>
      <c r="BV706" s="311"/>
      <c r="BW706" s="312"/>
      <c r="BX706" s="313">
        <f t="shared" si="263"/>
        <v>0</v>
      </c>
      <c r="BY706" s="290"/>
    </row>
    <row r="707" spans="1:77">
      <c r="A707" s="335" t="s">
        <v>446</v>
      </c>
      <c r="B707" s="334" t="s">
        <v>649</v>
      </c>
      <c r="C707" s="333">
        <v>237686</v>
      </c>
      <c r="D707" s="335">
        <v>7</v>
      </c>
      <c r="E707" s="308">
        <v>31</v>
      </c>
      <c r="F707" s="309">
        <v>54607</v>
      </c>
      <c r="G707" s="310">
        <f t="shared" si="240"/>
        <v>1692817</v>
      </c>
      <c r="H707" s="311">
        <v>29</v>
      </c>
      <c r="I707" s="312">
        <v>54843</v>
      </c>
      <c r="J707" s="313">
        <f t="shared" si="241"/>
        <v>1590447</v>
      </c>
      <c r="K707" s="308">
        <v>11</v>
      </c>
      <c r="L707" s="309">
        <v>51094</v>
      </c>
      <c r="M707" s="310">
        <f t="shared" si="242"/>
        <v>562034</v>
      </c>
      <c r="N707" s="311">
        <v>14</v>
      </c>
      <c r="O707" s="312">
        <v>51721</v>
      </c>
      <c r="P707" s="313">
        <f t="shared" si="243"/>
        <v>724094</v>
      </c>
      <c r="Q707" s="308">
        <v>16</v>
      </c>
      <c r="R707" s="309">
        <v>42599</v>
      </c>
      <c r="S707" s="310">
        <f t="shared" si="244"/>
        <v>681584</v>
      </c>
      <c r="T707" s="311">
        <v>12</v>
      </c>
      <c r="U707" s="312">
        <v>43497</v>
      </c>
      <c r="V707" s="313">
        <f t="shared" si="245"/>
        <v>521964</v>
      </c>
      <c r="W707" s="308">
        <v>21</v>
      </c>
      <c r="X707" s="309">
        <v>36428</v>
      </c>
      <c r="Y707" s="310">
        <f t="shared" si="246"/>
        <v>764988</v>
      </c>
      <c r="Z707" s="311">
        <v>27</v>
      </c>
      <c r="AA707" s="312">
        <v>36902</v>
      </c>
      <c r="AB707" s="313">
        <f t="shared" si="247"/>
        <v>996354</v>
      </c>
      <c r="AC707" s="308">
        <v>1</v>
      </c>
      <c r="AD707" s="309">
        <v>35000</v>
      </c>
      <c r="AE707" s="310">
        <f t="shared" si="248"/>
        <v>35000</v>
      </c>
      <c r="AF707" s="311"/>
      <c r="AG707" s="312"/>
      <c r="AH707" s="313">
        <f t="shared" si="249"/>
        <v>0</v>
      </c>
      <c r="AI707" s="308"/>
      <c r="AJ707" s="309"/>
      <c r="AK707" s="310">
        <f t="shared" si="250"/>
        <v>0</v>
      </c>
      <c r="AL707" s="311"/>
      <c r="AM707" s="312"/>
      <c r="AN707" s="313">
        <f t="shared" si="251"/>
        <v>0</v>
      </c>
      <c r="AO707" s="308">
        <v>1</v>
      </c>
      <c r="AP707" s="309">
        <v>60716</v>
      </c>
      <c r="AQ707" s="310">
        <f t="shared" si="252"/>
        <v>49677.831200000001</v>
      </c>
      <c r="AR707" s="311">
        <v>2</v>
      </c>
      <c r="AS707" s="312">
        <v>65704</v>
      </c>
      <c r="AT707" s="313">
        <f t="shared" si="253"/>
        <v>107518.02560000001</v>
      </c>
      <c r="AU707" s="308"/>
      <c r="AV707" s="309"/>
      <c r="AW707" s="310">
        <f t="shared" si="254"/>
        <v>0</v>
      </c>
      <c r="AX707" s="311">
        <v>1</v>
      </c>
      <c r="AY707" s="312">
        <v>70961</v>
      </c>
      <c r="AZ707" s="313">
        <f t="shared" si="255"/>
        <v>58060.290200000003</v>
      </c>
      <c r="BA707" s="308">
        <v>2</v>
      </c>
      <c r="BB707" s="309">
        <v>62189</v>
      </c>
      <c r="BC707" s="310">
        <f t="shared" si="256"/>
        <v>101766.07960000001</v>
      </c>
      <c r="BD707" s="311">
        <v>1</v>
      </c>
      <c r="BE707" s="312">
        <v>63463</v>
      </c>
      <c r="BF707" s="313">
        <f t="shared" si="257"/>
        <v>51925.426599999999</v>
      </c>
      <c r="BG707" s="308">
        <v>1</v>
      </c>
      <c r="BH707" s="309">
        <v>48189</v>
      </c>
      <c r="BI707" s="310">
        <f t="shared" si="258"/>
        <v>39428.239800000003</v>
      </c>
      <c r="BJ707" s="311">
        <v>1</v>
      </c>
      <c r="BK707" s="312">
        <v>49843</v>
      </c>
      <c r="BL707" s="313">
        <f t="shared" si="259"/>
        <v>40781.542600000001</v>
      </c>
      <c r="BM707" s="308"/>
      <c r="BN707" s="309"/>
      <c r="BO707" s="310">
        <f t="shared" si="260"/>
        <v>0</v>
      </c>
      <c r="BP707" s="311"/>
      <c r="BQ707" s="312"/>
      <c r="BR707" s="313">
        <f t="shared" si="261"/>
        <v>0</v>
      </c>
      <c r="BS707" s="308"/>
      <c r="BT707" s="309"/>
      <c r="BU707" s="310">
        <f t="shared" si="262"/>
        <v>0</v>
      </c>
      <c r="BV707" s="311"/>
      <c r="BW707" s="312"/>
      <c r="BX707" s="313">
        <f t="shared" si="263"/>
        <v>0</v>
      </c>
      <c r="BY707" s="290"/>
    </row>
    <row r="708" spans="1:77">
      <c r="A708" s="333" t="s">
        <v>446</v>
      </c>
      <c r="B708" s="441" t="s">
        <v>650</v>
      </c>
      <c r="C708" s="333">
        <v>443492</v>
      </c>
      <c r="D708" s="333">
        <v>9</v>
      </c>
      <c r="E708" s="308">
        <v>3</v>
      </c>
      <c r="F708" s="309">
        <v>61404</v>
      </c>
      <c r="G708" s="310">
        <f t="shared" si="240"/>
        <v>184212</v>
      </c>
      <c r="H708" s="311">
        <v>4</v>
      </c>
      <c r="I708" s="312">
        <v>67795</v>
      </c>
      <c r="J708" s="313">
        <f t="shared" si="241"/>
        <v>271180</v>
      </c>
      <c r="K708" s="308">
        <v>4</v>
      </c>
      <c r="L708" s="309">
        <v>63560</v>
      </c>
      <c r="M708" s="310">
        <f t="shared" si="242"/>
        <v>254240</v>
      </c>
      <c r="N708" s="311">
        <v>5</v>
      </c>
      <c r="O708" s="312">
        <v>65317</v>
      </c>
      <c r="P708" s="313">
        <f t="shared" si="243"/>
        <v>326585</v>
      </c>
      <c r="Q708" s="308">
        <v>31</v>
      </c>
      <c r="R708" s="309">
        <v>45018</v>
      </c>
      <c r="S708" s="310">
        <f t="shared" si="244"/>
        <v>1395558</v>
      </c>
      <c r="T708" s="311">
        <v>26</v>
      </c>
      <c r="U708" s="312">
        <v>48614</v>
      </c>
      <c r="V708" s="313">
        <f t="shared" si="245"/>
        <v>1263964</v>
      </c>
      <c r="W708" s="308">
        <v>6</v>
      </c>
      <c r="X708" s="309">
        <v>44222</v>
      </c>
      <c r="Y708" s="310">
        <f t="shared" si="246"/>
        <v>265332</v>
      </c>
      <c r="Z708" s="311">
        <v>8</v>
      </c>
      <c r="AA708" s="312">
        <v>47286</v>
      </c>
      <c r="AB708" s="313">
        <f t="shared" si="247"/>
        <v>378288</v>
      </c>
      <c r="AC708" s="308"/>
      <c r="AD708" s="309"/>
      <c r="AE708" s="310">
        <f t="shared" si="248"/>
        <v>0</v>
      </c>
      <c r="AF708" s="311">
        <v>4</v>
      </c>
      <c r="AG708" s="312">
        <v>61007</v>
      </c>
      <c r="AH708" s="313">
        <f t="shared" si="249"/>
        <v>244028</v>
      </c>
      <c r="AI708" s="308"/>
      <c r="AJ708" s="309"/>
      <c r="AK708" s="310">
        <f t="shared" si="250"/>
        <v>0</v>
      </c>
      <c r="AL708" s="311"/>
      <c r="AM708" s="312"/>
      <c r="AN708" s="313">
        <f t="shared" si="251"/>
        <v>0</v>
      </c>
      <c r="AO708" s="308">
        <v>5</v>
      </c>
      <c r="AP708" s="309">
        <v>90020</v>
      </c>
      <c r="AQ708" s="310">
        <f t="shared" si="252"/>
        <v>368271.82</v>
      </c>
      <c r="AR708" s="311">
        <v>5</v>
      </c>
      <c r="AS708" s="312">
        <v>94594</v>
      </c>
      <c r="AT708" s="313">
        <f t="shared" si="253"/>
        <v>386984.054</v>
      </c>
      <c r="AU708" s="308">
        <v>1</v>
      </c>
      <c r="AV708" s="309">
        <v>88922</v>
      </c>
      <c r="AW708" s="310">
        <f t="shared" si="254"/>
        <v>72755.9804</v>
      </c>
      <c r="AX708" s="311"/>
      <c r="AY708" s="312"/>
      <c r="AZ708" s="313">
        <f t="shared" si="255"/>
        <v>0</v>
      </c>
      <c r="BA708" s="308">
        <v>3</v>
      </c>
      <c r="BB708" s="309">
        <v>68927</v>
      </c>
      <c r="BC708" s="310">
        <f t="shared" si="256"/>
        <v>169188.21420000002</v>
      </c>
      <c r="BD708" s="311">
        <v>4</v>
      </c>
      <c r="BE708" s="312">
        <v>69250</v>
      </c>
      <c r="BF708" s="313">
        <f t="shared" si="257"/>
        <v>226641.40000000002</v>
      </c>
      <c r="BG708" s="308">
        <v>5</v>
      </c>
      <c r="BH708" s="309">
        <v>48876</v>
      </c>
      <c r="BI708" s="310">
        <f t="shared" si="258"/>
        <v>199951.71600000001</v>
      </c>
      <c r="BJ708" s="311">
        <v>2</v>
      </c>
      <c r="BK708" s="312">
        <v>63186</v>
      </c>
      <c r="BL708" s="313">
        <f t="shared" si="259"/>
        <v>103397.57040000001</v>
      </c>
      <c r="BM708" s="308"/>
      <c r="BN708" s="309"/>
      <c r="BO708" s="310">
        <f t="shared" si="260"/>
        <v>0</v>
      </c>
      <c r="BP708" s="311">
        <v>2</v>
      </c>
      <c r="BQ708" s="312">
        <v>57438</v>
      </c>
      <c r="BR708" s="313">
        <f t="shared" si="261"/>
        <v>93991.5432</v>
      </c>
      <c r="BS708" s="308"/>
      <c r="BT708" s="309"/>
      <c r="BU708" s="310">
        <f t="shared" si="262"/>
        <v>0</v>
      </c>
      <c r="BV708" s="311"/>
      <c r="BW708" s="312"/>
      <c r="BX708" s="313">
        <f t="shared" si="263"/>
        <v>0</v>
      </c>
      <c r="BY708" s="290"/>
    </row>
    <row r="709" spans="1:77">
      <c r="A709" s="333" t="s">
        <v>446</v>
      </c>
      <c r="B709" s="334" t="s">
        <v>651</v>
      </c>
      <c r="C709" s="333">
        <v>446774</v>
      </c>
      <c r="D709" s="333">
        <v>10</v>
      </c>
      <c r="E709" s="308"/>
      <c r="F709" s="309"/>
      <c r="G709" s="310">
        <f t="shared" si="240"/>
        <v>0</v>
      </c>
      <c r="H709" s="311"/>
      <c r="I709" s="312"/>
      <c r="J709" s="313">
        <f t="shared" si="241"/>
        <v>0</v>
      </c>
      <c r="K709" s="308">
        <v>2</v>
      </c>
      <c r="L709" s="309">
        <v>58913</v>
      </c>
      <c r="M709" s="310">
        <f t="shared" si="242"/>
        <v>117826</v>
      </c>
      <c r="N709" s="311">
        <v>2</v>
      </c>
      <c r="O709" s="312">
        <v>57646</v>
      </c>
      <c r="P709" s="313">
        <f t="shared" si="243"/>
        <v>115292</v>
      </c>
      <c r="Q709" s="308">
        <v>3</v>
      </c>
      <c r="R709" s="309">
        <v>56926</v>
      </c>
      <c r="S709" s="310">
        <f t="shared" si="244"/>
        <v>170778</v>
      </c>
      <c r="T709" s="311">
        <v>3</v>
      </c>
      <c r="U709" s="312">
        <v>53744</v>
      </c>
      <c r="V709" s="313">
        <f t="shared" si="245"/>
        <v>161232</v>
      </c>
      <c r="W709" s="308">
        <v>2</v>
      </c>
      <c r="X709" s="309">
        <v>37288</v>
      </c>
      <c r="Y709" s="310">
        <f t="shared" si="246"/>
        <v>74576</v>
      </c>
      <c r="Z709" s="311">
        <v>4</v>
      </c>
      <c r="AA709" s="312">
        <v>41061</v>
      </c>
      <c r="AB709" s="313">
        <f t="shared" si="247"/>
        <v>164244</v>
      </c>
      <c r="AC709" s="308">
        <v>9</v>
      </c>
      <c r="AD709" s="309">
        <v>36156</v>
      </c>
      <c r="AE709" s="310">
        <f t="shared" si="248"/>
        <v>325404</v>
      </c>
      <c r="AF709" s="311">
        <v>9</v>
      </c>
      <c r="AG709" s="312">
        <v>39088</v>
      </c>
      <c r="AH709" s="313">
        <f t="shared" si="249"/>
        <v>351792</v>
      </c>
      <c r="AI709" s="308"/>
      <c r="AJ709" s="309"/>
      <c r="AK709" s="310">
        <f t="shared" si="250"/>
        <v>0</v>
      </c>
      <c r="AL709" s="311"/>
      <c r="AM709" s="312"/>
      <c r="AN709" s="313">
        <f t="shared" si="251"/>
        <v>0</v>
      </c>
      <c r="AO709" s="308"/>
      <c r="AP709" s="309"/>
      <c r="AQ709" s="310">
        <f t="shared" si="252"/>
        <v>0</v>
      </c>
      <c r="AR709" s="311"/>
      <c r="AS709" s="312"/>
      <c r="AT709" s="313">
        <f t="shared" si="253"/>
        <v>0</v>
      </c>
      <c r="AU709" s="308"/>
      <c r="AV709" s="309"/>
      <c r="AW709" s="310">
        <f t="shared" si="254"/>
        <v>0</v>
      </c>
      <c r="AX709" s="311"/>
      <c r="AY709" s="312"/>
      <c r="AZ709" s="313">
        <f t="shared" si="255"/>
        <v>0</v>
      </c>
      <c r="BA709" s="308">
        <v>1</v>
      </c>
      <c r="BB709" s="309">
        <v>45136</v>
      </c>
      <c r="BC709" s="310">
        <f t="shared" si="256"/>
        <v>36930.275200000004</v>
      </c>
      <c r="BD709" s="311">
        <v>1</v>
      </c>
      <c r="BE709" s="312">
        <v>46818</v>
      </c>
      <c r="BF709" s="313">
        <f t="shared" si="257"/>
        <v>38306.4876</v>
      </c>
      <c r="BG709" s="308">
        <v>1</v>
      </c>
      <c r="BH709" s="309">
        <v>56243</v>
      </c>
      <c r="BI709" s="310">
        <f t="shared" si="258"/>
        <v>46018.022600000004</v>
      </c>
      <c r="BJ709" s="311">
        <v>6</v>
      </c>
      <c r="BK709" s="312">
        <v>59101</v>
      </c>
      <c r="BL709" s="313">
        <f t="shared" si="259"/>
        <v>290138.62920000002</v>
      </c>
      <c r="BM709" s="308">
        <v>6</v>
      </c>
      <c r="BN709" s="309">
        <v>51328</v>
      </c>
      <c r="BO709" s="310">
        <f t="shared" si="260"/>
        <v>251979.41760000002</v>
      </c>
      <c r="BP709" s="311">
        <v>8</v>
      </c>
      <c r="BQ709" s="312">
        <v>44534</v>
      </c>
      <c r="BR709" s="313">
        <f t="shared" si="261"/>
        <v>291501.75040000002</v>
      </c>
      <c r="BS709" s="308"/>
      <c r="BT709" s="309"/>
      <c r="BU709" s="310">
        <f t="shared" si="262"/>
        <v>0</v>
      </c>
      <c r="BV709" s="311"/>
      <c r="BW709" s="312"/>
      <c r="BX709" s="313">
        <f t="shared" si="263"/>
        <v>0</v>
      </c>
      <c r="BY709" s="290"/>
    </row>
    <row r="710" spans="1:77">
      <c r="A710" s="333" t="s">
        <v>446</v>
      </c>
      <c r="B710" s="334" t="s">
        <v>652</v>
      </c>
      <c r="C710" s="333">
        <v>445674</v>
      </c>
      <c r="D710" s="333">
        <v>10</v>
      </c>
      <c r="E710" s="308">
        <v>8</v>
      </c>
      <c r="F710" s="309">
        <v>59249</v>
      </c>
      <c r="G710" s="310">
        <f t="shared" si="240"/>
        <v>473992</v>
      </c>
      <c r="H710" s="311">
        <v>8</v>
      </c>
      <c r="I710" s="312">
        <v>63417</v>
      </c>
      <c r="J710" s="313">
        <f t="shared" si="241"/>
        <v>507336</v>
      </c>
      <c r="K710" s="308">
        <v>6</v>
      </c>
      <c r="L710" s="309">
        <v>46724</v>
      </c>
      <c r="M710" s="310">
        <f t="shared" si="242"/>
        <v>280344</v>
      </c>
      <c r="N710" s="311">
        <v>6</v>
      </c>
      <c r="O710" s="312">
        <v>51718</v>
      </c>
      <c r="P710" s="313">
        <f t="shared" si="243"/>
        <v>310308</v>
      </c>
      <c r="Q710" s="308">
        <v>6</v>
      </c>
      <c r="R710" s="309">
        <v>36715</v>
      </c>
      <c r="S710" s="310">
        <f t="shared" si="244"/>
        <v>220290</v>
      </c>
      <c r="T710" s="311">
        <v>5</v>
      </c>
      <c r="U710" s="312">
        <v>39539</v>
      </c>
      <c r="V710" s="313">
        <f t="shared" si="245"/>
        <v>197695</v>
      </c>
      <c r="W710" s="308">
        <v>6</v>
      </c>
      <c r="X710" s="309">
        <v>33513</v>
      </c>
      <c r="Y710" s="310">
        <f t="shared" si="246"/>
        <v>201078</v>
      </c>
      <c r="Z710" s="311">
        <v>8</v>
      </c>
      <c r="AA710" s="312">
        <v>33097</v>
      </c>
      <c r="AB710" s="313">
        <f t="shared" si="247"/>
        <v>264776</v>
      </c>
      <c r="AC710" s="308"/>
      <c r="AD710" s="309"/>
      <c r="AE710" s="310">
        <f t="shared" si="248"/>
        <v>0</v>
      </c>
      <c r="AF710" s="311"/>
      <c r="AG710" s="312"/>
      <c r="AH710" s="313">
        <f t="shared" si="249"/>
        <v>0</v>
      </c>
      <c r="AI710" s="308"/>
      <c r="AJ710" s="309"/>
      <c r="AK710" s="310">
        <f t="shared" si="250"/>
        <v>0</v>
      </c>
      <c r="AL710" s="311"/>
      <c r="AM710" s="312"/>
      <c r="AN710" s="313">
        <f t="shared" si="251"/>
        <v>0</v>
      </c>
      <c r="AO710" s="308"/>
      <c r="AP710" s="309"/>
      <c r="AQ710" s="310">
        <f t="shared" si="252"/>
        <v>0</v>
      </c>
      <c r="AR710" s="311"/>
      <c r="AS710" s="312"/>
      <c r="AT710" s="313">
        <f t="shared" si="253"/>
        <v>0</v>
      </c>
      <c r="AU710" s="308"/>
      <c r="AV710" s="309"/>
      <c r="AW710" s="310">
        <f t="shared" si="254"/>
        <v>0</v>
      </c>
      <c r="AX710" s="311"/>
      <c r="AY710" s="312"/>
      <c r="AZ710" s="313">
        <f t="shared" si="255"/>
        <v>0</v>
      </c>
      <c r="BA710" s="308"/>
      <c r="BB710" s="309"/>
      <c r="BC710" s="310">
        <f t="shared" si="256"/>
        <v>0</v>
      </c>
      <c r="BD710" s="311"/>
      <c r="BE710" s="312"/>
      <c r="BF710" s="313">
        <f t="shared" si="257"/>
        <v>0</v>
      </c>
      <c r="BG710" s="308"/>
      <c r="BH710" s="309"/>
      <c r="BI710" s="310">
        <f t="shared" si="258"/>
        <v>0</v>
      </c>
      <c r="BJ710" s="311"/>
      <c r="BK710" s="312"/>
      <c r="BL710" s="313">
        <f t="shared" si="259"/>
        <v>0</v>
      </c>
      <c r="BM710" s="308"/>
      <c r="BN710" s="309"/>
      <c r="BO710" s="310">
        <f t="shared" si="260"/>
        <v>0</v>
      </c>
      <c r="BP710" s="311"/>
      <c r="BQ710" s="312"/>
      <c r="BR710" s="313">
        <f t="shared" si="261"/>
        <v>0</v>
      </c>
      <c r="BS710" s="308"/>
      <c r="BT710" s="309"/>
      <c r="BU710" s="310">
        <f t="shared" si="262"/>
        <v>0</v>
      </c>
      <c r="BV710" s="311"/>
      <c r="BW710" s="312"/>
      <c r="BX710" s="313">
        <f t="shared" si="263"/>
        <v>0</v>
      </c>
      <c r="BY710" s="290"/>
    </row>
    <row r="711" spans="1:77">
      <c r="A711" s="335" t="s">
        <v>446</v>
      </c>
      <c r="B711" s="334" t="s">
        <v>653</v>
      </c>
      <c r="C711" s="333">
        <v>438708</v>
      </c>
      <c r="D711" s="333">
        <v>10</v>
      </c>
      <c r="E711" s="308"/>
      <c r="F711" s="309"/>
      <c r="G711" s="310">
        <f t="shared" si="240"/>
        <v>0</v>
      </c>
      <c r="H711" s="311"/>
      <c r="I711" s="312"/>
      <c r="J711" s="313">
        <f t="shared" si="241"/>
        <v>0</v>
      </c>
      <c r="K711" s="308"/>
      <c r="L711" s="309"/>
      <c r="M711" s="310">
        <f t="shared" si="242"/>
        <v>0</v>
      </c>
      <c r="N711" s="311"/>
      <c r="O711" s="312"/>
      <c r="P711" s="313">
        <f t="shared" si="243"/>
        <v>0</v>
      </c>
      <c r="Q711" s="308"/>
      <c r="R711" s="309"/>
      <c r="S711" s="310">
        <f t="shared" si="244"/>
        <v>0</v>
      </c>
      <c r="T711" s="311"/>
      <c r="U711" s="312"/>
      <c r="V711" s="313">
        <f t="shared" si="245"/>
        <v>0</v>
      </c>
      <c r="W711" s="308"/>
      <c r="X711" s="309"/>
      <c r="Y711" s="310">
        <f t="shared" si="246"/>
        <v>0</v>
      </c>
      <c r="Z711" s="311"/>
      <c r="AA711" s="312"/>
      <c r="AB711" s="313">
        <f t="shared" si="247"/>
        <v>0</v>
      </c>
      <c r="AC711" s="308"/>
      <c r="AD711" s="309"/>
      <c r="AE711" s="310">
        <f t="shared" si="248"/>
        <v>0</v>
      </c>
      <c r="AF711" s="311"/>
      <c r="AG711" s="312"/>
      <c r="AH711" s="313">
        <f t="shared" si="249"/>
        <v>0</v>
      </c>
      <c r="AI711" s="308"/>
      <c r="AJ711" s="309"/>
      <c r="AK711" s="310">
        <f t="shared" si="250"/>
        <v>0</v>
      </c>
      <c r="AL711" s="311"/>
      <c r="AM711" s="312"/>
      <c r="AN711" s="313">
        <f t="shared" si="251"/>
        <v>0</v>
      </c>
      <c r="AO711" s="308"/>
      <c r="AP711" s="309"/>
      <c r="AQ711" s="310">
        <f t="shared" si="252"/>
        <v>0</v>
      </c>
      <c r="AR711" s="311"/>
      <c r="AS711" s="312"/>
      <c r="AT711" s="313">
        <f t="shared" si="253"/>
        <v>0</v>
      </c>
      <c r="AU711" s="308"/>
      <c r="AV711" s="309"/>
      <c r="AW711" s="310">
        <f t="shared" si="254"/>
        <v>0</v>
      </c>
      <c r="AX711" s="311"/>
      <c r="AY711" s="312"/>
      <c r="AZ711" s="313">
        <f t="shared" si="255"/>
        <v>0</v>
      </c>
      <c r="BA711" s="308"/>
      <c r="BB711" s="309"/>
      <c r="BC711" s="310">
        <f t="shared" si="256"/>
        <v>0</v>
      </c>
      <c r="BD711" s="311"/>
      <c r="BE711" s="312"/>
      <c r="BF711" s="313">
        <f t="shared" si="257"/>
        <v>0</v>
      </c>
      <c r="BG711" s="308"/>
      <c r="BH711" s="309"/>
      <c r="BI711" s="310">
        <f t="shared" si="258"/>
        <v>0</v>
      </c>
      <c r="BJ711" s="311"/>
      <c r="BK711" s="312"/>
      <c r="BL711" s="313">
        <f t="shared" si="259"/>
        <v>0</v>
      </c>
      <c r="BM711" s="308">
        <v>2</v>
      </c>
      <c r="BN711" s="309">
        <v>36450</v>
      </c>
      <c r="BO711" s="310">
        <f t="shared" si="260"/>
        <v>59646.780000000006</v>
      </c>
      <c r="BP711" s="311">
        <v>4</v>
      </c>
      <c r="BQ711" s="312">
        <v>37945</v>
      </c>
      <c r="BR711" s="313">
        <f t="shared" si="261"/>
        <v>124186.39600000001</v>
      </c>
      <c r="BS711" s="308"/>
      <c r="BT711" s="309"/>
      <c r="BU711" s="310">
        <f t="shared" si="262"/>
        <v>0</v>
      </c>
      <c r="BV711" s="311"/>
      <c r="BW711" s="312"/>
      <c r="BX711" s="313">
        <f t="shared" si="263"/>
        <v>0</v>
      </c>
      <c r="BY711" s="290"/>
    </row>
    <row r="712" spans="1:77">
      <c r="A712" s="335" t="s">
        <v>446</v>
      </c>
      <c r="B712" s="334" t="s">
        <v>654</v>
      </c>
      <c r="C712" s="333">
        <v>444954</v>
      </c>
      <c r="D712" s="333">
        <v>10</v>
      </c>
      <c r="E712" s="308">
        <v>10</v>
      </c>
      <c r="F712" s="309">
        <v>56179</v>
      </c>
      <c r="G712" s="310">
        <f t="shared" si="240"/>
        <v>561790</v>
      </c>
      <c r="H712" s="311">
        <v>10</v>
      </c>
      <c r="I712" s="312">
        <v>58829</v>
      </c>
      <c r="J712" s="313">
        <f t="shared" si="241"/>
        <v>588290</v>
      </c>
      <c r="K712" s="308">
        <v>6</v>
      </c>
      <c r="L712" s="309">
        <v>48758</v>
      </c>
      <c r="M712" s="310">
        <f t="shared" si="242"/>
        <v>292548</v>
      </c>
      <c r="N712" s="311">
        <v>6</v>
      </c>
      <c r="O712" s="312">
        <v>50806</v>
      </c>
      <c r="P712" s="313">
        <f t="shared" si="243"/>
        <v>304836</v>
      </c>
      <c r="Q712" s="308">
        <v>8</v>
      </c>
      <c r="R712" s="309">
        <v>41596</v>
      </c>
      <c r="S712" s="310">
        <f t="shared" si="244"/>
        <v>332768</v>
      </c>
      <c r="T712" s="311">
        <v>12</v>
      </c>
      <c r="U712" s="312">
        <v>39576</v>
      </c>
      <c r="V712" s="313">
        <f t="shared" si="245"/>
        <v>474912</v>
      </c>
      <c r="W712" s="308">
        <v>12</v>
      </c>
      <c r="X712" s="309">
        <v>41597</v>
      </c>
      <c r="Y712" s="310">
        <f t="shared" si="246"/>
        <v>499164</v>
      </c>
      <c r="Z712" s="311">
        <v>16</v>
      </c>
      <c r="AA712" s="312">
        <v>40181</v>
      </c>
      <c r="AB712" s="313">
        <f t="shared" si="247"/>
        <v>642896</v>
      </c>
      <c r="AC712" s="308"/>
      <c r="AD712" s="309"/>
      <c r="AE712" s="310">
        <f t="shared" si="248"/>
        <v>0</v>
      </c>
      <c r="AF712" s="311">
        <v>1</v>
      </c>
      <c r="AG712" s="312">
        <v>35500</v>
      </c>
      <c r="AH712" s="313">
        <f t="shared" si="249"/>
        <v>35500</v>
      </c>
      <c r="AI712" s="308"/>
      <c r="AJ712" s="309"/>
      <c r="AK712" s="310">
        <f t="shared" si="250"/>
        <v>0</v>
      </c>
      <c r="AL712" s="311"/>
      <c r="AM712" s="312"/>
      <c r="AN712" s="313">
        <f t="shared" si="251"/>
        <v>0</v>
      </c>
      <c r="AO712" s="308"/>
      <c r="AP712" s="309"/>
      <c r="AQ712" s="310">
        <f t="shared" si="252"/>
        <v>0</v>
      </c>
      <c r="AR712" s="311"/>
      <c r="AS712" s="312"/>
      <c r="AT712" s="313">
        <f t="shared" si="253"/>
        <v>0</v>
      </c>
      <c r="AU712" s="308"/>
      <c r="AV712" s="309"/>
      <c r="AW712" s="310">
        <f t="shared" si="254"/>
        <v>0</v>
      </c>
      <c r="AX712" s="311"/>
      <c r="AY712" s="312"/>
      <c r="AZ712" s="313">
        <f t="shared" si="255"/>
        <v>0</v>
      </c>
      <c r="BA712" s="308"/>
      <c r="BB712" s="309"/>
      <c r="BC712" s="310">
        <f t="shared" si="256"/>
        <v>0</v>
      </c>
      <c r="BD712" s="311"/>
      <c r="BE712" s="312"/>
      <c r="BF712" s="313">
        <f t="shared" si="257"/>
        <v>0</v>
      </c>
      <c r="BG712" s="308"/>
      <c r="BH712" s="309"/>
      <c r="BI712" s="310">
        <f t="shared" si="258"/>
        <v>0</v>
      </c>
      <c r="BJ712" s="311"/>
      <c r="BK712" s="312"/>
      <c r="BL712" s="313">
        <f t="shared" si="259"/>
        <v>0</v>
      </c>
      <c r="BM712" s="308"/>
      <c r="BN712" s="309"/>
      <c r="BO712" s="310">
        <f t="shared" si="260"/>
        <v>0</v>
      </c>
      <c r="BP712" s="311"/>
      <c r="BQ712" s="312"/>
      <c r="BR712" s="313">
        <f t="shared" si="261"/>
        <v>0</v>
      </c>
      <c r="BS712" s="308"/>
      <c r="BT712" s="309"/>
      <c r="BU712" s="310">
        <f t="shared" si="262"/>
        <v>0</v>
      </c>
      <c r="BV712" s="311"/>
      <c r="BW712" s="312"/>
      <c r="BX712" s="313">
        <f t="shared" si="263"/>
        <v>0</v>
      </c>
      <c r="BY712" s="290"/>
    </row>
    <row r="713" spans="1:77">
      <c r="A713" s="333" t="s">
        <v>446</v>
      </c>
      <c r="B713" s="334" t="s">
        <v>655</v>
      </c>
      <c r="C713" s="333">
        <v>447582</v>
      </c>
      <c r="D713" s="335">
        <v>10</v>
      </c>
      <c r="E713" s="308">
        <v>3</v>
      </c>
      <c r="F713" s="309">
        <v>62439</v>
      </c>
      <c r="G713" s="310">
        <f t="shared" si="240"/>
        <v>187317</v>
      </c>
      <c r="H713" s="311">
        <v>3</v>
      </c>
      <c r="I713" s="312">
        <v>64850</v>
      </c>
      <c r="J713" s="313">
        <f t="shared" si="241"/>
        <v>194550</v>
      </c>
      <c r="K713" s="308">
        <v>6</v>
      </c>
      <c r="L713" s="309">
        <v>52991</v>
      </c>
      <c r="M713" s="310">
        <f t="shared" si="242"/>
        <v>317946</v>
      </c>
      <c r="N713" s="311">
        <v>6</v>
      </c>
      <c r="O713" s="312">
        <v>56552</v>
      </c>
      <c r="P713" s="313">
        <f t="shared" si="243"/>
        <v>339312</v>
      </c>
      <c r="Q713" s="308">
        <v>7</v>
      </c>
      <c r="R713" s="309">
        <v>41493</v>
      </c>
      <c r="S713" s="310">
        <f t="shared" si="244"/>
        <v>290451</v>
      </c>
      <c r="T713" s="311">
        <v>6</v>
      </c>
      <c r="U713" s="312">
        <v>43686</v>
      </c>
      <c r="V713" s="313">
        <f t="shared" si="245"/>
        <v>262116</v>
      </c>
      <c r="W713" s="308">
        <v>14</v>
      </c>
      <c r="X713" s="309">
        <v>36507</v>
      </c>
      <c r="Y713" s="310">
        <f t="shared" si="246"/>
        <v>511098</v>
      </c>
      <c r="Z713" s="311">
        <v>15</v>
      </c>
      <c r="AA713" s="312">
        <v>38537</v>
      </c>
      <c r="AB713" s="313">
        <f t="shared" si="247"/>
        <v>578055</v>
      </c>
      <c r="AC713" s="308">
        <v>1</v>
      </c>
      <c r="AD713" s="309">
        <v>33072</v>
      </c>
      <c r="AE713" s="310">
        <f t="shared" si="248"/>
        <v>33072</v>
      </c>
      <c r="AF713" s="311"/>
      <c r="AG713" s="312"/>
      <c r="AH713" s="313">
        <f t="shared" si="249"/>
        <v>0</v>
      </c>
      <c r="AI713" s="308"/>
      <c r="AJ713" s="309"/>
      <c r="AK713" s="310">
        <f t="shared" si="250"/>
        <v>0</v>
      </c>
      <c r="AL713" s="311"/>
      <c r="AM713" s="312"/>
      <c r="AN713" s="313">
        <f t="shared" si="251"/>
        <v>0</v>
      </c>
      <c r="AO713" s="308"/>
      <c r="AP713" s="309"/>
      <c r="AQ713" s="310">
        <f t="shared" si="252"/>
        <v>0</v>
      </c>
      <c r="AR713" s="311"/>
      <c r="AS713" s="312"/>
      <c r="AT713" s="313">
        <f t="shared" si="253"/>
        <v>0</v>
      </c>
      <c r="AU713" s="308">
        <v>1</v>
      </c>
      <c r="AV713" s="309">
        <v>62536</v>
      </c>
      <c r="AW713" s="310">
        <f t="shared" si="254"/>
        <v>51166.955200000004</v>
      </c>
      <c r="AX713" s="311">
        <v>1</v>
      </c>
      <c r="AY713" s="312">
        <v>66060</v>
      </c>
      <c r="AZ713" s="313">
        <f t="shared" si="255"/>
        <v>54050.292000000001</v>
      </c>
      <c r="BA713" s="308">
        <v>1</v>
      </c>
      <c r="BB713" s="309">
        <v>62486</v>
      </c>
      <c r="BC713" s="310">
        <f t="shared" si="256"/>
        <v>51126.0452</v>
      </c>
      <c r="BD713" s="311">
        <v>1</v>
      </c>
      <c r="BE713" s="312">
        <v>43584</v>
      </c>
      <c r="BF713" s="313">
        <f t="shared" si="257"/>
        <v>35660.428800000002</v>
      </c>
      <c r="BG713" s="308">
        <v>3</v>
      </c>
      <c r="BH713" s="309">
        <v>46458</v>
      </c>
      <c r="BI713" s="310">
        <f t="shared" si="258"/>
        <v>114035.80680000001</v>
      </c>
      <c r="BJ713" s="311">
        <v>2</v>
      </c>
      <c r="BK713" s="312">
        <v>49566</v>
      </c>
      <c r="BL713" s="313">
        <f t="shared" si="259"/>
        <v>81109.8024</v>
      </c>
      <c r="BM713" s="308"/>
      <c r="BN713" s="309"/>
      <c r="BO713" s="310">
        <f t="shared" si="260"/>
        <v>0</v>
      </c>
      <c r="BP713" s="311"/>
      <c r="BQ713" s="312"/>
      <c r="BR713" s="313">
        <f t="shared" si="261"/>
        <v>0</v>
      </c>
      <c r="BS713" s="308"/>
      <c r="BT713" s="309"/>
      <c r="BU713" s="310">
        <f t="shared" si="262"/>
        <v>0</v>
      </c>
      <c r="BV713" s="311"/>
      <c r="BW713" s="312"/>
      <c r="BX713" s="313">
        <f t="shared" si="263"/>
        <v>0</v>
      </c>
      <c r="BY713" s="290"/>
    </row>
    <row r="714" spans="1:77">
      <c r="A714" s="335" t="s">
        <v>446</v>
      </c>
      <c r="B714" s="441" t="s">
        <v>219</v>
      </c>
      <c r="C714" s="333">
        <v>237701</v>
      </c>
      <c r="D714" s="335">
        <v>10</v>
      </c>
      <c r="E714" s="308">
        <v>12</v>
      </c>
      <c r="F714" s="309">
        <v>61062</v>
      </c>
      <c r="G714" s="310">
        <f>E714*F714</f>
        <v>732744</v>
      </c>
      <c r="H714" s="311">
        <v>13</v>
      </c>
      <c r="I714" s="312">
        <v>66097</v>
      </c>
      <c r="J714" s="313">
        <f>H714*I714</f>
        <v>859261</v>
      </c>
      <c r="K714" s="308">
        <v>3</v>
      </c>
      <c r="L714" s="309">
        <v>46631</v>
      </c>
      <c r="M714" s="310">
        <f>K714*L714</f>
        <v>139893</v>
      </c>
      <c r="N714" s="311">
        <v>2</v>
      </c>
      <c r="O714" s="312">
        <v>48606</v>
      </c>
      <c r="P714" s="313">
        <f>N714*O714</f>
        <v>97212</v>
      </c>
      <c r="Q714" s="308">
        <v>6</v>
      </c>
      <c r="R714" s="309">
        <v>38614</v>
      </c>
      <c r="S714" s="310">
        <f>Q714*R714</f>
        <v>231684</v>
      </c>
      <c r="T714" s="311">
        <v>6</v>
      </c>
      <c r="U714" s="312">
        <v>40889</v>
      </c>
      <c r="V714" s="313">
        <f>T714*U714</f>
        <v>245334</v>
      </c>
      <c r="W714" s="308">
        <v>16</v>
      </c>
      <c r="X714" s="309">
        <v>36343</v>
      </c>
      <c r="Y714" s="310">
        <f>W714*X714</f>
        <v>581488</v>
      </c>
      <c r="Z714" s="311">
        <v>18</v>
      </c>
      <c r="AA714" s="312">
        <v>37585</v>
      </c>
      <c r="AB714" s="313">
        <f>Z714*AA714</f>
        <v>676530</v>
      </c>
      <c r="AC714" s="308"/>
      <c r="AD714" s="309"/>
      <c r="AE714" s="310">
        <f>AC714*AD714</f>
        <v>0</v>
      </c>
      <c r="AF714" s="311"/>
      <c r="AG714" s="312"/>
      <c r="AH714" s="313">
        <f>AF714*AG714</f>
        <v>0</v>
      </c>
      <c r="AI714" s="308"/>
      <c r="AJ714" s="309"/>
      <c r="AK714" s="310">
        <f>AI714*AJ714</f>
        <v>0</v>
      </c>
      <c r="AL714" s="311"/>
      <c r="AM714" s="312"/>
      <c r="AN714" s="313">
        <f>AL714*AM714</f>
        <v>0</v>
      </c>
      <c r="AO714" s="308">
        <v>1</v>
      </c>
      <c r="AP714" s="309">
        <v>64418</v>
      </c>
      <c r="AQ714" s="310">
        <f>(AO714*AP714)*0.8182</f>
        <v>52706.8076</v>
      </c>
      <c r="AR714" s="311">
        <v>1</v>
      </c>
      <c r="AS714" s="312">
        <v>69383</v>
      </c>
      <c r="AT714" s="313">
        <f>(AR714*AS714)*0.8182</f>
        <v>56769.170600000005</v>
      </c>
      <c r="AU714" s="308"/>
      <c r="AV714" s="309"/>
      <c r="AW714" s="310">
        <f>(AU714*AV714)*0.8182</f>
        <v>0</v>
      </c>
      <c r="AX714" s="311"/>
      <c r="AY714" s="312"/>
      <c r="AZ714" s="313">
        <f>(AX714*AY714)*0.8182</f>
        <v>0</v>
      </c>
      <c r="BA714" s="308"/>
      <c r="BB714" s="309"/>
      <c r="BC714" s="310">
        <f>(BA714*BB714)*0.8182</f>
        <v>0</v>
      </c>
      <c r="BD714" s="311"/>
      <c r="BE714" s="312"/>
      <c r="BF714" s="313">
        <f>(BD714*BE714)*0.8182</f>
        <v>0</v>
      </c>
      <c r="BG714" s="308"/>
      <c r="BH714" s="309"/>
      <c r="BI714" s="310">
        <f>(BG714*BH714)*0.8182</f>
        <v>0</v>
      </c>
      <c r="BJ714" s="311"/>
      <c r="BK714" s="312"/>
      <c r="BL714" s="313">
        <f>(BJ714*BK714)*0.8182</f>
        <v>0</v>
      </c>
      <c r="BM714" s="308"/>
      <c r="BN714" s="309"/>
      <c r="BO714" s="310">
        <f>(BM714*BN714)*0.8182</f>
        <v>0</v>
      </c>
      <c r="BP714" s="311"/>
      <c r="BQ714" s="312"/>
      <c r="BR714" s="313">
        <f>(BP714*BQ714)*0.8182</f>
        <v>0</v>
      </c>
      <c r="BS714" s="308"/>
      <c r="BT714" s="309"/>
      <c r="BU714" s="310">
        <f>(BS714*BT714)*0.8182</f>
        <v>0</v>
      </c>
      <c r="BV714" s="311"/>
      <c r="BW714" s="312"/>
      <c r="BX714" s="313">
        <f>(BV714*BW714)*0.8182</f>
        <v>0</v>
      </c>
      <c r="BY714" s="290"/>
    </row>
    <row r="715" spans="1:77">
      <c r="A715" s="335" t="s">
        <v>446</v>
      </c>
      <c r="B715" s="334" t="s">
        <v>220</v>
      </c>
      <c r="C715" s="333">
        <v>237817</v>
      </c>
      <c r="D715" s="335">
        <v>10</v>
      </c>
      <c r="E715" s="308">
        <v>21</v>
      </c>
      <c r="F715" s="309">
        <v>56608</v>
      </c>
      <c r="G715" s="310">
        <f>E715*F715</f>
        <v>1188768</v>
      </c>
      <c r="H715" s="311">
        <v>22</v>
      </c>
      <c r="I715" s="312">
        <v>58840</v>
      </c>
      <c r="J715" s="313">
        <f>H715*I715</f>
        <v>1294480</v>
      </c>
      <c r="K715" s="308">
        <v>9</v>
      </c>
      <c r="L715" s="309">
        <v>47741</v>
      </c>
      <c r="M715" s="310">
        <f>K715*L715</f>
        <v>429669</v>
      </c>
      <c r="N715" s="311">
        <v>9</v>
      </c>
      <c r="O715" s="312">
        <v>47590</v>
      </c>
      <c r="P715" s="313">
        <f>N715*O715</f>
        <v>428310</v>
      </c>
      <c r="Q715" s="308">
        <v>17</v>
      </c>
      <c r="R715" s="309">
        <v>40147</v>
      </c>
      <c r="S715" s="310">
        <f>Q715*R715</f>
        <v>682499</v>
      </c>
      <c r="T715" s="311">
        <v>21</v>
      </c>
      <c r="U715" s="312">
        <v>40767</v>
      </c>
      <c r="V715" s="313">
        <f>T715*U715</f>
        <v>856107</v>
      </c>
      <c r="W715" s="308">
        <v>30</v>
      </c>
      <c r="X715" s="309">
        <v>33197</v>
      </c>
      <c r="Y715" s="310">
        <f>W715*X715</f>
        <v>995910</v>
      </c>
      <c r="Z715" s="311">
        <v>32</v>
      </c>
      <c r="AA715" s="312">
        <v>34735</v>
      </c>
      <c r="AB715" s="313">
        <f>Z715*AA715</f>
        <v>1111520</v>
      </c>
      <c r="AC715" s="308"/>
      <c r="AD715" s="309"/>
      <c r="AE715" s="310">
        <f>AC715*AD715</f>
        <v>0</v>
      </c>
      <c r="AF715" s="311"/>
      <c r="AG715" s="312"/>
      <c r="AH715" s="313">
        <f>AF715*AG715</f>
        <v>0</v>
      </c>
      <c r="AI715" s="308"/>
      <c r="AJ715" s="309"/>
      <c r="AK715" s="310">
        <f>AI715*AJ715</f>
        <v>0</v>
      </c>
      <c r="AL715" s="311"/>
      <c r="AM715" s="312"/>
      <c r="AN715" s="313">
        <f>AL715*AM715</f>
        <v>0</v>
      </c>
      <c r="AO715" s="308"/>
      <c r="AP715" s="309"/>
      <c r="AQ715" s="310">
        <f>(AO715*AP715)*0.8182</f>
        <v>0</v>
      </c>
      <c r="AR715" s="311"/>
      <c r="AS715" s="312"/>
      <c r="AT715" s="313">
        <f>(AR715*AS715)*0.8182</f>
        <v>0</v>
      </c>
      <c r="AU715" s="308"/>
      <c r="AV715" s="309"/>
      <c r="AW715" s="310">
        <f>(AU715*AV715)*0.8182</f>
        <v>0</v>
      </c>
      <c r="AX715" s="311"/>
      <c r="AY715" s="312"/>
      <c r="AZ715" s="313">
        <f>(AX715*AY715)*0.8182</f>
        <v>0</v>
      </c>
      <c r="BA715" s="308"/>
      <c r="BB715" s="309"/>
      <c r="BC715" s="310">
        <f>(BA715*BB715)*0.8182</f>
        <v>0</v>
      </c>
      <c r="BD715" s="311"/>
      <c r="BE715" s="312"/>
      <c r="BF715" s="313">
        <f>(BD715*BE715)*0.8182</f>
        <v>0</v>
      </c>
      <c r="BG715" s="308">
        <v>1</v>
      </c>
      <c r="BH715" s="309">
        <v>41719</v>
      </c>
      <c r="BI715" s="310">
        <f>(BG715*BH715)*0.8182</f>
        <v>34134.485800000002</v>
      </c>
      <c r="BJ715" s="311"/>
      <c r="BK715" s="312"/>
      <c r="BL715" s="313">
        <f>(BJ715*BK715)*0.8182</f>
        <v>0</v>
      </c>
      <c r="BM715" s="308"/>
      <c r="BN715" s="309"/>
      <c r="BO715" s="310">
        <f>(BM715*BN715)*0.8182</f>
        <v>0</v>
      </c>
      <c r="BP715" s="311"/>
      <c r="BQ715" s="312"/>
      <c r="BR715" s="313">
        <f>(BP715*BQ715)*0.8182</f>
        <v>0</v>
      </c>
      <c r="BS715" s="308"/>
      <c r="BT715" s="309"/>
      <c r="BU715" s="310">
        <f>(BS715*BT715)*0.8182</f>
        <v>0</v>
      </c>
      <c r="BV715" s="311"/>
      <c r="BW715" s="312"/>
      <c r="BX715" s="313">
        <f>(BV715*BW715)*0.8182</f>
        <v>0</v>
      </c>
      <c r="BY715" s="290"/>
    </row>
    <row r="716" spans="1:77">
      <c r="A716" s="335" t="s">
        <v>446</v>
      </c>
      <c r="B716" s="334" t="s">
        <v>656</v>
      </c>
      <c r="C716" s="333">
        <v>238014</v>
      </c>
      <c r="D716" s="333">
        <v>10</v>
      </c>
      <c r="E716" s="308">
        <v>22</v>
      </c>
      <c r="F716" s="309">
        <v>53913</v>
      </c>
      <c r="G716" s="310">
        <f>E716*F716</f>
        <v>1186086</v>
      </c>
      <c r="H716" s="311">
        <v>22</v>
      </c>
      <c r="I716" s="312">
        <v>56016</v>
      </c>
      <c r="J716" s="313">
        <f>H716*I716</f>
        <v>1232352</v>
      </c>
      <c r="K716" s="308">
        <v>8</v>
      </c>
      <c r="L716" s="309">
        <v>44808</v>
      </c>
      <c r="M716" s="310">
        <f>K716*L716</f>
        <v>358464</v>
      </c>
      <c r="N716" s="311">
        <v>10</v>
      </c>
      <c r="O716" s="312">
        <v>44703</v>
      </c>
      <c r="P716" s="313">
        <f>N716*O716</f>
        <v>447030</v>
      </c>
      <c r="Q716" s="308">
        <v>11</v>
      </c>
      <c r="R716" s="309">
        <v>38024</v>
      </c>
      <c r="S716" s="310">
        <f>Q716*R716</f>
        <v>418264</v>
      </c>
      <c r="T716" s="311">
        <v>7</v>
      </c>
      <c r="U716" s="312">
        <v>38903</v>
      </c>
      <c r="V716" s="313">
        <f>T716*U716</f>
        <v>272321</v>
      </c>
      <c r="W716" s="308">
        <v>16</v>
      </c>
      <c r="X716" s="309">
        <v>31223</v>
      </c>
      <c r="Y716" s="310">
        <f>W716*X716</f>
        <v>499568</v>
      </c>
      <c r="Z716" s="311">
        <v>21</v>
      </c>
      <c r="AA716" s="312">
        <v>32587</v>
      </c>
      <c r="AB716" s="313">
        <f>Z716*AA716</f>
        <v>684327</v>
      </c>
      <c r="AC716" s="308">
        <v>1</v>
      </c>
      <c r="AD716" s="309">
        <v>28840</v>
      </c>
      <c r="AE716" s="310">
        <f>AC716*AD716</f>
        <v>28840</v>
      </c>
      <c r="AF716" s="311"/>
      <c r="AG716" s="312"/>
      <c r="AH716" s="313">
        <f>AF716*AG716</f>
        <v>0</v>
      </c>
      <c r="AI716" s="308"/>
      <c r="AJ716" s="309"/>
      <c r="AK716" s="310">
        <f>AI716*AJ716</f>
        <v>0</v>
      </c>
      <c r="AL716" s="311"/>
      <c r="AM716" s="312"/>
      <c r="AN716" s="313">
        <f>AL716*AM716</f>
        <v>0</v>
      </c>
      <c r="AO716" s="308"/>
      <c r="AP716" s="309"/>
      <c r="AQ716" s="310">
        <f>(AO716*AP716)*0.8182</f>
        <v>0</v>
      </c>
      <c r="AR716" s="311"/>
      <c r="AS716" s="312"/>
      <c r="AT716" s="313">
        <f>(AR716*AS716)*0.8182</f>
        <v>0</v>
      </c>
      <c r="AU716" s="308"/>
      <c r="AV716" s="309"/>
      <c r="AW716" s="310">
        <f>(AU716*AV716)*0.8182</f>
        <v>0</v>
      </c>
      <c r="AX716" s="311"/>
      <c r="AY716" s="312"/>
      <c r="AZ716" s="313">
        <f>(AX716*AY716)*0.8182</f>
        <v>0</v>
      </c>
      <c r="BA716" s="308"/>
      <c r="BB716" s="309"/>
      <c r="BC716" s="310">
        <f>(BA716*BB716)*0.8182</f>
        <v>0</v>
      </c>
      <c r="BD716" s="311"/>
      <c r="BE716" s="312"/>
      <c r="BF716" s="313">
        <f>(BD716*BE716)*0.8182</f>
        <v>0</v>
      </c>
      <c r="BG716" s="308"/>
      <c r="BH716" s="309"/>
      <c r="BI716" s="310">
        <f>(BG716*BH716)*0.8182</f>
        <v>0</v>
      </c>
      <c r="BJ716" s="311"/>
      <c r="BK716" s="312"/>
      <c r="BL716" s="313">
        <f>(BJ716*BK716)*0.8182</f>
        <v>0</v>
      </c>
      <c r="BM716" s="308">
        <v>1</v>
      </c>
      <c r="BN716" s="309">
        <v>30950</v>
      </c>
      <c r="BO716" s="310">
        <f>(BM716*BN716)*0.8182</f>
        <v>25323.29</v>
      </c>
      <c r="BP716" s="311"/>
      <c r="BQ716" s="312"/>
      <c r="BR716" s="313">
        <f>(BP716*BQ716)*0.8182</f>
        <v>0</v>
      </c>
      <c r="BS716" s="308"/>
      <c r="BT716" s="309"/>
      <c r="BU716" s="310">
        <f>(BS716*BT716)*0.8182</f>
        <v>0</v>
      </c>
      <c r="BV716" s="311"/>
      <c r="BW716" s="312"/>
      <c r="BX716" s="313">
        <f>(BV716*BW716)*0.8182</f>
        <v>0</v>
      </c>
      <c r="BY716" s="290"/>
    </row>
    <row r="717" spans="1:77">
      <c r="A717" s="335" t="s">
        <v>446</v>
      </c>
      <c r="B717" s="334" t="s">
        <v>657</v>
      </c>
      <c r="C717" s="333">
        <v>445018</v>
      </c>
      <c r="D717" s="333">
        <v>10</v>
      </c>
      <c r="E717" s="308">
        <v>4</v>
      </c>
      <c r="F717" s="309">
        <v>61646</v>
      </c>
      <c r="G717" s="310">
        <f>E717*F717</f>
        <v>246584</v>
      </c>
      <c r="H717" s="311">
        <v>4</v>
      </c>
      <c r="I717" s="312">
        <v>65952</v>
      </c>
      <c r="J717" s="313">
        <f>H717*I717</f>
        <v>263808</v>
      </c>
      <c r="K717" s="308">
        <v>5</v>
      </c>
      <c r="L717" s="309">
        <v>52243</v>
      </c>
      <c r="M717" s="310">
        <f>K717*L717</f>
        <v>261215</v>
      </c>
      <c r="N717" s="311">
        <v>7</v>
      </c>
      <c r="O717" s="312">
        <v>55120</v>
      </c>
      <c r="P717" s="313">
        <f>N717*O717</f>
        <v>385840</v>
      </c>
      <c r="Q717" s="308">
        <v>13</v>
      </c>
      <c r="R717" s="309">
        <v>44544</v>
      </c>
      <c r="S717" s="310">
        <f>Q717*R717</f>
        <v>579072</v>
      </c>
      <c r="T717" s="311">
        <v>10</v>
      </c>
      <c r="U717" s="312">
        <v>45866</v>
      </c>
      <c r="V717" s="313">
        <f>T717*U717</f>
        <v>458660</v>
      </c>
      <c r="W717" s="308">
        <v>11</v>
      </c>
      <c r="X717" s="309">
        <v>38555</v>
      </c>
      <c r="Y717" s="310">
        <f>W717*X717</f>
        <v>424105</v>
      </c>
      <c r="Z717" s="311">
        <v>12</v>
      </c>
      <c r="AA717" s="312">
        <v>38687</v>
      </c>
      <c r="AB717" s="313">
        <f>Z717*AA717</f>
        <v>464244</v>
      </c>
      <c r="AC717" s="308"/>
      <c r="AD717" s="309"/>
      <c r="AE717" s="310">
        <f>AC717*AD717</f>
        <v>0</v>
      </c>
      <c r="AF717" s="311"/>
      <c r="AG717" s="312"/>
      <c r="AH717" s="313">
        <f>AF717*AG717</f>
        <v>0</v>
      </c>
      <c r="AI717" s="308"/>
      <c r="AJ717" s="309"/>
      <c r="AK717" s="310">
        <f>AI717*AJ717</f>
        <v>0</v>
      </c>
      <c r="AL717" s="311"/>
      <c r="AM717" s="312"/>
      <c r="AN717" s="313">
        <f>AL717*AM717</f>
        <v>0</v>
      </c>
      <c r="AO717" s="308"/>
      <c r="AP717" s="309"/>
      <c r="AQ717" s="310">
        <f>(AO717*AP717)*0.8182</f>
        <v>0</v>
      </c>
      <c r="AR717" s="311"/>
      <c r="AS717" s="312"/>
      <c r="AT717" s="313">
        <f>(AR717*AS717)*0.8182</f>
        <v>0</v>
      </c>
      <c r="AU717" s="308">
        <v>2</v>
      </c>
      <c r="AV717" s="309">
        <v>63169</v>
      </c>
      <c r="AW717" s="310">
        <f>(AU717*AV717)*0.8182</f>
        <v>103369.7516</v>
      </c>
      <c r="AX717" s="311">
        <v>2</v>
      </c>
      <c r="AY717" s="312">
        <v>63742</v>
      </c>
      <c r="AZ717" s="313">
        <f>(AX717*AY717)*0.8182</f>
        <v>104307.4088</v>
      </c>
      <c r="BA717" s="308">
        <v>1</v>
      </c>
      <c r="BB717" s="309">
        <v>48443</v>
      </c>
      <c r="BC717" s="310">
        <f>(BA717*BB717)*0.8182</f>
        <v>39636.062600000005</v>
      </c>
      <c r="BD717" s="311">
        <v>1</v>
      </c>
      <c r="BE717" s="312">
        <v>51147</v>
      </c>
      <c r="BF717" s="313">
        <f>(BD717*BE717)*0.8182</f>
        <v>41848.475400000003</v>
      </c>
      <c r="BG717" s="308">
        <v>5</v>
      </c>
      <c r="BH717" s="309">
        <v>52633</v>
      </c>
      <c r="BI717" s="310">
        <f>(BG717*BH717)*0.8182</f>
        <v>215321.603</v>
      </c>
      <c r="BJ717" s="311">
        <v>3</v>
      </c>
      <c r="BK717" s="312">
        <v>59630</v>
      </c>
      <c r="BL717" s="313">
        <f>(BJ717*BK717)*0.8182</f>
        <v>146367.79800000001</v>
      </c>
      <c r="BM717" s="308"/>
      <c r="BN717" s="309"/>
      <c r="BO717" s="310">
        <f>(BM717*BN717)*0.8182</f>
        <v>0</v>
      </c>
      <c r="BP717" s="311"/>
      <c r="BQ717" s="312"/>
      <c r="BR717" s="313">
        <f>(BP717*BQ717)*0.8182</f>
        <v>0</v>
      </c>
      <c r="BS717" s="308"/>
      <c r="BT717" s="309"/>
      <c r="BU717" s="310">
        <f>(BS717*BT717)*0.8182</f>
        <v>0</v>
      </c>
      <c r="BV717" s="311"/>
      <c r="BW717" s="312"/>
      <c r="BX717" s="313">
        <f>(BV717*BW717)*0.8182</f>
        <v>0</v>
      </c>
      <c r="BY717" s="290"/>
    </row>
  </sheetData>
  <phoneticPr fontId="15" type="noConversion"/>
  <conditionalFormatting sqref="AL8:AL43 Z655 AL655 BV655 BV657:BV717 AL657:AL717 Z657:Z717 Z528:Z653 BP528:BP717 BJ528:BJ717 AF528:AF717 AF8:AF61 H8:H151 AF63:AF216 BP8:BP224 AF218:AF525 H155:H717 BJ8:BJ523 Z8:Z523 BD8:BD717 AX8:AX717 AR8:AR717 T8:T717 N8:N717 BP227:BP525 BV8:BV653 AL45:AL653">
    <cfRule type="expression" dxfId="330" priority="27" stopIfTrue="1">
      <formula>H8&lt;(E8-(E8*0.05))</formula>
    </cfRule>
    <cfRule type="expression" dxfId="329" priority="28" stopIfTrue="1">
      <formula>H8&gt;(E8+(E8*0.1))</formula>
    </cfRule>
  </conditionalFormatting>
  <conditionalFormatting sqref="AM8:AM43 AA655 AM655 BW655 BW657:BW717 AM657:AM717 AA657:AA717 AA528:AA653 BQ528:BQ717 BK528:BK717 AG528:AG717 AG8:AG61 AA8:AA63 AG63:AG216 BQ8:BQ224 AG218:AG525 AA66:AA523 BK8:BK523 O8:O717 BE8:BE717 I8:I717 AS8:AS717 U8:U717 AY8:AY717 BQ227:BQ525 BW8:BW653 AM45:AM653">
    <cfRule type="expression" dxfId="328" priority="29" stopIfTrue="1">
      <formula>I8&lt;F8</formula>
    </cfRule>
    <cfRule type="expression" dxfId="327" priority="30" stopIfTrue="1">
      <formula>I8&gt;(F8+(F8*0.05))</formula>
    </cfRule>
  </conditionalFormatting>
  <conditionalFormatting sqref="AL44">
    <cfRule type="expression" dxfId="326" priority="31" stopIfTrue="1">
      <formula>AL44&lt;(AC62-(AC62*0.05))</formula>
    </cfRule>
    <cfRule type="expression" dxfId="325" priority="32" stopIfTrue="1">
      <formula>AL44&gt;(AC62+(AC62*0.1))</formula>
    </cfRule>
  </conditionalFormatting>
  <conditionalFormatting sqref="AM44">
    <cfRule type="expression" dxfId="324" priority="33" stopIfTrue="1">
      <formula>AM44&lt;AD62</formula>
    </cfRule>
    <cfRule type="expression" dxfId="323" priority="34" stopIfTrue="1">
      <formula>AM44&gt;(AD62+(AD62*0.05))</formula>
    </cfRule>
  </conditionalFormatting>
  <conditionalFormatting sqref="H152:H153">
    <cfRule type="expression" dxfId="322" priority="35" stopIfTrue="1">
      <formula>H152&lt;(E153-(E153*0.05))</formula>
    </cfRule>
    <cfRule type="expression" dxfId="321" priority="36" stopIfTrue="1">
      <formula>H152&gt;(E153+(E153*0.1))</formula>
    </cfRule>
  </conditionalFormatting>
  <conditionalFormatting sqref="AL656 Z656 BV656">
    <cfRule type="expression" dxfId="320" priority="37" stopIfTrue="1">
      <formula>Z656&lt;(W654-(W654*0.05))</formula>
    </cfRule>
    <cfRule type="expression" dxfId="319" priority="38" stopIfTrue="1">
      <formula>Z656&gt;(W654+(W654*0.1))</formula>
    </cfRule>
  </conditionalFormatting>
  <conditionalFormatting sqref="AM656 AA656 BW656">
    <cfRule type="expression" dxfId="318" priority="39" stopIfTrue="1">
      <formula>AA656&lt;X654</formula>
    </cfRule>
    <cfRule type="expression" dxfId="317" priority="40" stopIfTrue="1">
      <formula>AA656&gt;(X654+(X654*0.05))</formula>
    </cfRule>
  </conditionalFormatting>
  <conditionalFormatting sqref="AA64">
    <cfRule type="expression" dxfId="316" priority="41" stopIfTrue="1">
      <formula>AA64&lt;X65</formula>
    </cfRule>
    <cfRule type="expression" dxfId="315" priority="42" stopIfTrue="1">
      <formula>AA64&gt;(X65+(X65*0.05))</formula>
    </cfRule>
  </conditionalFormatting>
  <conditionalFormatting sqref="AF526:AF527 BP526:BP527 Z524:Z527 BJ524:BJ527">
    <cfRule type="expression" dxfId="314" priority="43" stopIfTrue="1">
      <formula>Z524&lt;(#REF!-(#REF!*0.05))</formula>
    </cfRule>
    <cfRule type="expression" dxfId="313" priority="44" stopIfTrue="1">
      <formula>Z524&gt;(#REF!+(#REF!*0.1))</formula>
    </cfRule>
  </conditionalFormatting>
  <conditionalFormatting sqref="AG526:AG527 BQ526:BQ527 AA524:AA527 BK524:BK527">
    <cfRule type="expression" dxfId="312" priority="45" stopIfTrue="1">
      <formula>AA524&lt;#REF!</formula>
    </cfRule>
    <cfRule type="expression" dxfId="311" priority="46" stopIfTrue="1">
      <formula>AA524&gt;(#REF!+(#REF!*0.05))</formula>
    </cfRule>
  </conditionalFormatting>
  <conditionalFormatting sqref="BV79:BV83 BP79:BP83 BJ79:BJ83 BD79:BD83 AX79:AX83 AR79:AR83 AL79:AL83 AF79:AF83 Z79:Z83 T79:T83 N79:N83 H79:H83">
    <cfRule type="expression" dxfId="310" priority="25" stopIfTrue="1">
      <formula>H79&lt;(E79-(E79*0.05))</formula>
    </cfRule>
    <cfRule type="expression" dxfId="309" priority="26" stopIfTrue="1">
      <formula>H79&gt;(E79+(E79*0.1))</formula>
    </cfRule>
  </conditionalFormatting>
  <conditionalFormatting sqref="BW79:BW83 BQ79:BQ83 BK79:BK83 BE79:BE83 AY79:AY83 AS79:AS83 AM79:AM83 AG79:AG83 AA79:AA83 U79:U83 O79:O83 I79:I83">
    <cfRule type="expression" dxfId="308" priority="23" stopIfTrue="1">
      <formula>I79&lt;F79</formula>
    </cfRule>
    <cfRule type="expression" dxfId="307" priority="24" stopIfTrue="1">
      <formula>I79&gt;(F79+(F79*0.05))</formula>
    </cfRule>
  </conditionalFormatting>
  <conditionalFormatting sqref="BV79:BV83 BP79:BP83 BJ79:BJ83 BD79:BD83 AX79:AX83 AR79:AR83 AL79:AL83 AF79:AF83 Z79:Z83 T79:T83 N79:N83 H79:H83">
    <cfRule type="expression" dxfId="306" priority="21" stopIfTrue="1">
      <formula>H79&lt;(E79-(E79*0.05))</formula>
    </cfRule>
    <cfRule type="expression" dxfId="305" priority="22" stopIfTrue="1">
      <formula>H79&gt;(E79+(E79*0.1))</formula>
    </cfRule>
  </conditionalFormatting>
  <conditionalFormatting sqref="BW79:BW83 BQ79:BQ83 BK79:BK83 BE79:BE83 AY79:AY83 AS79:AS83 AM79:AM83 AG79:AG83 AA79:AA83 U79:U83 O79:O83 I79:I83">
    <cfRule type="expression" dxfId="304" priority="19" stopIfTrue="1">
      <formula>I79&lt;F79</formula>
    </cfRule>
    <cfRule type="expression" dxfId="303" priority="20" stopIfTrue="1">
      <formula>I79&gt;(F79+(F79*0.05))</formula>
    </cfRule>
  </conditionalFormatting>
  <conditionalFormatting sqref="AF217">
    <cfRule type="expression" dxfId="302" priority="17" stopIfTrue="1">
      <formula>AF217&lt;(AC217-(AC217*0.05))</formula>
    </cfRule>
    <cfRule type="expression" dxfId="301" priority="18" stopIfTrue="1">
      <formula>AF217&gt;(AC217+(AC217*0.1))</formula>
    </cfRule>
  </conditionalFormatting>
  <conditionalFormatting sqref="AG217">
    <cfRule type="expression" dxfId="300" priority="15" stopIfTrue="1">
      <formula>AG217&lt;AD217</formula>
    </cfRule>
    <cfRule type="expression" dxfId="299" priority="16" stopIfTrue="1">
      <formula>AG217&gt;(AD217+(AD217*0.05))</formula>
    </cfRule>
  </conditionalFormatting>
  <conditionalFormatting sqref="AG217">
    <cfRule type="expression" dxfId="298" priority="13" stopIfTrue="1">
      <formula>AG217&lt;AD217</formula>
    </cfRule>
    <cfRule type="expression" dxfId="297" priority="14" stopIfTrue="1">
      <formula>AG217&gt;(AD217+(AD217*0.05))</formula>
    </cfRule>
  </conditionalFormatting>
  <conditionalFormatting sqref="BP225:BP226">
    <cfRule type="expression" dxfId="296" priority="11" stopIfTrue="1">
      <formula>BP225&lt;(BM225-(BM225*0.05))</formula>
    </cfRule>
    <cfRule type="expression" dxfId="295" priority="12" stopIfTrue="1">
      <formula>BP225&gt;(BM225+(BM225*0.1))</formula>
    </cfRule>
  </conditionalFormatting>
  <conditionalFormatting sqref="BQ225:BQ226">
    <cfRule type="expression" dxfId="294" priority="9" stopIfTrue="1">
      <formula>BQ225&lt;BN225</formula>
    </cfRule>
    <cfRule type="expression" dxfId="293" priority="10" stopIfTrue="1">
      <formula>BQ225&gt;(BN225+(BN225*0.05))</formula>
    </cfRule>
  </conditionalFormatting>
  <conditionalFormatting sqref="AM414">
    <cfRule type="expression" dxfId="292" priority="7" stopIfTrue="1">
      <formula>AM414&lt;AJ414</formula>
    </cfRule>
    <cfRule type="expression" dxfId="291" priority="8" stopIfTrue="1">
      <formula>AM414&gt;(AJ414+(AJ414*0.05))</formula>
    </cfRule>
  </conditionalFormatting>
  <conditionalFormatting sqref="I288">
    <cfRule type="expression" dxfId="290" priority="5" stopIfTrue="1">
      <formula>I288&lt;F288</formula>
    </cfRule>
    <cfRule type="expression" dxfId="289" priority="6" stopIfTrue="1">
      <formula>I288&gt;(F288+(F288*0.05))</formula>
    </cfRule>
  </conditionalFormatting>
  <conditionalFormatting sqref="BV528:BV554">
    <cfRule type="expression" dxfId="288" priority="3" stopIfTrue="1">
      <formula>BV528&lt;(BS528-(BS528*0.05))</formula>
    </cfRule>
    <cfRule type="expression" dxfId="287" priority="4" stopIfTrue="1">
      <formula>BV528&gt;(BS528+(BS528*0.1))</formula>
    </cfRule>
  </conditionalFormatting>
  <conditionalFormatting sqref="BW528:BW554">
    <cfRule type="expression" dxfId="286" priority="1" stopIfTrue="1">
      <formula>BW528&lt;BT528</formula>
    </cfRule>
    <cfRule type="expression" dxfId="285" priority="2" stopIfTrue="1">
      <formula>BW528&gt;(BT528+(BT528*0.05))</formula>
    </cfRule>
  </conditionalFormatting>
  <pageMargins left="0.75" right="0.75" top="1" bottom="1" header="0.5" footer="0.5"/>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sheetPr enableFormatConditionsCalculation="0">
    <tabColor indexed="16"/>
  </sheetPr>
  <dimension ref="A1:H28"/>
  <sheetViews>
    <sheetView showGridLines="0" showZeros="0" view="pageBreakPreview" zoomScaleNormal="70" zoomScaleSheetLayoutView="100" workbookViewId="0">
      <selection activeCell="H28" sqref="H28"/>
    </sheetView>
  </sheetViews>
  <sheetFormatPr defaultRowHeight="15"/>
  <cols>
    <col min="1" max="1" width="33.375" style="27" customWidth="1"/>
    <col min="2" max="2" width="9" style="27"/>
    <col min="3" max="3" width="11.125" style="27" customWidth="1"/>
    <col min="4" max="4" width="10.625" style="178" customWidth="1"/>
    <col min="5" max="5" width="10.125" style="178" customWidth="1"/>
    <col min="6" max="6" width="13.25" style="178" customWidth="1"/>
    <col min="7" max="7" width="8.625" style="178" customWidth="1"/>
    <col min="8" max="8" width="9.125" style="27" customWidth="1"/>
    <col min="9" max="16384" width="9" style="27"/>
  </cols>
  <sheetData>
    <row r="1" spans="1:8" ht="18">
      <c r="A1" s="504" t="s">
        <v>333</v>
      </c>
      <c r="B1" s="504"/>
      <c r="C1" s="504"/>
      <c r="D1" s="504"/>
      <c r="E1" s="504"/>
      <c r="F1" s="504"/>
      <c r="G1" s="504"/>
      <c r="H1" s="504"/>
    </row>
    <row r="2" spans="1:8" ht="15.75" customHeight="1">
      <c r="A2" s="2"/>
      <c r="B2" s="3"/>
      <c r="C2" s="3"/>
      <c r="D2" s="171"/>
      <c r="E2" s="171"/>
      <c r="F2" s="171"/>
      <c r="G2" s="171"/>
      <c r="H2" s="3"/>
    </row>
    <row r="3" spans="1:8" ht="15.75">
      <c r="A3" s="505" t="s">
        <v>525</v>
      </c>
      <c r="B3" s="505"/>
      <c r="C3" s="505"/>
      <c r="D3" s="505"/>
      <c r="E3" s="505"/>
      <c r="F3" s="505"/>
      <c r="G3" s="505"/>
      <c r="H3" s="505"/>
    </row>
    <row r="4" spans="1:8" ht="15.75">
      <c r="A4" s="505" t="s">
        <v>26</v>
      </c>
      <c r="B4" s="505"/>
      <c r="C4" s="505"/>
      <c r="D4" s="505"/>
      <c r="E4" s="505"/>
      <c r="F4" s="505"/>
      <c r="G4" s="505"/>
      <c r="H4" s="505"/>
    </row>
    <row r="5" spans="1:8" ht="15.75" customHeight="1">
      <c r="A5" s="5"/>
      <c r="B5" s="5"/>
      <c r="C5" s="5"/>
      <c r="D5" s="172"/>
      <c r="E5" s="172"/>
      <c r="F5" s="172"/>
      <c r="G5" s="172"/>
      <c r="H5" s="5"/>
    </row>
    <row r="6" spans="1:8" ht="15.75" customHeight="1">
      <c r="A6" s="42"/>
      <c r="B6" s="43"/>
      <c r="C6" s="43" t="s">
        <v>526</v>
      </c>
      <c r="D6" s="173" t="s">
        <v>527</v>
      </c>
      <c r="E6" s="173"/>
      <c r="F6" s="173" t="s">
        <v>420</v>
      </c>
      <c r="G6" s="173" t="s">
        <v>528</v>
      </c>
      <c r="H6" s="43" t="s">
        <v>529</v>
      </c>
    </row>
    <row r="7" spans="1:8" ht="15.75" customHeight="1">
      <c r="A7" s="44"/>
      <c r="B7" s="45" t="s">
        <v>435</v>
      </c>
      <c r="C7" s="45" t="s">
        <v>435</v>
      </c>
      <c r="D7" s="174" t="s">
        <v>435</v>
      </c>
      <c r="E7" s="174" t="s">
        <v>438</v>
      </c>
      <c r="F7" s="174" t="s">
        <v>414</v>
      </c>
      <c r="G7" s="174" t="s">
        <v>530</v>
      </c>
      <c r="H7" s="45" t="s">
        <v>531</v>
      </c>
    </row>
    <row r="8" spans="1:8" ht="15" customHeight="1">
      <c r="A8" s="8" t="s">
        <v>532</v>
      </c>
      <c r="B8" s="134">
        <f>+GETPIVOTDATA(" New Prof avg",'Averages Pivot Table'!$A$3,"Category",1,"Category2","Four-Year")</f>
        <v>114556.91306867571</v>
      </c>
      <c r="C8" s="134">
        <f>+GETPIVOTDATA(" New Asc. avg",'Averages Pivot Table'!$A$3,"Category",1,"Category2","Four-Year")</f>
        <v>79142.41944811272</v>
      </c>
      <c r="D8" s="175">
        <f>+GETPIVOTDATA(" New Ast. avg",'Averages Pivot Table'!$A$3,"Category",1,"Category2","Four-Year")</f>
        <v>68104.659330427006</v>
      </c>
      <c r="E8" s="175">
        <f>+GETPIVOTDATA(" New Inst. avg",'Averages Pivot Table'!$A$3,"Category",1,"Category2","Four-Year")</f>
        <v>44978.440783942657</v>
      </c>
      <c r="F8" s="175">
        <f>+GETPIVOTDATA(" New Undesg. avg",'Averages Pivot Table'!$A$3,"Category",1,"Category2","Four-Year")</f>
        <v>53395.312783088353</v>
      </c>
      <c r="G8" s="175">
        <f>+GETPIVOTDATA(" New Single Rnk avg",'Averages Pivot Table'!$A$3,"Category",1,"Category2","Four-Year")</f>
        <v>0</v>
      </c>
      <c r="H8" s="134">
        <f>+GETPIVOTDATA(" New All Ranks avg",'Averages Pivot Table'!$A$3,"Category",1,"Category2","Four-Year")</f>
        <v>83508.957077602347</v>
      </c>
    </row>
    <row r="9" spans="1:8" ht="15" customHeight="1">
      <c r="A9" s="8" t="s">
        <v>533</v>
      </c>
      <c r="B9" s="132">
        <f>+GETPIVOTDATA(" New Prof avg",'Averages Pivot Table'!$A$3,"Category",2,"Category2","Four-Year")</f>
        <v>108402.64002258034</v>
      </c>
      <c r="C9" s="132">
        <f>+GETPIVOTDATA(" New Asc. avg",'Averages Pivot Table'!$A$3,"Category",2,"Category2","Four-Year")</f>
        <v>77734.712706135993</v>
      </c>
      <c r="D9" s="176">
        <f>+GETPIVOTDATA(" New Ast. avg",'Averages Pivot Table'!$A$3,"Category",2,"Category2","Four-Year")</f>
        <v>65641.698820042933</v>
      </c>
      <c r="E9" s="176">
        <f>+GETPIVOTDATA(" New Inst. avg",'Averages Pivot Table'!$A$3,"Category",2,"Category2","Four-Year")</f>
        <v>44992.68283468976</v>
      </c>
      <c r="F9" s="176">
        <f>+GETPIVOTDATA(" New Undesg. avg",'Averages Pivot Table'!$A$3,"Category",2,"Category2","Four-Year")</f>
        <v>48410.651960938143</v>
      </c>
      <c r="G9" s="176">
        <f>+GETPIVOTDATA(" New Single Rnk avg",'Averages Pivot Table'!$A$3,"Category",2,"Category2","Four-Year")</f>
        <v>0</v>
      </c>
      <c r="H9" s="132">
        <f>+GETPIVOTDATA(" New All Ranks avg",'Averages Pivot Table'!$A$3,"Category",2,"Category2","Four-Year")</f>
        <v>75881.284717070026</v>
      </c>
    </row>
    <row r="10" spans="1:8" ht="15" customHeight="1">
      <c r="A10" s="8" t="s">
        <v>534</v>
      </c>
      <c r="B10" s="132">
        <f>+GETPIVOTDATA(" New Prof avg",'Averages Pivot Table'!$A$3,"Category",3,"Category2","Four-Year")</f>
        <v>84026.469409756945</v>
      </c>
      <c r="C10" s="132">
        <f>+GETPIVOTDATA(" New Asc. avg",'Averages Pivot Table'!$A$3,"Category",3,"Category2","Four-Year")</f>
        <v>68056.847834365923</v>
      </c>
      <c r="D10" s="176">
        <f>+GETPIVOTDATA(" New Ast. avg",'Averages Pivot Table'!$A$3,"Category",3,"Category2","Four-Year")</f>
        <v>57587.576754996117</v>
      </c>
      <c r="E10" s="176">
        <f>+GETPIVOTDATA(" New Inst. avg",'Averages Pivot Table'!$A$3,"Category",3,"Category2","Four-Year")</f>
        <v>43054.379651493939</v>
      </c>
      <c r="F10" s="176">
        <f>+GETPIVOTDATA(" New Undesg. avg",'Averages Pivot Table'!$A$3,"Category",3,"Category2","Four-Year")</f>
        <v>47103.136534921177</v>
      </c>
      <c r="G10" s="176">
        <f>+GETPIVOTDATA(" New Single Rnk avg",'Averages Pivot Table'!$A$3,"Category",3,"Category2","Four-Year")</f>
        <v>0</v>
      </c>
      <c r="H10" s="132">
        <f>+GETPIVOTDATA(" New All Ranks avg",'Averages Pivot Table'!$A$3,"Category",3,"Category2","Four-Year")</f>
        <v>63536.789829631882</v>
      </c>
    </row>
    <row r="11" spans="1:8" ht="15" customHeight="1">
      <c r="A11" s="8" t="s">
        <v>535</v>
      </c>
      <c r="B11" s="132">
        <f>+GETPIVOTDATA(" New Prof avg",'Averages Pivot Table'!$A$3,"Category",4,"Category2","Four-Year")</f>
        <v>79953.119825970629</v>
      </c>
      <c r="C11" s="132">
        <f>+GETPIVOTDATA(" New Asc. avg",'Averages Pivot Table'!$A$3,"Category",4,"Category2","Four-Year")</f>
        <v>65678.246447792015</v>
      </c>
      <c r="D11" s="176">
        <f>+GETPIVOTDATA(" New Ast. avg",'Averages Pivot Table'!$A$3,"Category",4,"Category2","Four-Year")</f>
        <v>55731.656692549972</v>
      </c>
      <c r="E11" s="176">
        <f>+GETPIVOTDATA(" New Inst. avg",'Averages Pivot Table'!$A$3,"Category",4,"Category2","Four-Year")</f>
        <v>44275.590021446689</v>
      </c>
      <c r="F11" s="176">
        <f>+GETPIVOTDATA(" New Undesg. avg",'Averages Pivot Table'!$A$3,"Category",4,"Category2","Four-Year")</f>
        <v>45534.669768913511</v>
      </c>
      <c r="G11" s="176">
        <f>+GETPIVOTDATA(" New Single Rnk avg",'Averages Pivot Table'!$A$3,"Category",4,"Category2","Four-Year")</f>
        <v>0</v>
      </c>
      <c r="H11" s="132">
        <f>+GETPIVOTDATA(" New All Ranks avg",'Averages Pivot Table'!$A$3,"Category",4,"Category2","Four-Year")</f>
        <v>61354.811343531808</v>
      </c>
    </row>
    <row r="12" spans="1:8" ht="15" customHeight="1">
      <c r="A12" s="8" t="s">
        <v>536</v>
      </c>
      <c r="B12" s="132">
        <f>+GETPIVOTDATA(" New Prof avg",'Averages Pivot Table'!$A$3,"Category",5,"Category2","Four-Year")</f>
        <v>74885.944676761908</v>
      </c>
      <c r="C12" s="132">
        <f>+GETPIVOTDATA(" New Asc. avg",'Averages Pivot Table'!$A$3,"Category",5,"Category2","Four-Year")</f>
        <v>63382.205269537488</v>
      </c>
      <c r="D12" s="176">
        <f>+GETPIVOTDATA(" New Ast. avg",'Averages Pivot Table'!$A$3,"Category",5,"Category2","Four-Year")</f>
        <v>53178.318540029293</v>
      </c>
      <c r="E12" s="176">
        <f>+GETPIVOTDATA(" New Inst. avg",'Averages Pivot Table'!$A$3,"Category",5,"Category2","Four-Year")</f>
        <v>42646.203018523884</v>
      </c>
      <c r="F12" s="176">
        <f>+GETPIVOTDATA(" New Undesg. avg",'Averages Pivot Table'!$A$3,"Category",5,"Category2","Four-Year")</f>
        <v>43751.059058725761</v>
      </c>
      <c r="G12" s="176">
        <f>+GETPIVOTDATA(" New Single Rnk avg",'Averages Pivot Table'!$A$3,"Category",5,"Category2","Four-Year")</f>
        <v>0</v>
      </c>
      <c r="H12" s="132">
        <f>+GETPIVOTDATA(" New All Ranks avg",'Averages Pivot Table'!$A$3,"Category",5,"Category2","Four-Year")</f>
        <v>57874.349344080241</v>
      </c>
    </row>
    <row r="13" spans="1:8" ht="15" customHeight="1">
      <c r="A13" s="8" t="s">
        <v>537</v>
      </c>
      <c r="B13" s="132">
        <f>+GETPIVOTDATA(" New Prof avg",'Averages Pivot Table'!$A$3,"Category",6,"Category2","Four-Year")</f>
        <v>75325.02144183006</v>
      </c>
      <c r="C13" s="132">
        <f>+GETPIVOTDATA(" New Asc. avg",'Averages Pivot Table'!$A$3,"Category",6,"Category2","Four-Year")</f>
        <v>61720.689142465752</v>
      </c>
      <c r="D13" s="176">
        <f>+GETPIVOTDATA(" New Ast. avg",'Averages Pivot Table'!$A$3,"Category",6,"Category2","Four-Year")</f>
        <v>51686.305743996098</v>
      </c>
      <c r="E13" s="176">
        <f>+GETPIVOTDATA(" New Inst. avg",'Averages Pivot Table'!$A$3,"Category",6,"Category2","Four-Year")</f>
        <v>41545.692904672898</v>
      </c>
      <c r="F13" s="176">
        <f>+GETPIVOTDATA(" New Undesg. avg",'Averages Pivot Table'!$A$3,"Category",6,"Category2","Four-Year")</f>
        <v>49168.592681111106</v>
      </c>
      <c r="G13" s="176">
        <f>+GETPIVOTDATA(" New Single Rnk avg",'Averages Pivot Table'!$A$3,"Category",6,"Category2","Four-Year")</f>
        <v>0</v>
      </c>
      <c r="H13" s="132">
        <f>+GETPIVOTDATA(" New All Ranks avg",'Averages Pivot Table'!$A$3,"Category",6,"Category2","Four-Year")</f>
        <v>57307.543573748415</v>
      </c>
    </row>
    <row r="14" spans="1:8" ht="15" customHeight="1">
      <c r="A14" s="204" t="s">
        <v>538</v>
      </c>
      <c r="B14" s="132">
        <f>+GETPIVOTDATA(" New Prof avg",'Averages Pivot Table'!$A$3,"Category2","Four-Year")</f>
        <v>101919.63016437185</v>
      </c>
      <c r="C14" s="132">
        <f>+GETPIVOTDATA(" New Asc. avg",'Averages Pivot Table'!$A$3,"Category2","Four-Year")</f>
        <v>73623.308864481543</v>
      </c>
      <c r="D14" s="176">
        <f>+GETPIVOTDATA(" New Ast. avg",'Averages Pivot Table'!$A$3,"Category2","Four-Year")</f>
        <v>61770.329631887864</v>
      </c>
      <c r="E14" s="176">
        <f>+GETPIVOTDATA(" New Inst. avg",'Averages Pivot Table'!$A$3,"Category2","Four-Year")</f>
        <v>43959.861102362491</v>
      </c>
      <c r="F14" s="176">
        <f>+GETPIVOTDATA(" New Undesg. avg",'Averages Pivot Table'!$A$3,"Category2","Four-Year")</f>
        <v>49744.05225430771</v>
      </c>
      <c r="G14" s="176">
        <f>+GETPIVOTDATA(" New Single Rnk avg",'Averages Pivot Table'!$A$3,"Category2","Four-Year")</f>
        <v>0</v>
      </c>
      <c r="H14" s="132">
        <f>+GETPIVOTDATA(" New All Ranks avg",'Averages Pivot Table'!$A$3,"Category2","Four-Year")</f>
        <v>72997.97146246965</v>
      </c>
    </row>
    <row r="15" spans="1:8" ht="15" customHeight="1">
      <c r="A15" s="8"/>
      <c r="B15" s="132"/>
      <c r="C15" s="132"/>
      <c r="D15" s="176"/>
      <c r="E15" s="176"/>
      <c r="F15" s="176"/>
      <c r="G15" s="176"/>
      <c r="H15" s="132"/>
    </row>
    <row r="16" spans="1:8" ht="15" customHeight="1">
      <c r="A16" s="8" t="s">
        <v>403</v>
      </c>
      <c r="B16" s="132">
        <f>+GETPIVOTDATA(" New Prof avg",'Averages Pivot Table'!$A$3,"Category",7,"Category2","Two-Year")</f>
        <v>62807.086692500001</v>
      </c>
      <c r="C16" s="132">
        <f>+GETPIVOTDATA(" New Asc. avg",'Averages Pivot Table'!$A$3,"Category",7,"Category2","Two-Year")</f>
        <v>55450.755145283023</v>
      </c>
      <c r="D16" s="176">
        <f>+GETPIVOTDATA(" New Ast. avg",'Averages Pivot Table'!$A$3,"Category",7,"Category2","Two-Year")</f>
        <v>46359.8908944</v>
      </c>
      <c r="E16" s="176">
        <f>+GETPIVOTDATA(" New Inst. avg",'Averages Pivot Table'!$A$3,"Category",7,"Category2","Two-Year")</f>
        <v>39551.1905425</v>
      </c>
      <c r="F16" s="176">
        <f>+GETPIVOTDATA(" New Undesg. avg",'Averages Pivot Table'!$A$3,"Category",7,"Category2","Two-Year")</f>
        <v>0</v>
      </c>
      <c r="G16" s="176">
        <f>+GETPIVOTDATA(" New Single Rnk avg",'Averages Pivot Table'!$A$3,"Category",7,"Category2","Two-Year")</f>
        <v>56286.968463758923</v>
      </c>
      <c r="H16" s="132">
        <f>+GETPIVOTDATA(" New All Ranks avg",'Averages Pivot Table'!$A$3,"Category",7,"Category2","Two-Year")</f>
        <v>54987.467202663429</v>
      </c>
    </row>
    <row r="17" spans="1:8" ht="15" customHeight="1">
      <c r="A17" s="8" t="s">
        <v>539</v>
      </c>
      <c r="B17" s="132">
        <f>+GETPIVOTDATA(" New Prof avg",'Averages Pivot Table'!$A$3,"Category",8,"Category2","Two-Year")</f>
        <v>69583.194436264588</v>
      </c>
      <c r="C17" s="132">
        <f>+GETPIVOTDATA(" New Asc. avg",'Averages Pivot Table'!$A$3,"Category",8,"Category2","Two-Year")</f>
        <v>57756.160503863524</v>
      </c>
      <c r="D17" s="176">
        <f>+GETPIVOTDATA(" New Ast. avg",'Averages Pivot Table'!$A$3,"Category",8,"Category2","Two-Year")</f>
        <v>52973.430956902761</v>
      </c>
      <c r="E17" s="176">
        <f>+GETPIVOTDATA(" New Inst. avg",'Averages Pivot Table'!$A$3,"Category",8,"Category2","Two-Year")</f>
        <v>49355.163059017359</v>
      </c>
      <c r="F17" s="176">
        <f>+GETPIVOTDATA(" New Undesg. avg",'Averages Pivot Table'!$A$3,"Category",8,"Category2","Two-Year")</f>
        <v>41244.39787398374</v>
      </c>
      <c r="G17" s="176">
        <f>+GETPIVOTDATA(" New Single Rnk avg",'Averages Pivot Table'!$A$3,"Category",8,"Category2","Two-Year")</f>
        <v>51372.610980209094</v>
      </c>
      <c r="H17" s="132">
        <f>+GETPIVOTDATA(" New All Ranks avg",'Averages Pivot Table'!$A$3,"Category",8,"Category2","Two-Year")</f>
        <v>53462.165644622059</v>
      </c>
    </row>
    <row r="18" spans="1:8" ht="15" customHeight="1">
      <c r="A18" s="8" t="s">
        <v>540</v>
      </c>
      <c r="B18" s="132">
        <f>+GETPIVOTDATA(" New Prof avg",'Averages Pivot Table'!$A$3,"Category",9,"Category2","Two-Year")</f>
        <v>61415.579837158475</v>
      </c>
      <c r="C18" s="132">
        <f>+GETPIVOTDATA(" New Asc. avg",'Averages Pivot Table'!$A$3,"Category",9,"Category2","Two-Year")</f>
        <v>51483.031854062043</v>
      </c>
      <c r="D18" s="176">
        <f>+GETPIVOTDATA(" New Ast. avg",'Averages Pivot Table'!$A$3,"Category",9,"Category2","Two-Year")</f>
        <v>45749.834553437082</v>
      </c>
      <c r="E18" s="176">
        <f>+GETPIVOTDATA(" New Inst. avg",'Averages Pivot Table'!$A$3,"Category",9,"Category2","Two-Year")</f>
        <v>41904.960590800372</v>
      </c>
      <c r="F18" s="176">
        <f>+GETPIVOTDATA(" New Undesg. avg",'Averages Pivot Table'!$A$3,"Category",9,"Category2","Two-Year")</f>
        <v>46472.151392136024</v>
      </c>
      <c r="G18" s="176">
        <f>+GETPIVOTDATA(" New Single Rnk avg",'Averages Pivot Table'!$A$3,"Category",9,"Category2","Two-Year")</f>
        <v>49657.573469973169</v>
      </c>
      <c r="H18" s="132">
        <f>+GETPIVOTDATA(" New All Ranks avg",'Averages Pivot Table'!$A$3,"Category",9,"Category2","Two-Year")</f>
        <v>49297.287910091953</v>
      </c>
    </row>
    <row r="19" spans="1:8" ht="15" customHeight="1">
      <c r="A19" s="8" t="s">
        <v>404</v>
      </c>
      <c r="B19" s="132">
        <f>+GETPIVOTDATA(" New Prof avg",'Averages Pivot Table'!$A$3,"Category",10,"Category2","Two-Year")</f>
        <v>61638.998725308644</v>
      </c>
      <c r="C19" s="132">
        <f>+GETPIVOTDATA(" New Asc. avg",'Averages Pivot Table'!$A$3,"Category",10,"Category2","Two-Year")</f>
        <v>52468.564024083767</v>
      </c>
      <c r="D19" s="176">
        <f>+GETPIVOTDATA(" New Ast. avg",'Averages Pivot Table'!$A$3,"Category",10,"Category2","Two-Year")</f>
        <v>45564.720740915065</v>
      </c>
      <c r="E19" s="176">
        <f>+GETPIVOTDATA(" New Inst. avg",'Averages Pivot Table'!$A$3,"Category",10,"Category2","Two-Year")</f>
        <v>39229.616163146551</v>
      </c>
      <c r="F19" s="176">
        <f>+GETPIVOTDATA(" New Undesg. avg",'Averages Pivot Table'!$A$3,"Category",10,"Category2","Two-Year")</f>
        <v>41515.043157518798</v>
      </c>
      <c r="G19" s="176">
        <f>+GETPIVOTDATA(" New Single Rnk avg",'Averages Pivot Table'!$A$3,"Category",10,"Category2","Two-Year")</f>
        <v>45676.641599815761</v>
      </c>
      <c r="H19" s="132">
        <f>+GETPIVOTDATA(" New All Ranks avg",'Averages Pivot Table'!$A$3,"Category",10,"Category2","Two-Year")</f>
        <v>45576.256216099871</v>
      </c>
    </row>
    <row r="20" spans="1:8" ht="15" customHeight="1">
      <c r="A20" s="8" t="s">
        <v>405</v>
      </c>
      <c r="B20" s="132">
        <f>+GETPIVOTDATA(" New Prof avg",'Averages Pivot Table'!$A$3,"Category",11,"Category2","Two-Year")</f>
        <v>67923.747558333329</v>
      </c>
      <c r="C20" s="132">
        <f>+GETPIVOTDATA(" New Asc. avg",'Averages Pivot Table'!$A$3,"Category",11,"Category2","Two-Year")</f>
        <v>59901.250379874211</v>
      </c>
      <c r="D20" s="176">
        <f>+GETPIVOTDATA(" New Ast. avg",'Averages Pivot Table'!$A$3,"Category",11,"Category2","Two-Year")</f>
        <v>54143.926242608693</v>
      </c>
      <c r="E20" s="176">
        <f>+GETPIVOTDATA(" New Inst. avg",'Averages Pivot Table'!$A$3,"Category",11,"Category2","Two-Year")</f>
        <v>47726.916471497585</v>
      </c>
      <c r="F20" s="176">
        <f>+GETPIVOTDATA(" New Undesg. avg",'Averages Pivot Table'!$A$3,"Category",11,"Category2","Two-Year")</f>
        <v>0</v>
      </c>
      <c r="G20" s="176">
        <f>+GETPIVOTDATA(" New Single Rnk avg",'Averages Pivot Table'!$A$3,"Category",11,"Category2","Two-Year")</f>
        <v>0</v>
      </c>
      <c r="H20" s="132">
        <f>+GETPIVOTDATA(" New All Ranks avg",'Averages Pivot Table'!$A$3,"Category",11,"Category2","Two-Year")</f>
        <v>57347.378781491716</v>
      </c>
    </row>
    <row r="21" spans="1:8" ht="15" customHeight="1">
      <c r="A21" s="204" t="s">
        <v>406</v>
      </c>
      <c r="B21" s="132">
        <f>+GETPIVOTDATA(" New Prof avg",'Averages Pivot Table'!$A$3,"Category2","Two-Year")</f>
        <v>66340.837792689941</v>
      </c>
      <c r="C21" s="132">
        <f>+GETPIVOTDATA(" New Asc. avg",'Averages Pivot Table'!$A$3,"Category2","Two-Year")</f>
        <v>55655.11513281145</v>
      </c>
      <c r="D21" s="176">
        <f>+GETPIVOTDATA(" New Ast. avg",'Averages Pivot Table'!$A$3,"Category2","Two-Year")</f>
        <v>49965.63131539349</v>
      </c>
      <c r="E21" s="176">
        <f>+GETPIVOTDATA(" New Inst. avg",'Averages Pivot Table'!$A$3,"Category2","Two-Year")</f>
        <v>45487.87791622588</v>
      </c>
      <c r="F21" s="176">
        <f>+GETPIVOTDATA(" New Undesg. avg",'Averages Pivot Table'!$A$3,"Category2","Two-Year")</f>
        <v>43117.61258039216</v>
      </c>
      <c r="G21" s="176">
        <f>+GETPIVOTDATA(" New Single Rnk avg",'Averages Pivot Table'!$A$3,"Category2","Two-Year")</f>
        <v>50445.942151370662</v>
      </c>
      <c r="H21" s="132">
        <f>+GETPIVOTDATA(" New All Ranks avg",'Averages Pivot Table'!$A$3,"Category2","Two-Year")</f>
        <v>51451.692097044201</v>
      </c>
    </row>
    <row r="22" spans="1:8" ht="15" customHeight="1">
      <c r="A22" s="8"/>
      <c r="B22" s="132"/>
      <c r="C22" s="132"/>
      <c r="D22" s="176"/>
      <c r="E22" s="176"/>
      <c r="F22" s="176"/>
      <c r="G22" s="176"/>
      <c r="H22" s="132"/>
    </row>
    <row r="23" spans="1:8" ht="15" customHeight="1">
      <c r="A23" s="8" t="s">
        <v>337</v>
      </c>
      <c r="B23" s="132">
        <f>+GETPIVOTDATA(" New Prof avg",'Averages Pivot Table'!$A$3,"Category",12,"Category2","Technical Institutes")</f>
        <v>63245.396475000001</v>
      </c>
      <c r="C23" s="132">
        <f>+GETPIVOTDATA(" New Asc. avg",'Averages Pivot Table'!$A$3,"Category",12,"Category2","Technical Institutes")</f>
        <v>50188.768854545458</v>
      </c>
      <c r="D23" s="176">
        <f>+GETPIVOTDATA(" New Ast. avg",'Averages Pivot Table'!$A$3,"Category",12,"Category2","Technical Institutes")</f>
        <v>44668.492733333333</v>
      </c>
      <c r="E23" s="176">
        <f>+GETPIVOTDATA(" New Inst. avg",'Averages Pivot Table'!$A$3,"Category",12,"Category2","Technical Institutes")</f>
        <v>40363.982195238095</v>
      </c>
      <c r="F23" s="176">
        <f>+GETPIVOTDATA(" New Undesg. avg",'Averages Pivot Table'!$A$3,"Category",12,"Category2","Technical Institutes")</f>
        <v>0</v>
      </c>
      <c r="G23" s="176">
        <f>+GETPIVOTDATA(" New Single Rnk avg",'Averages Pivot Table'!$A$3,"Category",12,"Category2","Technical Institutes")</f>
        <v>45839.492787694966</v>
      </c>
      <c r="H23" s="132">
        <f>+GETPIVOTDATA(" New All Ranks avg",'Averages Pivot Table'!$A$3,"Category",12,"Category2","Technical Institutes")</f>
        <v>45659.377434844864</v>
      </c>
    </row>
    <row r="24" spans="1:8" ht="15" customHeight="1">
      <c r="A24" s="8" t="s">
        <v>338</v>
      </c>
      <c r="B24" s="132">
        <f>+GETPIVOTDATA(" New Prof avg",'Averages Pivot Table'!$A$3,"Category",13,"Category2","Technical Institutes")</f>
        <v>0</v>
      </c>
      <c r="C24" s="132">
        <f>+GETPIVOTDATA(" New Asc. avg",'Averages Pivot Table'!$A$3,"Category",13,"Category2","Technical Institutes")</f>
        <v>0</v>
      </c>
      <c r="D24" s="176">
        <f>+GETPIVOTDATA(" New Ast. avg",'Averages Pivot Table'!$A$3,"Category",13,"Category2","Technical Institutes")</f>
        <v>0</v>
      </c>
      <c r="E24" s="176">
        <f>+GETPIVOTDATA(" New Inst. avg",'Averages Pivot Table'!$A$3,"Category",13,"Category2","Technical Institutes")</f>
        <v>37892.874413636368</v>
      </c>
      <c r="F24" s="176">
        <f>+GETPIVOTDATA(" New Undesg. avg",'Averages Pivot Table'!$A$3,"Category",13,"Category2","Technical Institutes")</f>
        <v>25000</v>
      </c>
      <c r="G24" s="176">
        <f>+GETPIVOTDATA(" New Single Rnk avg",'Averages Pivot Table'!$A$3,"Category",13,"Category2","Technical Institutes")</f>
        <v>44192.275317617234</v>
      </c>
      <c r="H24" s="132">
        <f>+GETPIVOTDATA(" New All Ranks avg",'Averages Pivot Table'!$A$3,"Category",13,"Category2","Technical Institutes")</f>
        <v>44009.67154984596</v>
      </c>
    </row>
    <row r="25" spans="1:8" ht="15" customHeight="1">
      <c r="A25" s="8" t="s">
        <v>339</v>
      </c>
      <c r="B25" s="132">
        <f>+GETPIVOTDATA(" New Prof avg",'Averages Pivot Table'!$A$3,"Category",14,"Category2","Technical Institutes")</f>
        <v>0</v>
      </c>
      <c r="C25" s="132">
        <f>+GETPIVOTDATA(" New Asc. avg",'Averages Pivot Table'!$A$3,"Category",14,"Category2","Technical Institutes")</f>
        <v>0</v>
      </c>
      <c r="D25" s="176">
        <f>+GETPIVOTDATA(" New Ast. avg",'Averages Pivot Table'!$A$3,"Category",14,"Category2","Technical Institutes")</f>
        <v>0</v>
      </c>
      <c r="E25" s="176">
        <f>+GETPIVOTDATA(" New Inst. avg",'Averages Pivot Table'!$A$3,"Category",14,"Category2","Technical Institutes")</f>
        <v>0</v>
      </c>
      <c r="F25" s="176">
        <f>+GETPIVOTDATA(" New Undesg. avg",'Averages Pivot Table'!$A$3,"Category",14,"Category2","Technical Institutes")</f>
        <v>0</v>
      </c>
      <c r="G25" s="176">
        <f>+GETPIVOTDATA(" New Single Rnk avg",'Averages Pivot Table'!$A$3,"Category",14,"Category2","Technical Institutes")</f>
        <v>34482.075575237992</v>
      </c>
      <c r="H25" s="132">
        <f>+GETPIVOTDATA(" New All Ranks avg",'Averages Pivot Table'!$A$3,"Category",14,"Category2","Technical Institutes")</f>
        <v>34482.075575237992</v>
      </c>
    </row>
    <row r="26" spans="1:8" ht="15" customHeight="1">
      <c r="A26" s="205" t="s">
        <v>340</v>
      </c>
      <c r="B26" s="133">
        <f>+GETPIVOTDATA(" New Prof avg",'Averages Pivot Table'!$A$3,"Category2","Technical Institutes")</f>
        <v>63245.396475000001</v>
      </c>
      <c r="C26" s="133">
        <f>+GETPIVOTDATA(" New Asc. avg",'Averages Pivot Table'!$A$3,"Category2","Technical Institutes")</f>
        <v>50188.768854545458</v>
      </c>
      <c r="D26" s="177">
        <f>+GETPIVOTDATA(" New Ast. avg",'Averages Pivot Table'!$A$3,"Category2","Technical Institutes")</f>
        <v>44668.492733333333</v>
      </c>
      <c r="E26" s="177">
        <f>+GETPIVOTDATA(" New Inst. avg",'Averages Pivot Table'!$A$3,"Category2","Technical Institutes")</f>
        <v>39724.401357647061</v>
      </c>
      <c r="F26" s="177">
        <f>+GETPIVOTDATA(" New Undesg. avg",'Averages Pivot Table'!$A$3,"Category2","Technical Institutes")</f>
        <v>25000</v>
      </c>
      <c r="G26" s="177">
        <f>+GETPIVOTDATA(" New Single Rnk avg",'Averages Pivot Table'!$A$3,"Category2","Technical Institutes")</f>
        <v>43913.413931238254</v>
      </c>
      <c r="H26" s="133">
        <f>+GETPIVOTDATA(" New All Ranks avg",'Averages Pivot Table'!$A$3,"Category2","Technical Institutes")</f>
        <v>43840.405358662356</v>
      </c>
    </row>
    <row r="27" spans="1:8" ht="29.25" customHeight="1">
      <c r="A27" s="502" t="s">
        <v>425</v>
      </c>
      <c r="B27" s="503"/>
      <c r="C27" s="503"/>
      <c r="D27" s="503"/>
      <c r="E27" s="503"/>
      <c r="F27" s="503"/>
      <c r="G27" s="503"/>
      <c r="H27" s="503"/>
    </row>
    <row r="28" spans="1:8">
      <c r="H28" s="487" t="s">
        <v>1002</v>
      </c>
    </row>
  </sheetData>
  <mergeCells count="4">
    <mergeCell ref="A27:H27"/>
    <mergeCell ref="A1:H1"/>
    <mergeCell ref="A3:H3"/>
    <mergeCell ref="A4:H4"/>
  </mergeCells>
  <phoneticPr fontId="15" type="noConversion"/>
  <printOptions horizontalCentered="1"/>
  <pageMargins left="0.5" right="0.5" top="1" bottom="0.75" header="0.75" footer="0.5"/>
  <pageSetup firstPageNumber="132" orientation="landscape" useFirstPageNumber="1" r:id="rId1"/>
  <headerFooter alignWithMargins="0">
    <oddHeader>&amp;R&amp;"Arial,Regular"&amp;8SREB-State Data Exchange</oddHeader>
    <oddFooter>&amp;C&amp;"Arial,Regular"&amp;10&amp;P</oddFooter>
  </headerFooter>
</worksheet>
</file>

<file path=xl/worksheets/sheet3.xml><?xml version="1.0" encoding="utf-8"?>
<worksheet xmlns="http://schemas.openxmlformats.org/spreadsheetml/2006/main" xmlns:r="http://schemas.openxmlformats.org/officeDocument/2006/relationships">
  <sheetPr enableFormatConditionsCalculation="0">
    <tabColor indexed="16"/>
  </sheetPr>
  <dimension ref="A1:S600"/>
  <sheetViews>
    <sheetView showGridLines="0" showZeros="0" tabSelected="1" view="pageBreakPreview" zoomScaleNormal="75" zoomScaleSheetLayoutView="100" workbookViewId="0">
      <selection activeCell="Q238" sqref="Q238"/>
    </sheetView>
  </sheetViews>
  <sheetFormatPr defaultRowHeight="15.75"/>
  <cols>
    <col min="1" max="1" width="11.625" customWidth="1"/>
    <col min="2" max="2" width="8" customWidth="1"/>
    <col min="3" max="3" width="6.25" customWidth="1"/>
    <col min="4" max="4" width="8.25" customWidth="1"/>
    <col min="5" max="5" width="7.625" customWidth="1"/>
    <col min="6" max="6" width="8.5" customWidth="1"/>
    <col min="7" max="7" width="7.625" customWidth="1"/>
    <col min="8" max="8" width="8.25" customWidth="1"/>
    <col min="9" max="9" width="7.625" style="225" customWidth="1"/>
    <col min="10" max="10" width="8.5" customWidth="1"/>
    <col min="11" max="11" width="7.625" customWidth="1"/>
    <col min="12" max="12" width="8.5" customWidth="1"/>
    <col min="13" max="13" width="5.625" style="225" customWidth="1"/>
    <col min="14" max="14" width="7.625" customWidth="1"/>
    <col min="15" max="15" width="7.625" style="225" customWidth="1"/>
    <col min="16" max="16" width="5" customWidth="1"/>
    <col min="17" max="17" width="9.25" style="74" bestFit="1" customWidth="1"/>
    <col min="18" max="19" width="9" style="74"/>
  </cols>
  <sheetData>
    <row r="1" spans="1:19" ht="18">
      <c r="A1" s="13" t="s">
        <v>564</v>
      </c>
      <c r="B1" s="5"/>
      <c r="C1" s="5"/>
      <c r="D1" s="5"/>
      <c r="E1" s="5"/>
      <c r="F1" s="5"/>
      <c r="G1" s="5"/>
      <c r="H1" s="5"/>
      <c r="I1" s="172"/>
      <c r="J1" s="5"/>
      <c r="K1" s="5"/>
      <c r="L1" s="5"/>
      <c r="M1" s="172"/>
      <c r="N1" s="146"/>
      <c r="O1" s="224"/>
    </row>
    <row r="2" spans="1:19" ht="15.75" customHeight="1">
      <c r="A2" s="13"/>
      <c r="B2" s="5"/>
      <c r="C2" s="5"/>
      <c r="D2" s="5"/>
      <c r="E2" s="5"/>
      <c r="F2" s="5"/>
      <c r="G2" s="5"/>
      <c r="H2" s="5"/>
      <c r="I2" s="172"/>
      <c r="J2" s="5"/>
      <c r="K2" s="5"/>
      <c r="L2" s="5" t="s">
        <v>560</v>
      </c>
      <c r="M2" s="172"/>
    </row>
    <row r="3" spans="1:19">
      <c r="A3" s="4" t="s">
        <v>541</v>
      </c>
      <c r="B3" s="5"/>
      <c r="C3" s="5"/>
      <c r="D3" s="5"/>
      <c r="E3" s="5"/>
      <c r="F3" s="5"/>
      <c r="G3" s="5"/>
      <c r="H3" s="5"/>
      <c r="I3" s="172"/>
      <c r="J3" s="5"/>
      <c r="K3" s="5"/>
      <c r="L3" s="5"/>
      <c r="M3" s="172"/>
      <c r="N3" s="146"/>
      <c r="O3" s="224"/>
    </row>
    <row r="4" spans="1:19">
      <c r="A4" s="4" t="s">
        <v>28</v>
      </c>
      <c r="B4" s="5"/>
      <c r="C4" s="5"/>
      <c r="D4" s="5"/>
      <c r="E4" s="5"/>
      <c r="F4" s="5"/>
      <c r="G4" s="5"/>
      <c r="H4" s="5"/>
      <c r="I4" s="172"/>
      <c r="J4" s="5"/>
      <c r="K4" s="5"/>
      <c r="L4" s="5"/>
      <c r="M4" s="172"/>
      <c r="N4" s="146"/>
      <c r="O4" s="224"/>
    </row>
    <row r="5" spans="1:19" ht="15.75" customHeight="1">
      <c r="A5" s="5"/>
      <c r="B5" s="14"/>
      <c r="C5" s="5"/>
      <c r="D5" s="5"/>
      <c r="E5" s="5"/>
      <c r="F5" s="5"/>
      <c r="G5" s="5"/>
      <c r="H5" s="5"/>
      <c r="I5" s="172"/>
      <c r="J5" s="5"/>
      <c r="K5" s="5"/>
      <c r="L5" s="5"/>
      <c r="M5" s="172"/>
    </row>
    <row r="6" spans="1:19">
      <c r="A6" s="15"/>
      <c r="B6" s="18">
        <v>1</v>
      </c>
      <c r="C6" s="19"/>
      <c r="D6" s="18">
        <v>2</v>
      </c>
      <c r="E6" s="19"/>
      <c r="F6" s="18">
        <v>3</v>
      </c>
      <c r="G6" s="19"/>
      <c r="H6" s="18">
        <v>4</v>
      </c>
      <c r="I6" s="226"/>
      <c r="J6" s="18">
        <v>5</v>
      </c>
      <c r="K6" s="19"/>
      <c r="L6" s="18">
        <v>6</v>
      </c>
      <c r="M6" s="226"/>
      <c r="N6" s="135" t="s">
        <v>538</v>
      </c>
      <c r="O6" s="226"/>
      <c r="Q6" s="280" t="s">
        <v>335</v>
      </c>
      <c r="S6" s="267" t="s">
        <v>334</v>
      </c>
    </row>
    <row r="7" spans="1:19">
      <c r="A7" s="16"/>
      <c r="B7" s="7" t="s">
        <v>439</v>
      </c>
      <c r="C7" s="6" t="s">
        <v>530</v>
      </c>
      <c r="D7" s="7" t="s">
        <v>439</v>
      </c>
      <c r="E7" s="6" t="s">
        <v>530</v>
      </c>
      <c r="F7" s="7" t="s">
        <v>439</v>
      </c>
      <c r="G7" s="6" t="s">
        <v>530</v>
      </c>
      <c r="H7" s="7" t="s">
        <v>439</v>
      </c>
      <c r="I7" s="227" t="s">
        <v>530</v>
      </c>
      <c r="J7" s="7" t="s">
        <v>439</v>
      </c>
      <c r="K7" s="6" t="s">
        <v>530</v>
      </c>
      <c r="L7" s="7" t="s">
        <v>439</v>
      </c>
      <c r="M7" s="227" t="s">
        <v>530</v>
      </c>
      <c r="N7" s="136" t="s">
        <v>439</v>
      </c>
      <c r="O7" s="227" t="s">
        <v>530</v>
      </c>
      <c r="Q7" s="280"/>
    </row>
    <row r="8" spans="1:19" s="168" customFormat="1" ht="18" customHeight="1">
      <c r="A8" s="181" t="s">
        <v>559</v>
      </c>
      <c r="B8" s="182">
        <f>+GETPIVOTDATA(" New All Ranks avg",'Averages Pivot Table'!$A$3,"Category",1,"Category2","Four-Year")</f>
        <v>83508.957077602347</v>
      </c>
      <c r="C8" s="182"/>
      <c r="D8" s="182">
        <f>+GETPIVOTDATA(" New All Ranks avg",'Averages Pivot Table'!$A$3,"Category",2,"Category2","Four-Year")</f>
        <v>75881.284717070026</v>
      </c>
      <c r="E8" s="182"/>
      <c r="F8" s="182">
        <f>+GETPIVOTDATA(" New All Ranks avg",'Averages Pivot Table'!$A$3,"Category",3,"Category2","Four-Year")</f>
        <v>63536.789829631882</v>
      </c>
      <c r="G8" s="182"/>
      <c r="H8" s="182">
        <f>+GETPIVOTDATA(" New All Ranks avg",'Averages Pivot Table'!$A$3,"Category",4,"Category2","Four-Year")</f>
        <v>61354.811343531808</v>
      </c>
      <c r="I8" s="255"/>
      <c r="J8" s="182">
        <f>+GETPIVOTDATA(" New All Ranks avg",'Averages Pivot Table'!$A$3,"Category",5,"Category2","Four-Year")</f>
        <v>57874.349344080241</v>
      </c>
      <c r="K8" s="182"/>
      <c r="L8" s="182">
        <f>+GETPIVOTDATA(" New All Ranks avg",'Averages Pivot Table'!$A$3,"Category",6,"Category2","Four-Year")</f>
        <v>57307.543573748415</v>
      </c>
      <c r="M8" s="255"/>
      <c r="N8" s="183">
        <f>+GETPIVOTDATA(" New All Ranks avg",'Averages Pivot Table'!$A$3,"Category2","Four-Year")</f>
        <v>72997.97146246965</v>
      </c>
      <c r="O8" s="228"/>
      <c r="Q8" s="281">
        <f>(N8-S8)/S8</f>
        <v>2.4631089689473532E-2</v>
      </c>
      <c r="R8" s="209" t="s">
        <v>559</v>
      </c>
      <c r="S8" s="184">
        <f>+GETPIVOTDATA(" Old All Ranks avg",'Averages Pivot Table'!$A$3,"Category2","Four-Year")</f>
        <v>71243.174443001277</v>
      </c>
    </row>
    <row r="9" spans="1:19" ht="12.95" customHeight="1">
      <c r="A9" s="8"/>
      <c r="B9" s="9"/>
      <c r="C9" s="9"/>
      <c r="D9" s="9"/>
      <c r="E9" s="9"/>
      <c r="F9" s="9"/>
      <c r="G9" s="9"/>
      <c r="H9" s="9"/>
      <c r="I9" s="234"/>
      <c r="J9" s="9"/>
      <c r="K9" s="9"/>
      <c r="L9" s="9"/>
      <c r="M9" s="245"/>
      <c r="N9" s="75"/>
      <c r="O9" s="201"/>
      <c r="Q9" s="282"/>
      <c r="S9" s="81"/>
    </row>
    <row r="10" spans="1:19" ht="12.95" customHeight="1">
      <c r="A10" s="12" t="s">
        <v>542</v>
      </c>
      <c r="B10" s="140">
        <f>+GETPIVOTDATA(" New All Ranks avg",'Averages Pivot Table'!$A$3,"State","AL","Category",1,"Category2","Four-Year")</f>
        <v>79903.462769987062</v>
      </c>
      <c r="C10" s="141">
        <f>IF(B10&gt;0,(RANK(B10,B$10:B$28)),0)</f>
        <v>8</v>
      </c>
      <c r="D10" s="140">
        <f>+GETPIVOTDATA(" New All Ranks avg",'Averages Pivot Table'!$A$3,"State","AL","Category",2,"Category2","Four-Year")</f>
        <v>74019.012699337749</v>
      </c>
      <c r="E10" s="141">
        <f>IF(D10&gt;0,(RANK(D10,D$10:D$28)),0)</f>
        <v>5</v>
      </c>
      <c r="F10" s="140">
        <f>+GETPIVOTDATA(" New All Ranks avg",'Averages Pivot Table'!$A$3,"State","AL","Category",3,"Category2","Four-Year")</f>
        <v>60577.678552142388</v>
      </c>
      <c r="G10" s="141">
        <f>IF(F10&gt;0,(RANK(F10,F$10:F$28)),0)</f>
        <v>10</v>
      </c>
      <c r="H10" s="140">
        <f>+GETPIVOTDATA(" New All Ranks avg",'Averages Pivot Table'!$A$3,"State","AL","Category",4,"Category2","Four-Year")</f>
        <v>62169.943204538569</v>
      </c>
      <c r="I10" s="229">
        <f>IF(H10&gt;0,(RANK(H10,H$10:H$28)),0)</f>
        <v>7</v>
      </c>
      <c r="J10" s="140">
        <f>+GETPIVOTDATA(" New All Ranks avg",'Averages Pivot Table'!$A$3,"State","AL","Category",5,"Category2","Four-Year")</f>
        <v>56361.513359336095</v>
      </c>
      <c r="K10" s="141">
        <f>IF(J10&gt;0,(RANK(J10,J$10:J$28)),0)</f>
        <v>6</v>
      </c>
      <c r="L10" s="140">
        <f>+GETPIVOTDATA(" New All Ranks avg",'Averages Pivot Table'!$A$3,"State","AL","Category",6,"Category2","Four-Year")</f>
        <v>67948.669619277105</v>
      </c>
      <c r="M10" s="229">
        <f>IF(L10&gt;0,(RANK(L10,L$10:L$28)),0)</f>
        <v>2</v>
      </c>
      <c r="N10" s="138">
        <f>+GETPIVOTDATA(" New All Ranks avg",'Averages Pivot Table'!$A$3,"State","AL","Category2","Four-Year")</f>
        <v>71510.987761160097</v>
      </c>
      <c r="O10" s="229">
        <f>IF(N10&gt;0,(RANK(N10,N$10:N$28)),0)</f>
        <v>8</v>
      </c>
      <c r="Q10" s="282">
        <f>(N10-S10)/S10</f>
        <v>-5.2947066748088873E-3</v>
      </c>
      <c r="R10" s="74" t="s">
        <v>542</v>
      </c>
      <c r="S10" s="81">
        <f>+GETPIVOTDATA(" Old All Ranks avg",'Averages Pivot Table'!$A$3,"State","AL","Category2","Four-Year")</f>
        <v>71891.632869577559</v>
      </c>
    </row>
    <row r="11" spans="1:19" ht="12.95" customHeight="1">
      <c r="A11" s="12" t="s">
        <v>543</v>
      </c>
      <c r="B11" s="140">
        <f>+GETPIVOTDATA(" New All Ranks avg",'Averages Pivot Table'!$A$3,"State","ar","Category",1,"Category2","Four-Year")</f>
        <v>79570.061831009778</v>
      </c>
      <c r="C11" s="141">
        <f>IF(B11&gt;0,(RANK(B11,B$10:B$28)),0)</f>
        <v>9</v>
      </c>
      <c r="D11" s="140">
        <f>+GETPIVOTDATA(" New All Ranks avg",'Averages Pivot Table'!$A$3,"State","ar","Category",2,"Category2","Four-Year")</f>
        <v>0</v>
      </c>
      <c r="E11" s="141">
        <f>IF(D11&gt;0,(RANK(D11,D$10:D$28)),0)</f>
        <v>0</v>
      </c>
      <c r="F11" s="140">
        <f>+GETPIVOTDATA(" New All Ranks avg",'Averages Pivot Table'!$A$3,"State","ar","Category",3,"Category2","Four-Year")</f>
        <v>59366.51009589871</v>
      </c>
      <c r="G11" s="141">
        <f>IF(F11&gt;0,(RANK(F11,F$10:F$28)),0)</f>
        <v>11</v>
      </c>
      <c r="H11" s="140">
        <f>+GETPIVOTDATA(" New All Ranks avg",'Averages Pivot Table'!$A$3,"State","ar","Category",4,"Category2","Four-Year")</f>
        <v>52446.526155053922</v>
      </c>
      <c r="I11" s="229">
        <f>IF(H11&gt;0,(RANK(H11,H$10:H$28)),0)</f>
        <v>14</v>
      </c>
      <c r="J11" s="140">
        <f>+GETPIVOTDATA(" New All Ranks avg",'Averages Pivot Table'!$A$3,"State","ar","Category",5,"Category2","Four-Year")</f>
        <v>48834.279676994731</v>
      </c>
      <c r="K11" s="141">
        <f>IF(J11&gt;0,(RANK(J11,J$10:J$28)),0)</f>
        <v>12</v>
      </c>
      <c r="L11" s="140">
        <f>+GETPIVOTDATA(" New All Ranks avg",'Averages Pivot Table'!$A$3,"State","ar","Category",6,"Category2","Four-Year")</f>
        <v>51526.994595564189</v>
      </c>
      <c r="M11" s="229">
        <f>IF(L11&gt;0,(RANK(L11,L$10:L$28)),0)</f>
        <v>10</v>
      </c>
      <c r="N11" s="138">
        <f>+GETPIVOTDATA(" New All Ranks avg",'Averages Pivot Table'!$A$3,"State","ar","Category2","Four-Year")</f>
        <v>61635.631712850925</v>
      </c>
      <c r="O11" s="229">
        <f>IF(N11&gt;0,(RANK(N11,N$10:N$28)),0)</f>
        <v>16</v>
      </c>
      <c r="Q11" s="282">
        <f>(N11-S11)/S11</f>
        <v>2.4939216330902594E-2</v>
      </c>
      <c r="R11" s="74" t="s">
        <v>543</v>
      </c>
      <c r="S11" s="81">
        <f>+GETPIVOTDATA(" Old All Ranks avg",'Averages Pivot Table'!$A$3,"State","AR","Category2","Four-Year")</f>
        <v>60135.889749145674</v>
      </c>
    </row>
    <row r="12" spans="1:19" ht="12.95" customHeight="1">
      <c r="A12" s="12" t="s">
        <v>558</v>
      </c>
      <c r="B12" s="140">
        <f>+GETPIVOTDATA(" New All Ranks avg",'Averages Pivot Table'!$A$3,"State","DE","Category",1,"Category2","Four-Year")</f>
        <v>94492.73243903312</v>
      </c>
      <c r="C12" s="141">
        <f>IF(B12&gt;0,(RANK(B12,B$10:B$28)),0)</f>
        <v>3</v>
      </c>
      <c r="D12" s="140">
        <f>+GETPIVOTDATA(" New All Ranks avg",'Averages Pivot Table'!$A$3,"State","DE","Category",2,"Category2","Four-Year")</f>
        <v>0</v>
      </c>
      <c r="E12" s="141">
        <f>IF(D12&gt;0,(RANK(D12,D$10:D$28)),0)</f>
        <v>0</v>
      </c>
      <c r="F12" s="140">
        <f>+GETPIVOTDATA(" New All Ranks avg",'Averages Pivot Table'!$A$3,"State","DE","Category",3,"Category2","Four-Year")</f>
        <v>0</v>
      </c>
      <c r="G12" s="141">
        <f>IF(F12&gt;0,(RANK(F12,F$10:F$28)),0)</f>
        <v>0</v>
      </c>
      <c r="H12" s="140">
        <f>+GETPIVOTDATA(" New All Ranks avg",'Averages Pivot Table'!$A$3,"State","DE","Category",4,"Category2","Four-Year")</f>
        <v>64361.428868393785</v>
      </c>
      <c r="I12" s="229">
        <f>IF(H12&gt;0,(RANK(H12,H$10:H$28)),0)</f>
        <v>6</v>
      </c>
      <c r="J12" s="140">
        <f>+GETPIVOTDATA(" New All Ranks avg",'Averages Pivot Table'!$A$3,"State","DE","Category",5,"Category2","Four-Year")</f>
        <v>0</v>
      </c>
      <c r="K12" s="141">
        <f>IF(J12&gt;0,(RANK(J12,J$10:J$28)),0)</f>
        <v>0</v>
      </c>
      <c r="L12" s="140">
        <f>+GETPIVOTDATA(" New All Ranks avg",'Averages Pivot Table'!$A$3,"State","DE","Category",6,"Category2","Four-Year")</f>
        <v>0</v>
      </c>
      <c r="M12" s="229">
        <f>IF(L12&gt;0,(RANK(L12,L$10:L$28)),0)</f>
        <v>0</v>
      </c>
      <c r="N12" s="138">
        <f>+GETPIVOTDATA(" New All Ranks avg",'Averages Pivot Table'!$A$3,"State","DE","Category2","Four-Year")</f>
        <v>90053.540386259541</v>
      </c>
      <c r="O12" s="229">
        <f>IF(N12&gt;0,(RANK(N12,N$10:N$28)),0)</f>
        <v>1</v>
      </c>
      <c r="Q12" s="282">
        <f>(N12-S12)/S12</f>
        <v>4.0281531289455927E-2</v>
      </c>
      <c r="R12" s="74" t="s">
        <v>558</v>
      </c>
      <c r="S12" s="81">
        <f>+GETPIVOTDATA(" Old All Ranks avg",'Averages Pivot Table'!$A$3,"State","DE","Category2","Four-Year")</f>
        <v>86566.508851345119</v>
      </c>
    </row>
    <row r="13" spans="1:19" ht="12.95" customHeight="1">
      <c r="A13" s="12" t="s">
        <v>544</v>
      </c>
      <c r="B13" s="140">
        <f>+GETPIVOTDATA(" New All Ranks avg",'Averages Pivot Table'!$A$3,"State","FL","Category",1,"Category2","Four-Year")</f>
        <v>78879.211393297155</v>
      </c>
      <c r="C13" s="141">
        <f>IF(B13&gt;0,(RANK(B13,B$10:B$28)),0)</f>
        <v>11</v>
      </c>
      <c r="D13" s="140">
        <f>+GETPIVOTDATA(" New All Ranks avg",'Averages Pivot Table'!$A$3,"State","FL","Category",2,"Category2","Four-Year")</f>
        <v>72372.082124589957</v>
      </c>
      <c r="E13" s="141">
        <f>IF(D13&gt;0,(RANK(D13,D$10:D$28)),0)</f>
        <v>6</v>
      </c>
      <c r="F13" s="140">
        <f>+GETPIVOTDATA(" New All Ranks avg",'Averages Pivot Table'!$A$3,"State","FL","Category",3,"Category2","Four-Year")</f>
        <v>65796.983528526922</v>
      </c>
      <c r="G13" s="141">
        <f>IF(F13&gt;0,(RANK(F13,F$10:F$28)),0)</f>
        <v>3</v>
      </c>
      <c r="H13" s="140">
        <f>+GETPIVOTDATA(" New All Ranks avg",'Averages Pivot Table'!$A$3,"State","FL","Category",4,"Category2","Four-Year")</f>
        <v>67608.750789487531</v>
      </c>
      <c r="I13" s="229">
        <f>IF(H13&gt;0,(RANK(H13,H$10:H$28)),0)</f>
        <v>3</v>
      </c>
      <c r="J13" s="140">
        <f>+GETPIVOTDATA(" New All Ranks avg",'Averages Pivot Table'!$A$3,"State","FL","Category",5,"Category2","Four-Year")</f>
        <v>0</v>
      </c>
      <c r="K13" s="141">
        <f>IF(J13&gt;0,(RANK(J13,J$10:J$28)),0)</f>
        <v>0</v>
      </c>
      <c r="L13" s="140">
        <f>+GETPIVOTDATA(" New All Ranks avg",'Averages Pivot Table'!$A$3,"State","FL","Category",6,"Category2","Four-Year")</f>
        <v>66210.791780821921</v>
      </c>
      <c r="M13" s="229">
        <f>IF(L13&gt;0,(RANK(L13,L$10:L$28)),0)</f>
        <v>3</v>
      </c>
      <c r="N13" s="138">
        <f>+GETPIVOTDATA(" New All Ranks avg",'Averages Pivot Table'!$A$3,"State","FL","Category2","Four-Year")</f>
        <v>74943.29783852234</v>
      </c>
      <c r="O13" s="229">
        <f>IF(N13&gt;0,(RANK(N13,N$10:N$28)),0)</f>
        <v>5</v>
      </c>
      <c r="Q13" s="282">
        <f>(N13-S13)/S13</f>
        <v>1.4366443077101946E-2</v>
      </c>
      <c r="R13" s="74" t="s">
        <v>544</v>
      </c>
      <c r="S13" s="81">
        <f>+GETPIVOTDATA(" Old All Ranks avg",'Averages Pivot Table'!$A$3,"State","FL","Category2","Four-Year")</f>
        <v>73881.878043185527</v>
      </c>
    </row>
    <row r="14" spans="1:19" ht="12.95" customHeight="1">
      <c r="A14" s="12"/>
      <c r="B14" s="140"/>
      <c r="C14" s="141"/>
      <c r="D14" s="140"/>
      <c r="E14" s="141"/>
      <c r="F14" s="140"/>
      <c r="G14" s="141"/>
      <c r="H14" s="140"/>
      <c r="I14" s="229"/>
      <c r="J14" s="140"/>
      <c r="K14" s="141"/>
      <c r="L14" s="140"/>
      <c r="M14" s="229"/>
      <c r="N14" s="138"/>
      <c r="O14" s="229"/>
      <c r="Q14" s="282"/>
      <c r="S14" s="81"/>
    </row>
    <row r="15" spans="1:19" ht="12.95" customHeight="1">
      <c r="A15" s="12" t="s">
        <v>545</v>
      </c>
      <c r="B15" s="140">
        <f>+GETPIVOTDATA(" New All Ranks avg",'Averages Pivot Table'!$A$3,"State","GA","Category",1,"Category2","Four-Year")</f>
        <v>80930.748696721901</v>
      </c>
      <c r="C15" s="141">
        <f>IF(B15&gt;0,(RANK(B15,B$10:B$28)),0)</f>
        <v>6</v>
      </c>
      <c r="D15" s="140">
        <f>+GETPIVOTDATA(" New All Ranks avg",'Averages Pivot Table'!$A$3,"State","GA","Category",2,"Category2","Four-Year")</f>
        <v>120352.83310812568</v>
      </c>
      <c r="E15" s="141">
        <f>IF(D15&gt;0,(RANK(D15,D$10:D$28)),0)</f>
        <v>1</v>
      </c>
      <c r="F15" s="140">
        <f>+GETPIVOTDATA(" New All Ranks avg",'Averages Pivot Table'!$A$3,"State","GA","Category",3,"Category2","Four-Year")</f>
        <v>59009.463031904168</v>
      </c>
      <c r="G15" s="141">
        <f>IF(F15&gt;0,(RANK(F15,F$10:F$28)),0)</f>
        <v>12</v>
      </c>
      <c r="H15" s="140">
        <f>+GETPIVOTDATA(" New All Ranks avg",'Averages Pivot Table'!$A$3,"State","GA","Category",4,"Category2","Four-Year")</f>
        <v>60173.025398705497</v>
      </c>
      <c r="I15" s="229">
        <f>IF(H15&gt;0,(RANK(H15,H$10:H$28)),0)</f>
        <v>9</v>
      </c>
      <c r="J15" s="140">
        <f>+GETPIVOTDATA(" New All Ranks avg",'Averages Pivot Table'!$A$3,"State","GA","Category",5,"Category2","Four-Year")</f>
        <v>56829.817737468358</v>
      </c>
      <c r="K15" s="141">
        <f>IF(J15&gt;0,(RANK(J15,J$10:J$28)),0)</f>
        <v>5</v>
      </c>
      <c r="L15" s="140">
        <f>+GETPIVOTDATA(" New All Ranks avg",'Averages Pivot Table'!$A$3,"State","GA","Category",6,"Category2","Four-Year")</f>
        <v>55824.260920942404</v>
      </c>
      <c r="M15" s="229">
        <f>IF(L15&gt;0,(RANK(L15,L$10:L$28)),0)</f>
        <v>7</v>
      </c>
      <c r="N15" s="138">
        <f>+GETPIVOTDATA(" New All Ranks avg",'Averages Pivot Table'!$A$3,"State","GA","Category2","Four-Year")</f>
        <v>73603.243867716752</v>
      </c>
      <c r="O15" s="229">
        <f>IF(N15&gt;0,(RANK(N15,N$10:N$28)),0)</f>
        <v>7</v>
      </c>
      <c r="Q15" s="282">
        <f>(N15-S15)/S15</f>
        <v>4.5072638119674803E-2</v>
      </c>
      <c r="R15" s="74" t="s">
        <v>545</v>
      </c>
      <c r="S15" s="81">
        <f>+GETPIVOTDATA(" Old All Ranks avg",'Averages Pivot Table'!$A$3,"State","GA","Category2","Four-Year")</f>
        <v>70428.830669747374</v>
      </c>
    </row>
    <row r="16" spans="1:19" ht="12.95" customHeight="1">
      <c r="A16" s="12" t="s">
        <v>546</v>
      </c>
      <c r="B16" s="140">
        <f>+GETPIVOTDATA(" New All Ranks avg",'Averages Pivot Table'!$A$3,"State","KY","Category",1,"Category2","Four-Year")</f>
        <v>79459.972902040812</v>
      </c>
      <c r="C16" s="141">
        <f>IF(B16&gt;0,(RANK(B16,B$10:B$28)),0)</f>
        <v>10</v>
      </c>
      <c r="D16" s="140">
        <f>+GETPIVOTDATA(" New All Ranks avg",'Averages Pivot Table'!$A$3,"State","KY","Category",2,"Category2","Four-Year")</f>
        <v>0</v>
      </c>
      <c r="E16" s="141">
        <f>IF(D16&gt;0,(RANK(D16,D$10:D$28)),0)</f>
        <v>0</v>
      </c>
      <c r="F16" s="140">
        <f>+GETPIVOTDATA(" New All Ranks avg",'Averages Pivot Table'!$A$3,"State","KY","Category",3,"Category2","Four-Year")</f>
        <v>60595.752267123287</v>
      </c>
      <c r="G16" s="141">
        <f>IF(F16&gt;0,(RANK(F16,F$10:F$28)),0)</f>
        <v>9</v>
      </c>
      <c r="H16" s="140">
        <f>+GETPIVOTDATA(" New All Ranks avg",'Averages Pivot Table'!$A$3,"State","KY","Category",4,"Category2","Four-Year")</f>
        <v>60231.566644911494</v>
      </c>
      <c r="I16" s="229">
        <f>IF(H16&gt;0,(RANK(H16,H$10:H$28)),0)</f>
        <v>8</v>
      </c>
      <c r="J16" s="140">
        <f>+GETPIVOTDATA(" New All Ranks avg",'Averages Pivot Table'!$A$3,"State","KY","Category",5,"Category2","Four-Year")</f>
        <v>55933.054653435123</v>
      </c>
      <c r="K16" s="141">
        <f>IF(J16&gt;0,(RANK(J16,J$10:J$28)),0)</f>
        <v>7</v>
      </c>
      <c r="L16" s="140">
        <f>+GETPIVOTDATA(" New All Ranks avg",'Averages Pivot Table'!$A$3,"State","KY","Category",6,"Category2","Four-Year")</f>
        <v>0</v>
      </c>
      <c r="M16" s="229">
        <f>IF(L16&gt;0,(RANK(L16,L$10:L$28)),0)</f>
        <v>0</v>
      </c>
      <c r="N16" s="138">
        <f>+GETPIVOTDATA(" New All Ranks avg",'Averages Pivot Table'!$A$3,"State","KY","Category2","Four-Year")</f>
        <v>68525.232383163049</v>
      </c>
      <c r="O16" s="229">
        <f>IF(N16&gt;0,(RANK(N16,N$10:N$28)),0)</f>
        <v>10</v>
      </c>
      <c r="Q16" s="282">
        <f>(N16-S16)/S16</f>
        <v>1.4385704952840897E-2</v>
      </c>
      <c r="R16" s="74" t="s">
        <v>546</v>
      </c>
      <c r="S16" s="81">
        <f>+GETPIVOTDATA(" Old All Ranks avg",'Averages Pivot Table'!$A$3,"State","KY","Category2","Four-Year")</f>
        <v>67553.428689483364</v>
      </c>
    </row>
    <row r="17" spans="1:19" ht="12.95" customHeight="1">
      <c r="A17" s="12" t="s">
        <v>547</v>
      </c>
      <c r="B17" s="140">
        <f>+GETPIVOTDATA(" New All Ranks avg",'Averages Pivot Table'!$A$3,"State","LA","Category",1,"Category2","Four-Year")</f>
        <v>80060.134762850634</v>
      </c>
      <c r="C17" s="141">
        <f>IF(B17&gt;0,(RANK(B17,B$10:B$28)),0)</f>
        <v>7</v>
      </c>
      <c r="D17" s="140">
        <f>+GETPIVOTDATA(" New All Ranks avg",'Averages Pivot Table'!$A$3,"State","LA","Category",2,"Category2","Four-Year")</f>
        <v>66733.624907008096</v>
      </c>
      <c r="E17" s="141">
        <f>IF(D17&gt;0,(RANK(D17,D$10:D$28)),0)</f>
        <v>9</v>
      </c>
      <c r="F17" s="140">
        <f>+GETPIVOTDATA(" New All Ranks avg",'Averages Pivot Table'!$A$3,"State","LA","Category",3,"Category2","Four-Year")</f>
        <v>58445.01648242856</v>
      </c>
      <c r="G17" s="141">
        <f>IF(F17&gt;0,(RANK(F17,F$10:F$28)),0)</f>
        <v>13</v>
      </c>
      <c r="H17" s="140">
        <f>+GETPIVOTDATA(" New All Ranks avg",'Averages Pivot Table'!$A$3,"State","LA","Category",4,"Category2","Four-Year")</f>
        <v>55488.041020073804</v>
      </c>
      <c r="I17" s="229">
        <f>IF(H17&gt;0,(RANK(H17,H$10:H$28)),0)</f>
        <v>12</v>
      </c>
      <c r="J17" s="140">
        <f>+GETPIVOTDATA(" New All Ranks avg",'Averages Pivot Table'!$A$3,"State","LA","Category",5,"Category2","Four-Year")</f>
        <v>51474.082905050505</v>
      </c>
      <c r="K17" s="141">
        <f>IF(J17&gt;0,(RANK(J17,J$10:J$28)),0)</f>
        <v>10</v>
      </c>
      <c r="L17" s="140">
        <f>+GETPIVOTDATA(" New All Ranks avg",'Averages Pivot Table'!$A$3,"State","LA","Category",6,"Category2","Four-Year")</f>
        <v>0</v>
      </c>
      <c r="M17" s="229">
        <f>IF(L17&gt;0,(RANK(L17,L$10:L$28)),0)</f>
        <v>0</v>
      </c>
      <c r="N17" s="138">
        <f>+GETPIVOTDATA(" New All Ranks avg",'Averages Pivot Table'!$A$3,"State","LA","Category2","Four-Year")</f>
        <v>64828.932292628597</v>
      </c>
      <c r="O17" s="229">
        <f>IF(N17&gt;0,(RANK(N17,N$10:N$28)),0)</f>
        <v>14</v>
      </c>
      <c r="Q17" s="282">
        <f>(N17-S17)/S17</f>
        <v>2.7637238812086653E-2</v>
      </c>
      <c r="R17" s="74" t="s">
        <v>547</v>
      </c>
      <c r="S17" s="81">
        <f>+GETPIVOTDATA(" Old All Ranks avg",'Averages Pivot Table'!$A$3,"State","LA","Category2","Four-Year")</f>
        <v>63085.425327296056</v>
      </c>
    </row>
    <row r="18" spans="1:19" ht="12.95" customHeight="1">
      <c r="A18" s="12" t="s">
        <v>548</v>
      </c>
      <c r="B18" s="140">
        <f>+GETPIVOTDATA(" New All Ranks avg",'Averages Pivot Table'!$A$3,"State","MD","Category",1,"Category2","Four-Year")</f>
        <v>102048.27294238734</v>
      </c>
      <c r="C18" s="141">
        <f>IF(B18&gt;0,(RANK(B18,B$10:B$28)),0)</f>
        <v>1</v>
      </c>
      <c r="D18" s="140">
        <f>+GETPIVOTDATA(" New All Ranks avg",'Averages Pivot Table'!$A$3,"State","MD","Category",2,"Category2","Four-Year")</f>
        <v>82458.471436024847</v>
      </c>
      <c r="E18" s="141">
        <f>IF(D18&gt;0,(RANK(D18,D$10:D$28)),0)</f>
        <v>2</v>
      </c>
      <c r="F18" s="140">
        <f>+GETPIVOTDATA(" New All Ranks avg",'Averages Pivot Table'!$A$3,"State","MD","Category",3,"Category2","Four-Year")</f>
        <v>65546.551876307174</v>
      </c>
      <c r="G18" s="141">
        <f>IF(F18&gt;0,(RANK(F18,F$10:F$28)),0)</f>
        <v>4</v>
      </c>
      <c r="H18" s="140">
        <f>+GETPIVOTDATA(" New All Ranks avg",'Averages Pivot Table'!$A$3,"State","MD","Category",4,"Category2","Four-Year")</f>
        <v>69560.081523122688</v>
      </c>
      <c r="I18" s="229">
        <f>IF(H18&gt;0,(RANK(H18,H$10:H$28)),0)</f>
        <v>1</v>
      </c>
      <c r="J18" s="140">
        <f>+GETPIVOTDATA(" New All Ranks avg",'Averages Pivot Table'!$A$3,"State","MD","Category",5,"Category2","Four-Year")</f>
        <v>0</v>
      </c>
      <c r="K18" s="141">
        <f>IF(J18&gt;0,(RANK(J18,J$10:J$28)),0)</f>
        <v>0</v>
      </c>
      <c r="L18" s="140">
        <f>+GETPIVOTDATA(" New All Ranks avg",'Averages Pivot Table'!$A$3,"State","MD","Category",6,"Category2","Four-Year")</f>
        <v>63229.967532467534</v>
      </c>
      <c r="M18" s="229">
        <f>IF(L18&gt;0,(RANK(L18,L$10:L$28)),0)</f>
        <v>4</v>
      </c>
      <c r="N18" s="138">
        <f>+GETPIVOTDATA(" New All Ranks avg",'Averages Pivot Table'!$A$3,"State","MD","Category2","Four-Year")</f>
        <v>80634.366753341586</v>
      </c>
      <c r="O18" s="229">
        <f>IF(N18&gt;0,(RANK(N18,N$10:N$28)),0)</f>
        <v>2</v>
      </c>
      <c r="Q18" s="282">
        <f>(N18-S18)/S18</f>
        <v>4.3831997718208129E-2</v>
      </c>
      <c r="R18" s="74" t="s">
        <v>548</v>
      </c>
      <c r="S18" s="81">
        <f>+GETPIVOTDATA(" Old All Ranks avg",'Averages Pivot Table'!$A$3,"State","MD","Category2","Four-Year")</f>
        <v>77248.414428381569</v>
      </c>
    </row>
    <row r="19" spans="1:19" ht="12.95" customHeight="1">
      <c r="A19" s="12"/>
      <c r="B19" s="140"/>
      <c r="C19" s="141"/>
      <c r="D19" s="140"/>
      <c r="E19" s="141"/>
      <c r="F19" s="140"/>
      <c r="G19" s="141"/>
      <c r="H19" s="140"/>
      <c r="I19" s="229"/>
      <c r="J19" s="140"/>
      <c r="K19" s="141"/>
      <c r="L19" s="140"/>
      <c r="M19" s="229"/>
      <c r="N19" s="138"/>
      <c r="O19" s="229"/>
      <c r="Q19" s="282"/>
      <c r="S19" s="81"/>
    </row>
    <row r="20" spans="1:19" ht="12.95" customHeight="1">
      <c r="A20" s="12" t="s">
        <v>549</v>
      </c>
      <c r="B20" s="140">
        <f>+GETPIVOTDATA(" New All Ranks avg",'Averages Pivot Table'!$A$3,"State","MS","Category",1,"Category2","Four-Year")</f>
        <v>64663.976787852211</v>
      </c>
      <c r="C20" s="141">
        <f>IF(B20&gt;0,(RANK(B20,B$10:B$28)),0)</f>
        <v>16</v>
      </c>
      <c r="D20" s="140">
        <f>+GETPIVOTDATA(" New All Ranks avg",'Averages Pivot Table'!$A$3,"State","MS","Category",2,"Category2","Four-Year")</f>
        <v>66748.547330019122</v>
      </c>
      <c r="E20" s="141">
        <f>IF(D20&gt;0,(RANK(D20,D$10:D$28)),0)</f>
        <v>8</v>
      </c>
      <c r="F20" s="140">
        <f>+GETPIVOTDATA(" New All Ranks avg",'Averages Pivot Table'!$A$3,"State","MS","Category",3,"Category2","Four-Year")</f>
        <v>0</v>
      </c>
      <c r="G20" s="141">
        <f>IF(F20&gt;0,(RANK(F20,F$10:F$28)),0)</f>
        <v>0</v>
      </c>
      <c r="H20" s="140">
        <f>+GETPIVOTDATA(" New All Ranks avg",'Averages Pivot Table'!$A$3,"State","MS","Category",4,"Category2","Four-Year")</f>
        <v>52702.439513351492</v>
      </c>
      <c r="I20" s="229">
        <f>IF(H20&gt;0,(RANK(H20,H$10:H$28)),0)</f>
        <v>13</v>
      </c>
      <c r="J20" s="140">
        <f>+GETPIVOTDATA(" New All Ranks avg",'Averages Pivot Table'!$A$3,"State","MS","Category",5,"Category2","Four-Year")</f>
        <v>49992.754531868137</v>
      </c>
      <c r="K20" s="141">
        <f>IF(J20&gt;0,(RANK(J20,J$10:J$28)),0)</f>
        <v>11</v>
      </c>
      <c r="L20" s="140">
        <f>+GETPIVOTDATA(" New All Ranks avg",'Averages Pivot Table'!$A$3,"State","MS","Category",6,"Category2","Four-Year")</f>
        <v>0</v>
      </c>
      <c r="M20" s="229">
        <f>IF(L20&gt;0,(RANK(L20,L$10:L$28)),0)</f>
        <v>0</v>
      </c>
      <c r="N20" s="138">
        <f>+GETPIVOTDATA(" New All Ranks avg",'Averages Pivot Table'!$A$3,"State","MS","Category2","Four-Year")</f>
        <v>62770.992606152904</v>
      </c>
      <c r="O20" s="229">
        <f>IF(N20&gt;0,(RANK(N20,N$10:N$28)),0)</f>
        <v>15</v>
      </c>
      <c r="Q20" s="282">
        <f>(N20-S20)/S20</f>
        <v>1.8838327348727009E-3</v>
      </c>
      <c r="R20" s="74" t="s">
        <v>549</v>
      </c>
      <c r="S20" s="81">
        <f>+GETPIVOTDATA(" Old All Ranks avg",'Averages Pivot Table'!$A$3,"State","MS","Category2","Four-Year")</f>
        <v>62652.964899937571</v>
      </c>
    </row>
    <row r="21" spans="1:19" ht="12.95" customHeight="1">
      <c r="A21" s="12" t="s">
        <v>550</v>
      </c>
      <c r="B21" s="140">
        <f>+GETPIVOTDATA(" New All Ranks avg",'Averages Pivot Table'!$A$3,"State","NC","Category",1,"Category2","Four-Year")</f>
        <v>96297.212003087872</v>
      </c>
      <c r="C21" s="141">
        <f>IF(B21&gt;0,(RANK(B21,B$10:B$28)),0)</f>
        <v>2</v>
      </c>
      <c r="D21" s="140">
        <f>+GETPIVOTDATA(" New All Ranks avg",'Averages Pivot Table'!$A$3,"State","NC","Category",2,"Category2","Four-Year")</f>
        <v>75067.759831465766</v>
      </c>
      <c r="E21" s="141">
        <f>IF(D21&gt;0,(RANK(D21,D$10:D$28)),0)</f>
        <v>4</v>
      </c>
      <c r="F21" s="140">
        <f>+GETPIVOTDATA(" New All Ranks avg",'Averages Pivot Table'!$A$3,"State","NC","Category",3,"Category2","Four-Year")</f>
        <v>70810.303668675624</v>
      </c>
      <c r="G21" s="141">
        <f>IF(F21&gt;0,(RANK(F21,F$10:F$28)),0)</f>
        <v>1</v>
      </c>
      <c r="H21" s="140">
        <f>+GETPIVOTDATA(" New All Ranks avg",'Averages Pivot Table'!$A$3,"State","NC","Category",4,"Category2","Four-Year")</f>
        <v>67612.353205882348</v>
      </c>
      <c r="I21" s="229">
        <f>IF(H21&gt;0,(RANK(H21,H$10:H$28)),0)</f>
        <v>2</v>
      </c>
      <c r="J21" s="140">
        <f>+GETPIVOTDATA(" New All Ranks avg",'Averages Pivot Table'!$A$3,"State","NC","Category",5,"Category2","Four-Year")</f>
        <v>67238.751875357717</v>
      </c>
      <c r="K21" s="141">
        <f>IF(J21&gt;0,(RANK(J21,J$10:J$28)),0)</f>
        <v>1</v>
      </c>
      <c r="L21" s="140">
        <f>+GETPIVOTDATA(" New All Ranks avg",'Averages Pivot Table'!$A$3,"State","NC","Category",6,"Category2","Four-Year")</f>
        <v>68183.113333695655</v>
      </c>
      <c r="M21" s="229">
        <f>IF(L21&gt;0,(RANK(L21,L$10:L$28)),0)</f>
        <v>1</v>
      </c>
      <c r="N21" s="138">
        <f>+GETPIVOTDATA(" New All Ranks avg",'Averages Pivot Table'!$A$3,"State","NC","Category2","Four-Year")</f>
        <v>79395.164297063646</v>
      </c>
      <c r="O21" s="229">
        <f>IF(N21&gt;0,(RANK(N21,N$10:N$28)),0)</f>
        <v>4</v>
      </c>
      <c r="Q21" s="282">
        <f>(N21-S21)/S21</f>
        <v>3.4591413904113716E-2</v>
      </c>
      <c r="R21" s="74" t="s">
        <v>550</v>
      </c>
      <c r="S21" s="81">
        <f>+GETPIVOTDATA(" Old All Ranks avg",'Averages Pivot Table'!$A$3,"State","NC","Category2","Four-Year")</f>
        <v>76740.598491398283</v>
      </c>
    </row>
    <row r="22" spans="1:19" ht="12.95" customHeight="1">
      <c r="A22" s="12" t="s">
        <v>551</v>
      </c>
      <c r="B22" s="140">
        <f>+GETPIVOTDATA(" New All Ranks avg",'Averages Pivot Table'!$A$3,"State","OK","Category",1,"Category2","Four-Year")</f>
        <v>77300.801346456676</v>
      </c>
      <c r="C22" s="141">
        <f>IF(B22&gt;0,(RANK(B22,B$10:B$28)),0)</f>
        <v>13</v>
      </c>
      <c r="D22" s="140">
        <f>+GETPIVOTDATA(" New All Ranks avg",'Averages Pivot Table'!$A$3,"State","OK","Category",2,"Category2","Four-Year")</f>
        <v>0</v>
      </c>
      <c r="E22" s="141">
        <f>IF(D22&gt;0,(RANK(D22,D$10:D$28)),0)</f>
        <v>0</v>
      </c>
      <c r="F22" s="140">
        <f>+GETPIVOTDATA(" New All Ranks avg",'Averages Pivot Table'!$A$3,"State","OK","Category",3,"Category2","Four-Year")</f>
        <v>58214.142552631587</v>
      </c>
      <c r="G22" s="141">
        <f>IF(F22&gt;0,(RANK(F22,F$10:F$28)),0)</f>
        <v>14</v>
      </c>
      <c r="H22" s="140">
        <f>+GETPIVOTDATA(" New All Ranks avg",'Averages Pivot Table'!$A$3,"State","OK","Category",4,"Category2","Four-Year")</f>
        <v>0</v>
      </c>
      <c r="I22" s="229">
        <f>IF(H22&gt;0,(RANK(H22,H$10:H$28)),0)</f>
        <v>0</v>
      </c>
      <c r="J22" s="140">
        <f>+GETPIVOTDATA(" New All Ranks avg",'Averages Pivot Table'!$A$3,"State","OK","Category",5,"Category2","Four-Year")</f>
        <v>54049.901786951625</v>
      </c>
      <c r="K22" s="141">
        <f>IF(J22&gt;0,(RANK(J22,J$10:J$28)),0)</f>
        <v>9</v>
      </c>
      <c r="L22" s="140">
        <f>+GETPIVOTDATA(" New All Ranks avg",'Averages Pivot Table'!$A$3,"State","OK","Category",6,"Category2","Four-Year")</f>
        <v>48610.111161025641</v>
      </c>
      <c r="M22" s="229">
        <f>IF(L22&gt;0,(RANK(L22,L$10:L$28)),0)</f>
        <v>11</v>
      </c>
      <c r="N22" s="138">
        <f>+GETPIVOTDATA(" New All Ranks avg",'Averages Pivot Table'!$A$3,"State","OK","Category2","Four-Year")</f>
        <v>66782.071992002078</v>
      </c>
      <c r="O22" s="229">
        <f>IF(N22&gt;0,(RANK(N22,N$10:N$28)),0)</f>
        <v>11</v>
      </c>
      <c r="Q22" s="282">
        <f>(N22-S22)/S22</f>
        <v>3.101169971451876E-2</v>
      </c>
      <c r="R22" s="74" t="s">
        <v>551</v>
      </c>
      <c r="S22" s="81">
        <f>+GETPIVOTDATA(" Old All Ranks avg",'Averages Pivot Table'!$A$3,"State","OK","Category2","Four-Year")</f>
        <v>64773.340603694072</v>
      </c>
    </row>
    <row r="23" spans="1:19" ht="12.95" customHeight="1">
      <c r="A23" s="12" t="s">
        <v>552</v>
      </c>
      <c r="B23" s="140">
        <f>+GETPIVOTDATA(" New All Ranks avg",'Averages Pivot Table'!$A$3,"State","SC","Category",1,"Category2","Four-Year")</f>
        <v>77928.518286013088</v>
      </c>
      <c r="C23" s="141">
        <f>IF(B23&gt;0,(RANK(B23,B$10:B$28)),0)</f>
        <v>12</v>
      </c>
      <c r="D23" s="140">
        <f>+GETPIVOTDATA(" New All Ranks avg",'Averages Pivot Table'!$A$3,"State","SC","Category",2,"Category2","Four-Year")</f>
        <v>0</v>
      </c>
      <c r="E23" s="141">
        <f>IF(D23&gt;0,(RANK(D23,D$10:D$28)),0)</f>
        <v>0</v>
      </c>
      <c r="F23" s="140">
        <f>+GETPIVOTDATA(" New All Ranks avg",'Averages Pivot Table'!$A$3,"State","SC","Category",3,"Category2","Four-Year")</f>
        <v>63308.715685356699</v>
      </c>
      <c r="G23" s="141">
        <f>IF(F23&gt;0,(RANK(F23,F$10:F$28)),0)</f>
        <v>6</v>
      </c>
      <c r="H23" s="140">
        <f>+GETPIVOTDATA(" New All Ranks avg",'Averages Pivot Table'!$A$3,"State","SC","Category",4,"Category2","Four-Year")</f>
        <v>66964.1959699422</v>
      </c>
      <c r="I23" s="229">
        <f>IF(H23&gt;0,(RANK(H23,H$10:H$28)),0)</f>
        <v>4</v>
      </c>
      <c r="J23" s="140">
        <f>+GETPIVOTDATA(" New All Ranks avg",'Averages Pivot Table'!$A$3,"State","SC","Category",5,"Category2","Four-Year")</f>
        <v>58264.744280373823</v>
      </c>
      <c r="K23" s="141">
        <f>IF(J23&gt;0,(RANK(J23,J$10:J$28)),0)</f>
        <v>4</v>
      </c>
      <c r="L23" s="140">
        <f>+GETPIVOTDATA(" New All Ranks avg",'Averages Pivot Table'!$A$3,"State","SC","Category",6,"Category2","Four-Year")</f>
        <v>55216.08050027398</v>
      </c>
      <c r="M23" s="229">
        <f>IF(L23&gt;0,(RANK(L23,L$10:L$28)),0)</f>
        <v>9</v>
      </c>
      <c r="N23" s="138">
        <f>+GETPIVOTDATA(" New All Ranks avg",'Averages Pivot Table'!$A$3,"State","SC","Category2","Four-Year")</f>
        <v>69305.461160516934</v>
      </c>
      <c r="O23" s="229">
        <f>IF(N23&gt;0,(RANK(N23,N$10:N$28)),0)</f>
        <v>9</v>
      </c>
      <c r="Q23" s="282">
        <f>(N23-S23)/S23</f>
        <v>8.1894901167045425E-3</v>
      </c>
      <c r="R23" s="74" t="s">
        <v>552</v>
      </c>
      <c r="S23" s="81">
        <f>+GETPIVOTDATA(" Old All Ranks avg",'Averages Pivot Table'!$A$3,"State","SC","Category2","Four-Year")</f>
        <v>68742.495175678108</v>
      </c>
    </row>
    <row r="24" spans="1:19" ht="12.95" customHeight="1">
      <c r="A24" s="12"/>
      <c r="B24" s="140"/>
      <c r="C24" s="141"/>
      <c r="D24" s="140"/>
      <c r="E24" s="141"/>
      <c r="F24" s="140"/>
      <c r="G24" s="141"/>
      <c r="H24" s="140"/>
      <c r="I24" s="229"/>
      <c r="J24" s="140"/>
      <c r="K24" s="141"/>
      <c r="L24" s="140"/>
      <c r="M24" s="229"/>
      <c r="N24" s="138"/>
      <c r="O24" s="229"/>
      <c r="Q24" s="282"/>
      <c r="S24" s="81"/>
    </row>
    <row r="25" spans="1:19" ht="12.95" customHeight="1">
      <c r="A25" s="12" t="s">
        <v>553</v>
      </c>
      <c r="B25" s="140">
        <f>+GETPIVOTDATA(" New All Ranks avg",'Averages Pivot Table'!$A$3,"State","TN","Category",1,"Category2","Four-Year")</f>
        <v>75941.606998987336</v>
      </c>
      <c r="C25" s="141">
        <f>IF(B25&gt;0,(RANK(B25,B$10:B$28)),0)</f>
        <v>15</v>
      </c>
      <c r="D25" s="140">
        <f>+GETPIVOTDATA(" New All Ranks avg",'Averages Pivot Table'!$A$3,"State","TN","Category",2,"Category2","Four-Year")</f>
        <v>70481.488426848693</v>
      </c>
      <c r="E25" s="141">
        <f>IF(D25&gt;0,(RANK(D25,D$10:D$28)),0)</f>
        <v>7</v>
      </c>
      <c r="F25" s="140">
        <f>+GETPIVOTDATA(" New All Ranks avg",'Averages Pivot Table'!$A$3,"State","TN","Category",3,"Category2","Four-Year")</f>
        <v>60944.418794505487</v>
      </c>
      <c r="G25" s="141">
        <f>IF(F25&gt;0,(RANK(F25,F$10:F$28)),0)</f>
        <v>7</v>
      </c>
      <c r="H25" s="140">
        <f>+GETPIVOTDATA(" New All Ranks avg",'Averages Pivot Table'!$A$3,"State","TN","Category",4,"Category2","Four-Year")</f>
        <v>59452.506424477622</v>
      </c>
      <c r="I25" s="229">
        <f>IF(H25&gt;0,(RANK(H25,H$10:H$28)),0)</f>
        <v>11</v>
      </c>
      <c r="J25" s="140">
        <f>+GETPIVOTDATA(" New All Ranks avg",'Averages Pivot Table'!$A$3,"State","TN","Category",5,"Category2","Four-Year")</f>
        <v>55503.5428119403</v>
      </c>
      <c r="K25" s="141">
        <f>IF(J25&gt;0,(RANK(J25,J$10:J$28)),0)</f>
        <v>8</v>
      </c>
      <c r="L25" s="140">
        <f>+GETPIVOTDATA(" New All Ranks avg",'Averages Pivot Table'!$A$3,"State","TN","Category",6,"Category2","Four-Year")</f>
        <v>0</v>
      </c>
      <c r="M25" s="229">
        <f>IF(L25&gt;0,(RANK(L25,L$10:L$28)),0)</f>
        <v>0</v>
      </c>
      <c r="N25" s="138">
        <f>+GETPIVOTDATA(" New All Ranks avg",'Averages Pivot Table'!$A$3,"State","TN","Category2","Four-Year")</f>
        <v>66251.873644651496</v>
      </c>
      <c r="O25" s="229">
        <f>IF(N25&gt;0,(RANK(N25,N$10:N$28)),0)</f>
        <v>12</v>
      </c>
      <c r="Q25" s="282">
        <f>(N25-S25)/S25</f>
        <v>1.3430943425655423E-3</v>
      </c>
      <c r="R25" s="74" t="s">
        <v>553</v>
      </c>
      <c r="S25" s="81">
        <f>+GETPIVOTDATA(" Old All Ranks avg",'Averages Pivot Table'!$A$3,"State","TN","Category2","Four-Year")</f>
        <v>66163.010479589255</v>
      </c>
    </row>
    <row r="26" spans="1:19" ht="12.95" customHeight="1">
      <c r="A26" s="12" t="s">
        <v>554</v>
      </c>
      <c r="B26" s="140">
        <f>+GETPIVOTDATA(" New All Ranks avg",'Averages Pivot Table'!$A$3,"State","TX","Category",1,"Category2","Four-Year")</f>
        <v>85082.162499440165</v>
      </c>
      <c r="C26" s="141">
        <f>IF(B26&gt;0,(RANK(B26,B$10:B$28)),0)</f>
        <v>5</v>
      </c>
      <c r="D26" s="140">
        <f>+GETPIVOTDATA(" New All Ranks avg",'Averages Pivot Table'!$A$3,"State","TX","Category",2,"Category2","Four-Year")</f>
        <v>64361.888066604995</v>
      </c>
      <c r="E26" s="141">
        <f>IF(D26&gt;0,(RANK(D26,D$10:D$28)),0)</f>
        <v>10</v>
      </c>
      <c r="F26" s="140">
        <f>+GETPIVOTDATA(" New All Ranks avg",'Averages Pivot Table'!$A$3,"State","TX","Category",3,"Category2","Four-Year")</f>
        <v>63903.199337257873</v>
      </c>
      <c r="G26" s="141">
        <f>IF(F26&gt;0,(RANK(F26,F$10:F$28)),0)</f>
        <v>5</v>
      </c>
      <c r="H26" s="140">
        <f>+GETPIVOTDATA(" New All Ranks avg",'Averages Pivot Table'!$A$3,"State","TX","Category",4,"Category2","Four-Year")</f>
        <v>60075.027889521218</v>
      </c>
      <c r="I26" s="229">
        <f>IF(H26&gt;0,(RANK(H26,H$10:H$28)),0)</f>
        <v>10</v>
      </c>
      <c r="J26" s="140">
        <f>+GETPIVOTDATA(" New All Ranks avg",'Averages Pivot Table'!$A$3,"State","TX","Category",5,"Category2","Four-Year")</f>
        <v>64920.39341897019</v>
      </c>
      <c r="K26" s="141">
        <f>IF(J26&gt;0,(RANK(J26,J$10:J$28)),0)</f>
        <v>2</v>
      </c>
      <c r="L26" s="140">
        <f>+GETPIVOTDATA(" New All Ranks avg",'Averages Pivot Table'!$A$3,"State","TX","Category",6,"Category2","Four-Year")</f>
        <v>61819.545918279575</v>
      </c>
      <c r="M26" s="229">
        <f>IF(L26&gt;0,(RANK(L26,L$10:L$28)),0)</f>
        <v>5</v>
      </c>
      <c r="N26" s="138">
        <f>+GETPIVOTDATA(" New All Ranks avg",'Averages Pivot Table'!$A$3,"State","TX","Category2","Four-Year")</f>
        <v>74696.878062167292</v>
      </c>
      <c r="O26" s="229">
        <f>IF(N26&gt;0,(RANK(N26,N$10:N$28)),0)</f>
        <v>6</v>
      </c>
      <c r="Q26" s="282">
        <f>(N26-S26)/S26</f>
        <v>3.5330246492591928E-2</v>
      </c>
      <c r="R26" s="74" t="s">
        <v>554</v>
      </c>
      <c r="S26" s="81">
        <f>+GETPIVOTDATA(" Old All Ranks avg",'Averages Pivot Table'!$A$3,"State","TX","Category2","Four-Year")</f>
        <v>72147.875825341078</v>
      </c>
    </row>
    <row r="27" spans="1:19" ht="12.95" customHeight="1">
      <c r="A27" s="12" t="s">
        <v>555</v>
      </c>
      <c r="B27" s="140">
        <f>+GETPIVOTDATA(" New All Ranks avg",'Averages Pivot Table'!$A$3,"State","VA","Category",1,"Category2","Four-Year")</f>
        <v>92777.492960151387</v>
      </c>
      <c r="C27" s="141">
        <f>IF(B27&gt;0,(RANK(B27,B$10:B$28)),0)</f>
        <v>4</v>
      </c>
      <c r="D27" s="140">
        <f>+GETPIVOTDATA(" New All Ranks avg",'Averages Pivot Table'!$A$3,"State","VA","Category",2,"Category2","Four-Year")</f>
        <v>77855.810004985469</v>
      </c>
      <c r="E27" s="141">
        <f>IF(D27&gt;0,(RANK(D27,D$10:D$28)),0)</f>
        <v>3</v>
      </c>
      <c r="F27" s="140">
        <f>+GETPIVOTDATA(" New All Ranks avg",'Averages Pivot Table'!$A$3,"State","VA","Category",3,"Category2","Four-Year")</f>
        <v>66551.626137085579</v>
      </c>
      <c r="G27" s="141">
        <f>IF(F27&gt;0,(RANK(F27,F$10:F$28)),0)</f>
        <v>2</v>
      </c>
      <c r="H27" s="140">
        <f>+GETPIVOTDATA(" New All Ranks avg",'Averages Pivot Table'!$A$3,"State","VA","Category",4,"Category2","Four-Year")</f>
        <v>65912.488511633986</v>
      </c>
      <c r="I27" s="229">
        <f>IF(H27&gt;0,(RANK(H27,H$10:H$28)),0)</f>
        <v>5</v>
      </c>
      <c r="J27" s="140">
        <f>+GETPIVOTDATA(" New All Ranks avg",'Averages Pivot Table'!$A$3,"State","VA","Category",5,"Category2","Four-Year")</f>
        <v>62623.630043326033</v>
      </c>
      <c r="K27" s="141">
        <f>IF(J27&gt;0,(RANK(J27,J$10:J$28)),0)</f>
        <v>3</v>
      </c>
      <c r="L27" s="140">
        <f>+GETPIVOTDATA(" New All Ranks avg",'Averages Pivot Table'!$A$3,"State","VA","Category",6,"Category2","Four-Year")</f>
        <v>57640.148936170212</v>
      </c>
      <c r="M27" s="229">
        <f>IF(L27&gt;0,(RANK(L27,L$10:L$28)),0)</f>
        <v>6</v>
      </c>
      <c r="N27" s="138">
        <f>+GETPIVOTDATA(" New All Ranks avg",'Averages Pivot Table'!$A$3,"State","VA","Category2","Four-Year")</f>
        <v>80440.482495997261</v>
      </c>
      <c r="O27" s="229">
        <f>IF(N27&gt;0,(RANK(N27,N$10:N$28)),0)</f>
        <v>3</v>
      </c>
      <c r="Q27" s="282">
        <f>(N27-S27)/S27</f>
        <v>8.9635449569426713E-3</v>
      </c>
      <c r="R27" s="74" t="s">
        <v>555</v>
      </c>
      <c r="S27" s="81">
        <f>+GETPIVOTDATA(" Old All Ranks avg",'Averages Pivot Table'!$A$3,"State","VA","Category2","Four-Year")</f>
        <v>79725.856199720321</v>
      </c>
    </row>
    <row r="28" spans="1:19" ht="12.95" customHeight="1">
      <c r="A28" s="26" t="s">
        <v>556</v>
      </c>
      <c r="B28" s="64">
        <f>+GETPIVOTDATA(" New All Ranks avg",'Averages Pivot Table'!$A$3,"State","WV","Category",1,"Category2","Four-Year")</f>
        <v>76121.643017449664</v>
      </c>
      <c r="C28" s="65">
        <f>IF(B28&gt;0,(RANK(B28,B$10:B$28)),0)</f>
        <v>14</v>
      </c>
      <c r="D28" s="64">
        <f>+GETPIVOTDATA(" New All Ranks avg",'Averages Pivot Table'!$A$3,"State","WV","Category",2,"Category2","Four-Year")</f>
        <v>0</v>
      </c>
      <c r="E28" s="65">
        <f>IF(D28&gt;0,(RANK(D28,D$10:D$28)),0)</f>
        <v>0</v>
      </c>
      <c r="F28" s="64">
        <f>+GETPIVOTDATA(" New All Ranks avg",'Averages Pivot Table'!$A$3,"State","WV","Category",3,"Category2","Four-Year")</f>
        <v>60802.600737662331</v>
      </c>
      <c r="G28" s="65">
        <f>IF(F28&gt;0,(RANK(F28,F$10:F$28)),0)</f>
        <v>8</v>
      </c>
      <c r="H28" s="64">
        <f>+GETPIVOTDATA(" New All Ranks avg",'Averages Pivot Table'!$A$3,"State","WV","Category",4,"Category2","Four-Year")</f>
        <v>0</v>
      </c>
      <c r="I28" s="230">
        <f>IF(H28&gt;0,(RANK(H28,H$10:H$28)),0)</f>
        <v>0</v>
      </c>
      <c r="J28" s="64">
        <f>+GETPIVOTDATA(" New All Ranks avg",'Averages Pivot Table'!$A$3,"State","WV","Category",5,"Category2","Four-Year")</f>
        <v>0</v>
      </c>
      <c r="K28" s="65">
        <f>IF(J28&gt;0,(RANK(J28,J$10:J$28)),0)</f>
        <v>0</v>
      </c>
      <c r="L28" s="64">
        <f>+GETPIVOTDATA(" New All Ranks avg",'Averages Pivot Table'!$A$3,"State","WV","Category",6,"Category2","Four-Year")</f>
        <v>55314.576395928147</v>
      </c>
      <c r="M28" s="230">
        <f>IF(L28&gt;0,(RANK(L28,L$10:L$28)),0)</f>
        <v>8</v>
      </c>
      <c r="N28" s="139">
        <f>+GETPIVOTDATA(" New All Ranks avg",'Averages Pivot Table'!$A$3,"State","WV","Category2","Four-Year")</f>
        <v>64961.76252350524</v>
      </c>
      <c r="O28" s="230">
        <f>IF(N28&gt;0,(RANK(N28,N$10:N$28)),0)</f>
        <v>13</v>
      </c>
      <c r="Q28" s="282">
        <f>(N28-S28)/S28</f>
        <v>4.7740446068246241E-2</v>
      </c>
      <c r="R28" s="74" t="s">
        <v>556</v>
      </c>
      <c r="S28" s="81">
        <f>+GETPIVOTDATA(" Old All Ranks avg",'Averages Pivot Table'!$A$3,"State","WV","Category2","Four-Year")</f>
        <v>62001.770349976403</v>
      </c>
    </row>
    <row r="29" spans="1:19" ht="30" customHeight="1">
      <c r="A29" s="502" t="s">
        <v>425</v>
      </c>
      <c r="B29" s="510"/>
      <c r="C29" s="510"/>
      <c r="D29" s="510"/>
      <c r="E29" s="510"/>
      <c r="F29" s="510"/>
      <c r="G29" s="510"/>
      <c r="H29" s="510"/>
      <c r="I29" s="510"/>
      <c r="J29" s="510"/>
      <c r="K29" s="510"/>
      <c r="L29" s="510"/>
      <c r="M29" s="510"/>
      <c r="N29" s="511"/>
      <c r="O29" s="511"/>
      <c r="Q29" s="280"/>
    </row>
    <row r="30" spans="1:19">
      <c r="O30" s="279" t="s">
        <v>1003</v>
      </c>
      <c r="Q30" s="280"/>
    </row>
    <row r="31" spans="1:19" ht="18">
      <c r="A31" s="504" t="s">
        <v>565</v>
      </c>
      <c r="B31" s="504"/>
      <c r="C31" s="504"/>
      <c r="D31" s="504"/>
      <c r="E31" s="504"/>
      <c r="F31" s="504"/>
      <c r="G31" s="504"/>
      <c r="H31" s="504"/>
      <c r="I31" s="504"/>
      <c r="J31" s="504"/>
      <c r="K31" s="504"/>
      <c r="L31" s="504"/>
      <c r="M31" s="504"/>
      <c r="Q31" s="280"/>
    </row>
    <row r="32" spans="1:19">
      <c r="A32" s="5"/>
      <c r="B32" s="5"/>
      <c r="C32" s="5"/>
      <c r="D32" s="5"/>
      <c r="E32" s="5"/>
      <c r="F32" s="5"/>
      <c r="G32" s="146"/>
      <c r="H32" s="146"/>
      <c r="I32" s="224"/>
      <c r="J32" s="146"/>
      <c r="K32" s="146"/>
      <c r="Q32" s="280"/>
    </row>
    <row r="33" spans="1:19">
      <c r="A33" s="505" t="s">
        <v>541</v>
      </c>
      <c r="B33" s="505"/>
      <c r="C33" s="505"/>
      <c r="D33" s="505"/>
      <c r="E33" s="505"/>
      <c r="F33" s="505"/>
      <c r="G33" s="505"/>
      <c r="H33" s="505"/>
      <c r="I33" s="505"/>
      <c r="J33" s="505"/>
      <c r="K33" s="505"/>
      <c r="L33" s="505"/>
      <c r="M33" s="505"/>
      <c r="Q33" s="280"/>
    </row>
    <row r="34" spans="1:19">
      <c r="A34" s="505" t="s">
        <v>29</v>
      </c>
      <c r="B34" s="505"/>
      <c r="C34" s="505"/>
      <c r="D34" s="505"/>
      <c r="E34" s="505"/>
      <c r="F34" s="505"/>
      <c r="G34" s="505"/>
      <c r="H34" s="505"/>
      <c r="I34" s="505"/>
      <c r="J34" s="505"/>
      <c r="K34" s="505"/>
      <c r="L34" s="505"/>
      <c r="M34" s="505"/>
      <c r="Q34" s="280"/>
    </row>
    <row r="35" spans="1:19">
      <c r="A35" s="5"/>
      <c r="B35" s="5"/>
      <c r="C35" s="5"/>
      <c r="D35" s="5"/>
      <c r="E35" s="5"/>
      <c r="F35" s="5"/>
      <c r="G35" s="146"/>
      <c r="H35" s="146"/>
      <c r="I35" s="224"/>
      <c r="J35" s="146"/>
      <c r="K35" s="146"/>
      <c r="L35" s="137"/>
      <c r="M35" s="201"/>
      <c r="N35" s="137"/>
      <c r="O35" s="201"/>
      <c r="Q35" s="280"/>
    </row>
    <row r="36" spans="1:19" ht="24">
      <c r="A36" s="15"/>
      <c r="B36" s="166" t="s">
        <v>403</v>
      </c>
      <c r="C36" s="167"/>
      <c r="D36" s="18" t="s">
        <v>539</v>
      </c>
      <c r="E36" s="19"/>
      <c r="F36" s="18" t="s">
        <v>540</v>
      </c>
      <c r="G36" s="19"/>
      <c r="H36" s="18" t="s">
        <v>404</v>
      </c>
      <c r="I36" s="226"/>
      <c r="J36" s="166" t="s">
        <v>405</v>
      </c>
      <c r="K36" s="167"/>
      <c r="L36" s="135" t="s">
        <v>406</v>
      </c>
      <c r="M36" s="226"/>
      <c r="N36" s="142" t="s">
        <v>560</v>
      </c>
      <c r="O36" s="231"/>
      <c r="Q36" s="280" t="s">
        <v>335</v>
      </c>
      <c r="S36" s="74" t="s">
        <v>334</v>
      </c>
    </row>
    <row r="37" spans="1:19">
      <c r="A37" s="16"/>
      <c r="B37" s="60" t="s">
        <v>439</v>
      </c>
      <c r="C37" s="61" t="s">
        <v>530</v>
      </c>
      <c r="D37" s="60" t="s">
        <v>439</v>
      </c>
      <c r="E37" s="61" t="s">
        <v>530</v>
      </c>
      <c r="F37" s="60" t="s">
        <v>439</v>
      </c>
      <c r="G37" s="61" t="s">
        <v>530</v>
      </c>
      <c r="H37" s="60" t="s">
        <v>439</v>
      </c>
      <c r="I37" s="256" t="s">
        <v>530</v>
      </c>
      <c r="J37" s="60" t="s">
        <v>439</v>
      </c>
      <c r="K37" s="61" t="s">
        <v>530</v>
      </c>
      <c r="L37" s="145" t="s">
        <v>439</v>
      </c>
      <c r="M37" s="256" t="s">
        <v>530</v>
      </c>
      <c r="N37" s="144"/>
      <c r="O37" s="232"/>
      <c r="Q37" s="280"/>
    </row>
    <row r="38" spans="1:19" s="168" customFormat="1" ht="18" customHeight="1">
      <c r="A38" s="181" t="s">
        <v>559</v>
      </c>
      <c r="B38" s="185">
        <f>+GETPIVOTDATA(" New All Ranks avg",'Averages Pivot Table'!$A$3,"Category",7,"Category2","Two-Year")</f>
        <v>54987.467202663429</v>
      </c>
      <c r="C38" s="185"/>
      <c r="D38" s="185">
        <f>+GETPIVOTDATA(" New All Ranks avg",'Averages Pivot Table'!$A$3,"Category",8,"Category2","Two-Year")</f>
        <v>53462.165644622059</v>
      </c>
      <c r="E38" s="185"/>
      <c r="F38" s="185">
        <f>+GETPIVOTDATA(" New All Ranks avg",'Averages Pivot Table'!$A$3,"Category",9,"Category2","Two-Year")</f>
        <v>49297.287910091953</v>
      </c>
      <c r="G38" s="185"/>
      <c r="H38" s="185">
        <f>+GETPIVOTDATA(" New All Ranks avg",'Averages Pivot Table'!$A$3,"Category",10,"Category2","Two-Year")</f>
        <v>45576.256216099871</v>
      </c>
      <c r="I38" s="262"/>
      <c r="J38" s="185">
        <f>+GETPIVOTDATA(" New All Ranks avg",'Averages Pivot Table'!$A$3,"Category",11,"Category2","Two-Year")</f>
        <v>57347.378781491716</v>
      </c>
      <c r="K38" s="186"/>
      <c r="L38" s="185">
        <f>+GETPIVOTDATA(" New All Ranks avg",'Averages Pivot Table'!$A$3,"Category2","Two-Year")</f>
        <v>51451.692097044201</v>
      </c>
      <c r="M38" s="257"/>
      <c r="N38" s="187"/>
      <c r="O38" s="233"/>
      <c r="Q38" s="281">
        <f>(L38-S38)/S38</f>
        <v>2.5169739986463307E-2</v>
      </c>
      <c r="R38" s="209" t="s">
        <v>559</v>
      </c>
      <c r="S38" s="184">
        <f>+GETPIVOTDATA(" Old All Ranks avg",'Averages Pivot Table'!$A$3,"Category2","Two-Year")</f>
        <v>50188.461569031082</v>
      </c>
    </row>
    <row r="39" spans="1:19" ht="12.95" customHeight="1">
      <c r="A39" s="12"/>
      <c r="B39" s="9"/>
      <c r="C39" s="17"/>
      <c r="D39" s="9"/>
      <c r="E39" s="17"/>
      <c r="F39" s="20"/>
      <c r="G39" s="74"/>
      <c r="H39" s="74"/>
      <c r="I39" s="258"/>
      <c r="J39" s="74"/>
      <c r="K39" s="74"/>
      <c r="L39" s="80"/>
      <c r="M39" s="258"/>
      <c r="Q39" s="282"/>
      <c r="S39" s="81"/>
    </row>
    <row r="40" spans="1:19" ht="12.95" customHeight="1">
      <c r="A40" s="12" t="s">
        <v>542</v>
      </c>
      <c r="B40" s="147">
        <f>+GETPIVOTDATA(" New All Ranks avg",'Averages Pivot Table'!$A$3,"State","AL","Category",7,"Category2","Two-Year")</f>
        <v>0</v>
      </c>
      <c r="C40" s="141">
        <f>IF(B40&gt;0,(RANK(B40,B$40:B$58)),0)</f>
        <v>0</v>
      </c>
      <c r="D40" s="147">
        <f>+GETPIVOTDATA(" New All Ranks avg",'Averages Pivot Table'!$A$3,"State","AL","Category",8,"Category2","Two-Year")</f>
        <v>53423.575463698631</v>
      </c>
      <c r="E40" s="141">
        <f>IF(D40&gt;0,(RANK(D40,D$40:D$58)),0)</f>
        <v>5</v>
      </c>
      <c r="F40" s="147">
        <f>+GETPIVOTDATA(" New All Ranks avg",'Averages Pivot Table'!$A$3,"State","AL","Category",9,"Category2","Two-Year")</f>
        <v>53099.714144827587</v>
      </c>
      <c r="G40" s="141">
        <f>IF(F40&gt;0,(RANK(F40,F$40:F$58)),0)</f>
        <v>4</v>
      </c>
      <c r="H40" s="155">
        <f>+GETPIVOTDATA(" New All Ranks avg",'Averages Pivot Table'!$A$3,"State","AL","Category",10,"Category2","Two-Year")</f>
        <v>52801.227449295773</v>
      </c>
      <c r="I40" s="229">
        <f>IF(H40&gt;0,(RANK(H40,H$40:H$58)),0)</f>
        <v>4</v>
      </c>
      <c r="J40" s="155">
        <f>+GETPIVOTDATA(" New All Ranks avg",'Averages Pivot Table'!$A$3,"State","AL","Category",11,"Category2","Two-Year")</f>
        <v>0</v>
      </c>
      <c r="K40" s="141">
        <f>IF(J40&gt;0,(RANK(J40,J$40:J$58)),0)</f>
        <v>0</v>
      </c>
      <c r="L40" s="156">
        <f>+GETPIVOTDATA(" New All Ranks avg",'Averages Pivot Table'!$A$3,"State","AL","Category2","Two-Year")</f>
        <v>53081.219350737803</v>
      </c>
      <c r="M40" s="229">
        <f>IF(L40&gt;0,(RANK(L40,L$40:L$58)),0)</f>
        <v>5</v>
      </c>
      <c r="Q40" s="282">
        <f>(L40-S40)/S40</f>
        <v>-1.9913910558231394E-3</v>
      </c>
      <c r="R40" s="74" t="s">
        <v>542</v>
      </c>
      <c r="S40" s="81">
        <f>+GETPIVOTDATA(" Old All Ranks avg",'Averages Pivot Table'!$A$3,"State","AL","Category2","Two-Year")</f>
        <v>53187.135737129574</v>
      </c>
    </row>
    <row r="41" spans="1:19" ht="12.95" customHeight="1">
      <c r="A41" s="12" t="s">
        <v>543</v>
      </c>
      <c r="B41" s="147">
        <f>+GETPIVOTDATA(" New All Ranks avg",'Averages Pivot Table'!$A$3,"State","AR","Category",7,"Category2","Two-Year")</f>
        <v>0</v>
      </c>
      <c r="C41" s="141">
        <f>IF(B41&gt;0,(RANK(B41,B$40:B$58)),0)</f>
        <v>0</v>
      </c>
      <c r="D41" s="147">
        <f>+GETPIVOTDATA(" New All Ranks avg",'Averages Pivot Table'!$A$3,"State","AR","Category",8,"Category2","Two-Year")</f>
        <v>44018.560543046355</v>
      </c>
      <c r="E41" s="141">
        <f>IF(D41&gt;0,(RANK(D41,D$40:D$58)),0)</f>
        <v>13</v>
      </c>
      <c r="F41" s="147">
        <f>+GETPIVOTDATA(" New All Ranks avg",'Averages Pivot Table'!$A$3,"State","AR","Category",9,"Category2","Two-Year")</f>
        <v>46482.631571453785</v>
      </c>
      <c r="G41" s="141">
        <f>IF(F41&gt;0,(RANK(F41,F$40:F$58)),0)</f>
        <v>12</v>
      </c>
      <c r="H41" s="155">
        <f>+GETPIVOTDATA(" New All Ranks avg",'Averages Pivot Table'!$A$3,"State","AR","Category",10,"Category2","Two-Year")</f>
        <v>41054.032659468823</v>
      </c>
      <c r="I41" s="229">
        <f>IF(H41&gt;0,(RANK(H41,H$40:H$58)),0)</f>
        <v>16</v>
      </c>
      <c r="J41" s="155">
        <f>+GETPIVOTDATA(" New All Ranks avg",'Averages Pivot Table'!$A$3,"State","AR","Category",11,"Category2","Two-Year")</f>
        <v>0</v>
      </c>
      <c r="K41" s="141">
        <f>IF(J41&gt;0,(RANK(J41,J$40:J$58)),0)</f>
        <v>0</v>
      </c>
      <c r="L41" s="156">
        <f>+GETPIVOTDATA(" New All Ranks avg",'Averages Pivot Table'!$A$3,"State","AR","Category2","Two-Year")</f>
        <v>42374.611796969337</v>
      </c>
      <c r="M41" s="229">
        <f>IF(L41&gt;0,(RANK(L41,L$40:L$58)),0)</f>
        <v>16</v>
      </c>
      <c r="Q41" s="282">
        <f>(L41-S41)/S41</f>
        <v>-3.0300932012014819E-3</v>
      </c>
      <c r="R41" s="74" t="s">
        <v>543</v>
      </c>
      <c r="S41" s="81">
        <f>+GETPIVOTDATA(" Old All Ranks avg",'Averages Pivot Table'!$A$3,"State","AR","Category2","Two-Year")</f>
        <v>42503.40106355997</v>
      </c>
    </row>
    <row r="42" spans="1:19" ht="12.95" customHeight="1">
      <c r="A42" s="12" t="s">
        <v>558</v>
      </c>
      <c r="B42" s="147">
        <f>+GETPIVOTDATA(" New All Ranks avg",'Averages Pivot Table'!$A$3,"State","DE","Category",7,"Category2","Two-Year")</f>
        <v>0</v>
      </c>
      <c r="C42" s="141">
        <f>IF(B42&gt;0,(RANK(B42,B$40:B$58)),0)</f>
        <v>0</v>
      </c>
      <c r="D42" s="147">
        <f>+GETPIVOTDATA(" New All Ranks avg",'Averages Pivot Table'!$A$3,"State","DE","Category",8,"Category2","Two-Year")</f>
        <v>0</v>
      </c>
      <c r="E42" s="141">
        <f>IF(D42&gt;0,(RANK(D42,D$40:D$58)),0)</f>
        <v>0</v>
      </c>
      <c r="F42" s="147">
        <f>+GETPIVOTDATA(" New All Ranks avg",'Averages Pivot Table'!$A$3,"State","DE","Category",9,"Category2","Two-Year")</f>
        <v>63937.778835616446</v>
      </c>
      <c r="G42" s="141">
        <f>IF(F42&gt;0,(RANK(F42,F$40:F$58)),0)</f>
        <v>1</v>
      </c>
      <c r="H42" s="155">
        <f>+GETPIVOTDATA(" New All Ranks avg",'Averages Pivot Table'!$A$3,"State","DE","Category",10,"Category2","Two-Year")</f>
        <v>63432.220661728403</v>
      </c>
      <c r="I42" s="229">
        <f>IF(H42&gt;0,(RANK(H42,H$40:H$58)),0)</f>
        <v>1</v>
      </c>
      <c r="J42" s="155">
        <f>+GETPIVOTDATA(" New All Ranks avg",'Averages Pivot Table'!$A$3,"State","DE","Category",11,"Category2","Two-Year")</f>
        <v>0</v>
      </c>
      <c r="K42" s="141">
        <f>IF(J42&gt;0,(RANK(J42,J$40:J$58)),0)</f>
        <v>0</v>
      </c>
      <c r="L42" s="156">
        <f>+GETPIVOTDATA(" New All Ranks avg",'Averages Pivot Table'!$A$3,"State","DE","Category2","Two-Year")</f>
        <v>63827.992744235926</v>
      </c>
      <c r="M42" s="229">
        <f>IF(L42&gt;0,(RANK(L42,L$40:L$58)),0)</f>
        <v>2</v>
      </c>
      <c r="Q42" s="282">
        <f>(L42-S42)/S42</f>
        <v>9.5256185867939678E-4</v>
      </c>
      <c r="R42" s="74" t="s">
        <v>558</v>
      </c>
      <c r="S42" s="81">
        <f>+GETPIVOTDATA(" Old All Ranks avg",'Averages Pivot Table'!$A$3,"State","DE","Category2","Two-Year")</f>
        <v>63767.250493582884</v>
      </c>
    </row>
    <row r="43" spans="1:19" ht="12.95" customHeight="1">
      <c r="A43" s="12" t="s">
        <v>544</v>
      </c>
      <c r="B43" s="147">
        <f>+GETPIVOTDATA(" New All Ranks avg",'Averages Pivot Table'!$A$3,"State","FL","Category",7,"Category2","Two-Year")</f>
        <v>58149.970976253295</v>
      </c>
      <c r="C43" s="141">
        <f>IF(B43&gt;0,(RANK(B43,B$40:B$58)),0)</f>
        <v>1</v>
      </c>
      <c r="D43" s="147">
        <f>+GETPIVOTDATA(" New All Ranks avg",'Averages Pivot Table'!$A$3,"State","FL","Category",8,"Category2","Two-Year")</f>
        <v>53287.136820925552</v>
      </c>
      <c r="E43" s="141">
        <f>IF(D43&gt;0,(RANK(D43,D$40:D$58)),0)</f>
        <v>6</v>
      </c>
      <c r="F43" s="147">
        <f>+GETPIVOTDATA(" New All Ranks avg",'Averages Pivot Table'!$A$3,"State","FL","Category",9,"Category2","Two-Year")</f>
        <v>47571.647865853658</v>
      </c>
      <c r="G43" s="141">
        <f>IF(F43&gt;0,(RANK(F43,F$40:F$58)),0)</f>
        <v>9</v>
      </c>
      <c r="H43" s="155">
        <f>+GETPIVOTDATA(" New All Ranks avg",'Averages Pivot Table'!$A$3,"State","FL","Category",10,"Category2","Two-Year")</f>
        <v>44899.321428571428</v>
      </c>
      <c r="I43" s="229">
        <f>IF(H43&gt;0,(RANK(H43,H$40:H$58)),0)</f>
        <v>11</v>
      </c>
      <c r="J43" s="155">
        <f>+GETPIVOTDATA(" New All Ranks avg",'Averages Pivot Table'!$A$3,"State","FL","Category",11,"Category2","Two-Year")</f>
        <v>0</v>
      </c>
      <c r="K43" s="141">
        <f>IF(J43&gt;0,(RANK(J43,J$40:J$58)),0)</f>
        <v>0</v>
      </c>
      <c r="L43" s="156">
        <f>+GETPIVOTDATA(" New All Ranks avg",'Averages Pivot Table'!$A$3,"State","FL","Category2","Two-Year")</f>
        <v>53533.000938438439</v>
      </c>
      <c r="M43" s="229">
        <f>IF(L43&gt;0,(RANK(L43,L$40:L$58)),0)</f>
        <v>4</v>
      </c>
      <c r="Q43" s="282">
        <f>(L43-S43)/S43</f>
        <v>8.9358152251494353E-3</v>
      </c>
      <c r="R43" s="74" t="s">
        <v>544</v>
      </c>
      <c r="S43" s="81">
        <f>+GETPIVOTDATA(" Old All Ranks avg",'Averages Pivot Table'!$A$3,"State","FL","Category2","Two-Year")</f>
        <v>53058.876620900075</v>
      </c>
    </row>
    <row r="44" spans="1:19" ht="12.95" customHeight="1">
      <c r="A44" s="12"/>
      <c r="B44" s="147"/>
      <c r="C44" s="141"/>
      <c r="D44" s="147"/>
      <c r="E44" s="141"/>
      <c r="F44" s="147"/>
      <c r="G44" s="141"/>
      <c r="H44" s="155"/>
      <c r="I44" s="229"/>
      <c r="J44" s="155"/>
      <c r="K44" s="141"/>
      <c r="L44" s="156"/>
      <c r="M44" s="229"/>
      <c r="Q44" s="282"/>
      <c r="S44" s="81"/>
    </row>
    <row r="45" spans="1:19" ht="12.95" customHeight="1">
      <c r="A45" s="12" t="s">
        <v>545</v>
      </c>
      <c r="B45" s="147">
        <f>+GETPIVOTDATA(" New All Ranks avg",'Averages Pivot Table'!$A$3,"State","GA","Category",7,"Category2","Two-Year")</f>
        <v>53557.628102857139</v>
      </c>
      <c r="C45" s="141">
        <f>IF(B45&gt;0,(RANK(B45,B$40:B$58)),0)</f>
        <v>3</v>
      </c>
      <c r="D45" s="147">
        <f>+GETPIVOTDATA(" New All Ranks avg",'Averages Pivot Table'!$A$3,"State","GA","Category",8,"Category2","Two-Year")</f>
        <v>47339.506602916663</v>
      </c>
      <c r="E45" s="141">
        <f>IF(D45&gt;0,(RANK(D45,D$40:D$58)),0)</f>
        <v>10</v>
      </c>
      <c r="F45" s="147">
        <f>+GETPIVOTDATA(" New All Ranks avg",'Averages Pivot Table'!$A$3,"State","GA","Category",9,"Category2","Two-Year")</f>
        <v>47331.762403907211</v>
      </c>
      <c r="G45" s="141">
        <f>IF(F45&gt;0,(RANK(F45,F$40:F$58)),0)</f>
        <v>10</v>
      </c>
      <c r="H45" s="155">
        <f>+GETPIVOTDATA(" New All Ranks avg",'Averages Pivot Table'!$A$3,"State","GA","Category",10,"Category2","Two-Year")</f>
        <v>46523.047151515151</v>
      </c>
      <c r="I45" s="229">
        <f>IF(H45&gt;0,(RANK(H45,H$40:H$58)),0)</f>
        <v>7</v>
      </c>
      <c r="J45" s="155">
        <f>+GETPIVOTDATA(" New All Ranks avg",'Averages Pivot Table'!$A$3,"State","GA","Category",11,"Category2","Two-Year")</f>
        <v>0</v>
      </c>
      <c r="K45" s="141">
        <f>IF(J45&gt;0,(RANK(J45,J$40:J$58)),0)</f>
        <v>0</v>
      </c>
      <c r="L45" s="156">
        <f>+GETPIVOTDATA(" New All Ranks avg",'Averages Pivot Table'!$A$3,"State","GA","Category2","Two-Year")</f>
        <v>47794.293823316701</v>
      </c>
      <c r="M45" s="229">
        <f>IF(L45&gt;0,(RANK(L45,L$40:L$58)),0)</f>
        <v>10</v>
      </c>
      <c r="Q45" s="282">
        <f>(L45-S45)/S45</f>
        <v>2.5603925973682135E-2</v>
      </c>
      <c r="R45" s="74" t="s">
        <v>545</v>
      </c>
      <c r="S45" s="81">
        <f>+GETPIVOTDATA(" Old All Ranks avg",'Averages Pivot Table'!$A$3,"State","GA","Category2","Two-Year")</f>
        <v>46601.122141709842</v>
      </c>
    </row>
    <row r="46" spans="1:19" ht="12.95" customHeight="1">
      <c r="A46" s="12" t="s">
        <v>546</v>
      </c>
      <c r="B46" s="147">
        <f>+GETPIVOTDATA(" New All Ranks avg",'Averages Pivot Table'!$A$3,"State","KY","Category",7,"Category2","Two-Year")</f>
        <v>0</v>
      </c>
      <c r="C46" s="141">
        <f>IF(B46&gt;0,(RANK(B46,B$40:B$58)),0)</f>
        <v>0</v>
      </c>
      <c r="D46" s="147">
        <f>+GETPIVOTDATA(" New All Ranks avg",'Averages Pivot Table'!$A$3,"State","KY","Category",8,"Category2","Two-Year")</f>
        <v>49628.837776822438</v>
      </c>
      <c r="E46" s="141">
        <f>IF(D46&gt;0,(RANK(D46,D$40:D$58)),0)</f>
        <v>7</v>
      </c>
      <c r="F46" s="147">
        <f>+GETPIVOTDATA(" New All Ranks avg",'Averages Pivot Table'!$A$3,"State","KY","Category",9,"Category2","Two-Year")</f>
        <v>48618.252413413407</v>
      </c>
      <c r="G46" s="141">
        <f>IF(F46&gt;0,(RANK(F46,F$40:F$58)),0)</f>
        <v>7</v>
      </c>
      <c r="H46" s="155">
        <f>+GETPIVOTDATA(" New All Ranks avg",'Averages Pivot Table'!$A$3,"State","KY","Category",10,"Category2","Two-Year")</f>
        <v>49895.284258333326</v>
      </c>
      <c r="I46" s="229">
        <f>IF(H46&gt;0,(RANK(H46,H$40:H$58)),0)</f>
        <v>5</v>
      </c>
      <c r="J46" s="155">
        <f>+GETPIVOTDATA(" New All Ranks avg",'Averages Pivot Table'!$A$3,"State","KY","Category",11,"Category2","Two-Year")</f>
        <v>0</v>
      </c>
      <c r="K46" s="141">
        <f>IF(J46&gt;0,(RANK(J46,J$40:J$58)),0)</f>
        <v>0</v>
      </c>
      <c r="L46" s="156">
        <f>+GETPIVOTDATA(" New All Ranks avg",'Averages Pivot Table'!$A$3,"State","KY","Category2","Two-Year")</f>
        <v>49084.825012228575</v>
      </c>
      <c r="M46" s="229">
        <f>IF(L46&gt;0,(RANK(L46,L$40:L$58)),0)</f>
        <v>8</v>
      </c>
      <c r="Q46" s="282">
        <f>(L46-S46)/S46</f>
        <v>-2.1416893483194089E-3</v>
      </c>
      <c r="R46" s="74" t="s">
        <v>546</v>
      </c>
      <c r="S46" s="81">
        <f>+GETPIVOTDATA(" Old All Ranks avg",'Averages Pivot Table'!$A$3,"State","KY","Category2","Two-Year")</f>
        <v>49190.17508625277</v>
      </c>
    </row>
    <row r="47" spans="1:19" ht="12.95" customHeight="1">
      <c r="A47" s="12" t="s">
        <v>547</v>
      </c>
      <c r="B47" s="147">
        <f>+GETPIVOTDATA(" New All Ranks avg",'Averages Pivot Table'!$A$3,"State","LA","Category",7,"Category2","Two-Year")</f>
        <v>47821.177232432441</v>
      </c>
      <c r="C47" s="141">
        <f>IF(B47&gt;0,(RANK(B47,B$40:B$58)),0)</f>
        <v>4</v>
      </c>
      <c r="D47" s="147">
        <f>+GETPIVOTDATA(" New All Ranks avg",'Averages Pivot Table'!$A$3,"State","LA","Category",8,"Category2","Two-Year")</f>
        <v>59338.580121008396</v>
      </c>
      <c r="E47" s="141">
        <f>IF(D47&gt;0,(RANK(D47,D$40:D$58)),0)</f>
        <v>2</v>
      </c>
      <c r="F47" s="147">
        <f>+GETPIVOTDATA(" New All Ranks avg",'Averages Pivot Table'!$A$3,"State","LA","Category",9,"Category2","Two-Year")</f>
        <v>44997.882093333326</v>
      </c>
      <c r="G47" s="141">
        <f>IF(F47&gt;0,(RANK(F47,F$40:F$58)),0)</f>
        <v>14</v>
      </c>
      <c r="H47" s="155">
        <f>+GETPIVOTDATA(" New All Ranks avg",'Averages Pivot Table'!$A$3,"State","LA","Category",10,"Category2","Two-Year")</f>
        <v>42749.498518181812</v>
      </c>
      <c r="I47" s="229">
        <f>IF(H47&gt;0,(RANK(H47,H$40:H$58)),0)</f>
        <v>12</v>
      </c>
      <c r="J47" s="155">
        <f>+GETPIVOTDATA(" New All Ranks avg",'Averages Pivot Table'!$A$3,"State","LA","Category",11,"Category2","Two-Year")</f>
        <v>0</v>
      </c>
      <c r="K47" s="141">
        <f>IF(J47&gt;0,(RANK(J47,J$40:J$58)),0)</f>
        <v>0</v>
      </c>
      <c r="L47" s="156">
        <f>+GETPIVOTDATA(" New All Ranks avg",'Averages Pivot Table'!$A$3,"State","LA","Category2","Two-Year")</f>
        <v>51083.680342181819</v>
      </c>
      <c r="M47" s="229">
        <f>IF(L47&gt;0,(RANK(L47,L$40:L$58)),0)</f>
        <v>7</v>
      </c>
      <c r="Q47" s="282">
        <f>(L47-S47)/S47</f>
        <v>-1.0902212402562172E-3</v>
      </c>
      <c r="R47" s="74" t="s">
        <v>547</v>
      </c>
      <c r="S47" s="81">
        <f>+GETPIVOTDATA(" Old All Ranks avg",'Averages Pivot Table'!$A$3,"State","LA","Category2","Two-Year")</f>
        <v>51139.433638949675</v>
      </c>
    </row>
    <row r="48" spans="1:19" ht="12.95" customHeight="1">
      <c r="A48" s="12" t="s">
        <v>548</v>
      </c>
      <c r="B48" s="147">
        <f>+GETPIVOTDATA(" New All Ranks avg",'Averages Pivot Table'!$A$3,"State","MD","Category",7,"Category2","Two-Year")</f>
        <v>0</v>
      </c>
      <c r="C48" s="141">
        <f>IF(B48&gt;0,(RANK(B48,B$40:B$58)),0)</f>
        <v>0</v>
      </c>
      <c r="D48" s="147">
        <f>+GETPIVOTDATA(" New All Ranks avg",'Averages Pivot Table'!$A$3,"State","MD","Category",8,"Category2","Two-Year")</f>
        <v>67048.932866137184</v>
      </c>
      <c r="E48" s="141">
        <f>IF(D48&gt;0,(RANK(D48,D$40:D$58)),0)</f>
        <v>1</v>
      </c>
      <c r="F48" s="147">
        <f>+GETPIVOTDATA(" New All Ranks avg",'Averages Pivot Table'!$A$3,"State","MD","Category",9,"Category2","Two-Year")</f>
        <v>63120.878879347816</v>
      </c>
      <c r="G48" s="141">
        <f>IF(F48&gt;0,(RANK(F48,F$40:F$58)),0)</f>
        <v>2</v>
      </c>
      <c r="H48" s="155">
        <f>+GETPIVOTDATA(" New All Ranks avg",'Averages Pivot Table'!$A$3,"State","MD","Category",10,"Category2","Two-Year")</f>
        <v>58932.541895275594</v>
      </c>
      <c r="I48" s="229">
        <f>IF(H48&gt;0,(RANK(H48,H$40:H$58)),0)</f>
        <v>2</v>
      </c>
      <c r="J48" s="155">
        <f>+GETPIVOTDATA(" New All Ranks avg",'Averages Pivot Table'!$A$3,"State","MD","Category",11,"Category2","Two-Year")</f>
        <v>0</v>
      </c>
      <c r="K48" s="141">
        <f>IF(J48&gt;0,(RANK(J48,J$40:J$58)),0)</f>
        <v>0</v>
      </c>
      <c r="L48" s="156">
        <f>+GETPIVOTDATA(" New All Ranks avg",'Averages Pivot Table'!$A$3,"State","MD","Category2","Two-Year")</f>
        <v>64963.622954189465</v>
      </c>
      <c r="M48" s="229">
        <f>IF(L48&gt;0,(RANK(L48,L$40:L$58)),0)</f>
        <v>1</v>
      </c>
      <c r="Q48" s="282">
        <f>(L48-S48)/S48</f>
        <v>2.8928656014898971E-2</v>
      </c>
      <c r="R48" s="74" t="s">
        <v>548</v>
      </c>
      <c r="S48" s="81">
        <f>+GETPIVOTDATA(" Old All Ranks avg",'Averages Pivot Table'!$A$3,"State","MD","Category2","Two-Year")</f>
        <v>63137.150058389263</v>
      </c>
    </row>
    <row r="49" spans="1:19" ht="12.95" customHeight="1">
      <c r="A49" s="12"/>
      <c r="B49" s="147"/>
      <c r="C49" s="141"/>
      <c r="D49" s="147"/>
      <c r="E49" s="141"/>
      <c r="F49" s="147"/>
      <c r="G49" s="141"/>
      <c r="H49" s="155"/>
      <c r="I49" s="229"/>
      <c r="J49" s="155"/>
      <c r="K49" s="141"/>
      <c r="L49" s="156"/>
      <c r="M49" s="229"/>
      <c r="Q49" s="282"/>
      <c r="S49" s="81"/>
    </row>
    <row r="50" spans="1:19">
      <c r="A50" s="12" t="s">
        <v>549</v>
      </c>
      <c r="B50" s="147">
        <f>+GETPIVOTDATA(" New All Ranks avg",'Averages Pivot Table'!$A$3,"State","MS","Category",7,"Category2","Two-Year")</f>
        <v>0</v>
      </c>
      <c r="C50" s="141">
        <f>IF(B50&gt;0,(RANK(B50,B$40:B$58)),0)</f>
        <v>0</v>
      </c>
      <c r="D50" s="147">
        <f>+GETPIVOTDATA(" New All Ranks avg",'Averages Pivot Table'!$A$3,"State","MS","Category",8,"Category2","Two-Year")</f>
        <v>45357.72233112195</v>
      </c>
      <c r="E50" s="141">
        <f>IF(D50&gt;0,(RANK(D50,D$40:D$58)),0)</f>
        <v>12</v>
      </c>
      <c r="F50" s="147">
        <f>+GETPIVOTDATA(" New All Ranks avg",'Averages Pivot Table'!$A$3,"State","MS","Category",9,"Category2","Two-Year")</f>
        <v>49932.742239300307</v>
      </c>
      <c r="G50" s="141">
        <f>IF(F50&gt;0,(RANK(F50,F$40:F$58)),0)</f>
        <v>5</v>
      </c>
      <c r="H50" s="155">
        <f>+GETPIVOTDATA(" New All Ranks avg",'Averages Pivot Table'!$A$3,"State","MS","Category",10,"Category2","Two-Year")</f>
        <v>45837.326193421053</v>
      </c>
      <c r="I50" s="229">
        <f>IF(H50&gt;0,(RANK(H50,H$40:H$58)),0)</f>
        <v>8</v>
      </c>
      <c r="J50" s="155">
        <f>+GETPIVOTDATA(" New All Ranks avg",'Averages Pivot Table'!$A$3,"State","MS","Category",11,"Category2","Two-Year")</f>
        <v>0</v>
      </c>
      <c r="K50" s="141">
        <f>IF(J50&gt;0,(RANK(J50,J$40:J$58)),0)</f>
        <v>0</v>
      </c>
      <c r="L50" s="156">
        <f>+GETPIVOTDATA(" New All Ranks avg",'Averages Pivot Table'!$A$3,"State","MS","Category2","Two-Year")</f>
        <v>47867.382526692323</v>
      </c>
      <c r="M50" s="229">
        <f>IF(L50&gt;0,(RANK(L50,L$40:L$58)),0)</f>
        <v>9</v>
      </c>
      <c r="Q50" s="282">
        <f>(L50-S50)/S50</f>
        <v>4.8983736009261827E-2</v>
      </c>
      <c r="R50" s="74" t="s">
        <v>549</v>
      </c>
      <c r="S50" s="81">
        <f>+GETPIVOTDATA(" Old All Ranks avg",'Averages Pivot Table'!$A$3,"State","MS","Category2","Two-Year")</f>
        <v>45632.149368490958</v>
      </c>
    </row>
    <row r="51" spans="1:19" ht="12.95" customHeight="1">
      <c r="A51" s="12" t="s">
        <v>550</v>
      </c>
      <c r="B51" s="147">
        <f>+GETPIVOTDATA(" New All Ranks avg",'Averages Pivot Table'!$A$3,"State","NC","Category",7,"Category2","Two-Year")</f>
        <v>0</v>
      </c>
      <c r="C51" s="141">
        <f>IF(B51&gt;0,(RANK(B51,B$40:B$58)),0)</f>
        <v>0</v>
      </c>
      <c r="D51" s="147">
        <f>+GETPIVOTDATA(" New All Ranks avg",'Averages Pivot Table'!$A$3,"State","NC","Category",8,"Category2","Two-Year")</f>
        <v>48146.103434662458</v>
      </c>
      <c r="E51" s="141">
        <f>IF(D51&gt;0,(RANK(D51,D$40:D$58)),0)</f>
        <v>9</v>
      </c>
      <c r="F51" s="147">
        <f>+GETPIVOTDATA(" New All Ranks avg",'Averages Pivot Table'!$A$3,"State","NC","Category",9,"Category2","Two-Year")</f>
        <v>47594.178623718886</v>
      </c>
      <c r="G51" s="141">
        <f>IF(F51&gt;0,(RANK(F51,F$40:F$58)),0)</f>
        <v>8</v>
      </c>
      <c r="H51" s="155">
        <f>+GETPIVOTDATA(" New All Ranks avg",'Averages Pivot Table'!$A$3,"State","NC","Category",10,"Category2","Two-Year")</f>
        <v>45068.324324324327</v>
      </c>
      <c r="I51" s="229">
        <f>IF(H51&gt;0,(RANK(H51,H$40:H$58)),0)</f>
        <v>10</v>
      </c>
      <c r="J51" s="155">
        <f>+GETPIVOTDATA(" New All Ranks avg",'Averages Pivot Table'!$A$3,"State","NC","Category",11,"Category2","Two-Year")</f>
        <v>0</v>
      </c>
      <c r="K51" s="141">
        <f>IF(J51&gt;0,(RANK(J51,J$40:J$58)),0)</f>
        <v>0</v>
      </c>
      <c r="L51" s="156">
        <f>+GETPIVOTDATA(" New All Ranks avg",'Averages Pivot Table'!$A$3,"State","NC","Category2","Two-Year")</f>
        <v>47593.521649484537</v>
      </c>
      <c r="M51" s="229">
        <f>IF(L51&gt;0,(RANK(L51,L$40:L$58)),0)</f>
        <v>11</v>
      </c>
      <c r="Q51" s="282">
        <f>(L51-S51)/S51</f>
        <v>2.8986346839080305E-2</v>
      </c>
      <c r="R51" s="74" t="s">
        <v>550</v>
      </c>
      <c r="S51" s="81">
        <f>+GETPIVOTDATA(" Old All Ranks avg",'Averages Pivot Table'!$A$3,"State","NC","Category2","Two-Year")</f>
        <v>46252.821328179904</v>
      </c>
    </row>
    <row r="52" spans="1:19" ht="12.95" customHeight="1">
      <c r="A52" s="12" t="s">
        <v>551</v>
      </c>
      <c r="B52" s="147">
        <f>+GETPIVOTDATA(" New All Ranks avg",'Averages Pivot Table'!$A$3,"State","OK","Category",7,"Category2","Two-Year")</f>
        <v>39204.437361290322</v>
      </c>
      <c r="C52" s="141">
        <f>IF(B52&gt;0,(RANK(B52,B$40:B$58)),0)</f>
        <v>6</v>
      </c>
      <c r="D52" s="147">
        <f>+GETPIVOTDATA(" New All Ranks avg",'Averages Pivot Table'!$A$3,"State","OK","Category",8,"Category2","Two-Year")</f>
        <v>53802.34243423424</v>
      </c>
      <c r="E52" s="141">
        <f>IF(D52&gt;0,(RANK(D52,D$40:D$58)),0)</f>
        <v>4</v>
      </c>
      <c r="F52" s="147">
        <f>+GETPIVOTDATA(" New All Ranks avg",'Averages Pivot Table'!$A$3,"State","OK","Category",9,"Category2","Two-Year")</f>
        <v>42519.112682962965</v>
      </c>
      <c r="G52" s="141">
        <f>IF(F52&gt;0,(RANK(F52,F$40:F$58)),0)</f>
        <v>15</v>
      </c>
      <c r="H52" s="155">
        <f>+GETPIVOTDATA(" New All Ranks avg",'Averages Pivot Table'!$A$3,"State","OK","Category",10,"Category2","Two-Year")</f>
        <v>41481.003092307692</v>
      </c>
      <c r="I52" s="229">
        <f>IF(H52&gt;0,(RANK(H52,H$40:H$58)),0)</f>
        <v>15</v>
      </c>
      <c r="J52" s="155">
        <f>+GETPIVOTDATA(" New All Ranks avg",'Averages Pivot Table'!$A$3,"State","OK","Category",11,"Category2","Two-Year")</f>
        <v>0</v>
      </c>
      <c r="K52" s="141">
        <f>IF(J52&gt;0,(RANK(J52,J$40:J$58)),0)</f>
        <v>0</v>
      </c>
      <c r="L52" s="156">
        <f>+GETPIVOTDATA(" New All Ranks avg",'Averages Pivot Table'!$A$3,"State","OK","Category2","Two-Year")</f>
        <v>45887.667158904114</v>
      </c>
      <c r="M52" s="229">
        <f>IF(L52&gt;0,(RANK(L52,L$40:L$58)),0)</f>
        <v>15</v>
      </c>
      <c r="Q52" s="282">
        <f>(L52-S52)/S52</f>
        <v>-1.003748187634382E-3</v>
      </c>
      <c r="R52" s="74" t="s">
        <v>551</v>
      </c>
      <c r="S52" s="81">
        <f>+GETPIVOTDATA(" Old All Ranks avg",'Averages Pivot Table'!$A$3,"State","OK","Category2","Two-Year")</f>
        <v>45933.773100404855</v>
      </c>
    </row>
    <row r="53" spans="1:19" ht="12.95" customHeight="1">
      <c r="A53" s="12" t="s">
        <v>552</v>
      </c>
      <c r="B53" s="147">
        <f>+GETPIVOTDATA(" New All Ranks avg",'Averages Pivot Table'!$A$3,"State","SC","Category",7,"Category2","Two-Year")</f>
        <v>55925.767807547178</v>
      </c>
      <c r="C53" s="141">
        <f>IF(B53&gt;0,(RANK(B53,B$40:B$58)),0)</f>
        <v>2</v>
      </c>
      <c r="D53" s="147">
        <f>+GETPIVOTDATA(" New All Ranks avg",'Averages Pivot Table'!$A$3,"State","SC","Category",8,"Category2","Two-Year")</f>
        <v>47161.037602820208</v>
      </c>
      <c r="E53" s="141">
        <f>IF(D53&gt;0,(RANK(D53,D$40:D$58)),0)</f>
        <v>11</v>
      </c>
      <c r="F53" s="147">
        <f>+GETPIVOTDATA(" New All Ranks avg",'Averages Pivot Table'!$A$3,"State","SC","Category",9,"Category2","Two-Year")</f>
        <v>46374.906552094522</v>
      </c>
      <c r="G53" s="141">
        <f>IF(F53&gt;0,(RANK(F53,F$40:F$58)),0)</f>
        <v>13</v>
      </c>
      <c r="H53" s="155">
        <f>+GETPIVOTDATA(" New All Ranks avg",'Averages Pivot Table'!$A$3,"State","SC","Category",10,"Category2","Two-Year")</f>
        <v>42621.185643346013</v>
      </c>
      <c r="I53" s="229">
        <f>IF(H53&gt;0,(RANK(H53,H$40:H$58)),0)</f>
        <v>13</v>
      </c>
      <c r="J53" s="155">
        <f>+GETPIVOTDATA(" New All Ranks avg",'Averages Pivot Table'!$A$3,"State","SC","Category",11,"Category2","Two-Year")</f>
        <v>0</v>
      </c>
      <c r="K53" s="141">
        <f>IF(J53&gt;0,(RANK(J53,J$40:J$58)),0)</f>
        <v>0</v>
      </c>
      <c r="L53" s="156">
        <f>+GETPIVOTDATA(" New All Ranks avg",'Averages Pivot Table'!$A$3,"State","SC","Category2","Two-Year")</f>
        <v>46464.498816968538</v>
      </c>
      <c r="M53" s="229">
        <f>IF(L53&gt;0,(RANK(L53,L$40:L$58)),0)</f>
        <v>14</v>
      </c>
      <c r="Q53" s="282">
        <f>(L53-S53)/S53</f>
        <v>1.735627496817359E-3</v>
      </c>
      <c r="R53" s="74" t="s">
        <v>552</v>
      </c>
      <c r="S53" s="81">
        <f>+GETPIVOTDATA(" Old All Ranks avg",'Averages Pivot Table'!$A$3,"State","SC","Category2","Two-Year")</f>
        <v>46383.99348246817</v>
      </c>
    </row>
    <row r="54" spans="1:19" ht="12.95" customHeight="1">
      <c r="A54" s="12"/>
      <c r="B54" s="147"/>
      <c r="C54" s="141"/>
      <c r="D54" s="147"/>
      <c r="E54" s="141"/>
      <c r="F54" s="147"/>
      <c r="G54" s="141"/>
      <c r="H54" s="155"/>
      <c r="I54" s="229"/>
      <c r="J54" s="155"/>
      <c r="K54" s="141"/>
      <c r="L54" s="156"/>
      <c r="M54" s="229"/>
      <c r="Q54" s="282"/>
      <c r="S54" s="81"/>
    </row>
    <row r="55" spans="1:19" ht="12.95" customHeight="1">
      <c r="A55" s="12" t="s">
        <v>553</v>
      </c>
      <c r="B55" s="147">
        <f>+GETPIVOTDATA(" New All Ranks avg",'Averages Pivot Table'!$A$3,"State","TN","Category",7,"Category2","Two-Year")</f>
        <v>0</v>
      </c>
      <c r="C55" s="141">
        <f>IF(B55&gt;0,(RANK(B55,B$40:B$58)),0)</f>
        <v>0</v>
      </c>
      <c r="D55" s="147">
        <f>+GETPIVOTDATA(" New All Ranks avg",'Averages Pivot Table'!$A$3,"State","TN","Category",8,"Category2","Two-Year")</f>
        <v>48463.846128037381</v>
      </c>
      <c r="E55" s="141">
        <f>IF(D55&gt;0,(RANK(D55,D$40:D$58)),0)</f>
        <v>8</v>
      </c>
      <c r="F55" s="147">
        <f>+GETPIVOTDATA(" New All Ranks avg",'Averages Pivot Table'!$A$3,"State","TN","Category",9,"Category2","Two-Year")</f>
        <v>46620.891757965452</v>
      </c>
      <c r="G55" s="141">
        <f>IF(F55&gt;0,(RANK(F55,F$40:F$58)),0)</f>
        <v>11</v>
      </c>
      <c r="H55" s="155">
        <f>+GETPIVOTDATA(" New All Ranks avg",'Averages Pivot Table'!$A$3,"State","TN","Category",10,"Category2","Two-Year")</f>
        <v>47748.88366428572</v>
      </c>
      <c r="I55" s="229">
        <f>IF(H55&gt;0,(RANK(H55,H$40:H$58)),0)</f>
        <v>6</v>
      </c>
      <c r="J55" s="155">
        <f>+GETPIVOTDATA(" New All Ranks avg",'Averages Pivot Table'!$A$3,"State","TN","Category",11,"Category2","Two-Year")</f>
        <v>0</v>
      </c>
      <c r="K55" s="141">
        <f>IF(J55&gt;0,(RANK(J55,J$40:J$58)),0)</f>
        <v>0</v>
      </c>
      <c r="L55" s="156">
        <f>+GETPIVOTDATA(" New All Ranks avg",'Averages Pivot Table'!$A$3,"State","TN","Category2","Two-Year")</f>
        <v>47337.181558160919</v>
      </c>
      <c r="M55" s="229">
        <f>IF(L55&gt;0,(RANK(L55,L$40:L$58)),0)</f>
        <v>12</v>
      </c>
      <c r="O55" s="234"/>
      <c r="Q55" s="282">
        <f>(L55-S55)/S55</f>
        <v>-5.1811724693190805E-3</v>
      </c>
      <c r="R55" s="74" t="s">
        <v>553</v>
      </c>
      <c r="S55" s="81">
        <f>+GETPIVOTDATA(" Old All Ranks avg",'Averages Pivot Table'!$A$3,"State","TN","Category2","Two-Year")</f>
        <v>47583.721023515718</v>
      </c>
    </row>
    <row r="56" spans="1:19" ht="12.95" customHeight="1">
      <c r="A56" s="12" t="s">
        <v>554</v>
      </c>
      <c r="B56" s="147">
        <f>+GETPIVOTDATA(" New All Ranks avg",'Averages Pivot Table'!$A$3,"State","TX","Category",7,"Category2","Two-Year")</f>
        <v>0</v>
      </c>
      <c r="C56" s="141">
        <f>IF(B56&gt;0,(RANK(B56,B$40:B$58)),0)</f>
        <v>0</v>
      </c>
      <c r="D56" s="147">
        <f>+GETPIVOTDATA(" New All Ranks avg",'Averages Pivot Table'!$A$3,"State","TX","Category",8,"Category2","Two-Year")</f>
        <v>55360.271821419883</v>
      </c>
      <c r="E56" s="141">
        <f>IF(D56&gt;0,(RANK(D56,D$40:D$58)),0)</f>
        <v>3</v>
      </c>
      <c r="F56" s="147">
        <f>+GETPIVOTDATA(" New All Ranks avg",'Averages Pivot Table'!$A$3,"State","TX","Category",9,"Category2","Two-Year")</f>
        <v>48637.302915009146</v>
      </c>
      <c r="G56" s="141">
        <f>IF(F56&gt;0,(RANK(F56,F$40:F$58)),0)</f>
        <v>6</v>
      </c>
      <c r="H56" s="155">
        <f>+GETPIVOTDATA(" New All Ranks avg",'Averages Pivot Table'!$A$3,"State","TX","Category",10,"Category2","Two-Year")</f>
        <v>42610.265975757575</v>
      </c>
      <c r="I56" s="229">
        <f>IF(H56&gt;0,(RANK(H56,H$40:H$58)),0)</f>
        <v>14</v>
      </c>
      <c r="J56" s="155">
        <f>+GETPIVOTDATA(" New All Ranks avg",'Averages Pivot Table'!$A$3,"State","TX","Category",11,"Category2","Two-Year")</f>
        <v>0</v>
      </c>
      <c r="K56" s="141">
        <f>IF(J56&gt;0,(RANK(J56,J$40:J$58)),0)</f>
        <v>0</v>
      </c>
      <c r="L56" s="156">
        <f>+GETPIVOTDATA(" New All Ranks avg",'Averages Pivot Table'!$A$3,"State","TX","Category2","Two-Year")</f>
        <v>52940.823387550772</v>
      </c>
      <c r="M56" s="229">
        <f>IF(L56&gt;0,(RANK(L56,L$40:L$58)),0)</f>
        <v>6</v>
      </c>
      <c r="O56" s="235"/>
      <c r="Q56" s="282">
        <f>(L56-S56)/S56</f>
        <v>4.6252012499278843E-2</v>
      </c>
      <c r="R56" s="74" t="s">
        <v>554</v>
      </c>
      <c r="S56" s="81">
        <f>+GETPIVOTDATA(" Old All Ranks avg",'Averages Pivot Table'!$A$3,"State","TX","Category2","Two-Year")</f>
        <v>50600.45070889387</v>
      </c>
    </row>
    <row r="57" spans="1:19" ht="12.95" customHeight="1">
      <c r="A57" s="12" t="s">
        <v>555</v>
      </c>
      <c r="B57" s="147">
        <f>+GETPIVOTDATA(" New All Ranks avg",'Averages Pivot Table'!$A$3,"State","VA","Category",7,"Category2","Two-Year")</f>
        <v>0</v>
      </c>
      <c r="C57" s="141">
        <f>IF(B57&gt;0,(RANK(B57,B$40:B$58)),0)</f>
        <v>0</v>
      </c>
      <c r="D57" s="147">
        <f>+GETPIVOTDATA(" New All Ranks avg",'Averages Pivot Table'!$A$3,"State","VA","Category",8,"Category2","Two-Year")</f>
        <v>0</v>
      </c>
      <c r="E57" s="141">
        <f>IF(D57&gt;0,(RANK(D57,D$40:D$58)),0)</f>
        <v>0</v>
      </c>
      <c r="F57" s="147">
        <f>+GETPIVOTDATA(" New All Ranks avg",'Averages Pivot Table'!$A$3,"State","VA","Category",9,"Category2","Two-Year")</f>
        <v>0</v>
      </c>
      <c r="G57" s="141">
        <f>IF(F57&gt;0,(RANK(F57,F$40:F$58)),0)</f>
        <v>0</v>
      </c>
      <c r="H57" s="155">
        <f>+GETPIVOTDATA(" New All Ranks avg",'Averages Pivot Table'!$A$3,"State","VA","Category",10,"Category2","Two-Year")</f>
        <v>56461.272727272728</v>
      </c>
      <c r="I57" s="229">
        <f>IF(H57&gt;0,(RANK(H57,H$40:H$58)),0)</f>
        <v>3</v>
      </c>
      <c r="J57" s="155">
        <f>+GETPIVOTDATA(" New All Ranks avg",'Averages Pivot Table'!$A$3,"State","VA","Category",11,"Category2","Two-Year")</f>
        <v>57347.378781491716</v>
      </c>
      <c r="K57" s="141">
        <f>IF(J57&gt;0,(RANK(J57,J$40:J$58)),0)</f>
        <v>1</v>
      </c>
      <c r="L57" s="156">
        <f>+GETPIVOTDATA(" New All Ranks avg",'Averages Pivot Table'!$A$3,"State","VA","Category2","Two-Year")</f>
        <v>57334.117330340137</v>
      </c>
      <c r="M57" s="229">
        <f>IF(L57&gt;0,(RANK(L57,L$40:L$58)),0)</f>
        <v>3</v>
      </c>
      <c r="O57" s="235"/>
      <c r="Q57" s="282">
        <f>(L57-S57)/S57</f>
        <v>5.1262380654020737E-2</v>
      </c>
      <c r="R57" s="74" t="s">
        <v>555</v>
      </c>
      <c r="S57" s="81">
        <f>+GETPIVOTDATA(" Old All Ranks avg",'Averages Pivot Table'!$A$3,"State","VA","Category2","Two-Year")</f>
        <v>54538.351590847305</v>
      </c>
    </row>
    <row r="58" spans="1:19" ht="12.95" customHeight="1">
      <c r="A58" s="11" t="s">
        <v>556</v>
      </c>
      <c r="B58" s="148">
        <f>+GETPIVOTDATA(" New All Ranks avg",'Averages Pivot Table'!$A$3,"State","WV","Category",7,"Category2","Two-Year")</f>
        <v>47024.646954022988</v>
      </c>
      <c r="C58" s="65">
        <f>IF(B58&gt;0,(RANK(B58,B$40:B$58)),0)</f>
        <v>5</v>
      </c>
      <c r="D58" s="148">
        <f>+GETPIVOTDATA(" New All Ranks avg",'Averages Pivot Table'!$A$3,"State","WV","Category",8,"Category2","Two-Year")</f>
        <v>0</v>
      </c>
      <c r="E58" s="65">
        <f>IF(D58&gt;0,(RANK(D58,D$40:D$58)),0)</f>
        <v>0</v>
      </c>
      <c r="F58" s="148">
        <f>+GETPIVOTDATA(" New All Ranks avg",'Averages Pivot Table'!$A$3,"State","WV","Category",9,"Category2","Two-Year")</f>
        <v>54917.659460000003</v>
      </c>
      <c r="G58" s="65">
        <f>IF(F58&gt;0,(RANK(F58,F$40:F$58)),0)</f>
        <v>3</v>
      </c>
      <c r="H58" s="157">
        <f>+GETPIVOTDATA(" New All Ranks avg",'Averages Pivot Table'!$A$3,"State","WV","Category",10,"Category2","Two-Year")</f>
        <v>45176.843276502732</v>
      </c>
      <c r="I58" s="230">
        <f>IF(H58&gt;0,(RANK(H58,H$40:H$58)),0)</f>
        <v>9</v>
      </c>
      <c r="J58" s="157">
        <f>+GETPIVOTDATA(" New All Ranks avg",'Averages Pivot Table'!$A$3,"State","WV","Category",11,"Category2","Two-Year")</f>
        <v>0</v>
      </c>
      <c r="K58" s="65">
        <f>IF(J58&gt;0,(RANK(J58,J$40:J$58)),0)</f>
        <v>0</v>
      </c>
      <c r="L58" s="158">
        <f>+GETPIVOTDATA(" New All Ranks avg",'Averages Pivot Table'!$A$3,"State","WV","Category2","Two-Year")</f>
        <v>46629.4902374269</v>
      </c>
      <c r="M58" s="230">
        <f>IF(L58&gt;0,(RANK(L58,L$40:L$58)),0)</f>
        <v>13</v>
      </c>
      <c r="O58" s="235"/>
      <c r="Q58" s="282">
        <f>(L58-S58)/S58</f>
        <v>3.1290029629019368E-2</v>
      </c>
      <c r="R58" s="74" t="s">
        <v>556</v>
      </c>
      <c r="S58" s="81">
        <f>+GETPIVOTDATA(" Old All Ranks avg",'Averages Pivot Table'!$A$3,"State","WV","Category2","Two-Year")</f>
        <v>45214.72029958506</v>
      </c>
    </row>
    <row r="59" spans="1:19" ht="30" customHeight="1">
      <c r="A59" s="512" t="s">
        <v>425</v>
      </c>
      <c r="B59" s="512"/>
      <c r="C59" s="512"/>
      <c r="D59" s="512"/>
      <c r="E59" s="512"/>
      <c r="F59" s="512"/>
      <c r="G59" s="512"/>
      <c r="H59" s="512"/>
      <c r="I59" s="512"/>
      <c r="J59" s="512"/>
      <c r="K59" s="512"/>
      <c r="L59" s="512"/>
      <c r="M59" s="512"/>
      <c r="N59" s="197"/>
      <c r="O59" s="236"/>
      <c r="Q59" s="280"/>
    </row>
    <row r="60" spans="1:19">
      <c r="M60" s="487" t="s">
        <v>1000</v>
      </c>
      <c r="Q60" s="280"/>
    </row>
    <row r="61" spans="1:19" ht="18">
      <c r="A61" s="13" t="s">
        <v>566</v>
      </c>
      <c r="B61" s="13"/>
      <c r="C61" s="13"/>
      <c r="D61" s="13"/>
      <c r="E61" s="13"/>
      <c r="F61" s="13"/>
      <c r="G61" s="146"/>
      <c r="H61" s="146"/>
      <c r="I61" s="224"/>
      <c r="J61" s="146" t="s">
        <v>560</v>
      </c>
      <c r="K61" s="146"/>
      <c r="O61" s="235"/>
      <c r="Q61" s="280"/>
    </row>
    <row r="62" spans="1:19">
      <c r="A62" s="5"/>
      <c r="B62" s="5"/>
      <c r="C62" s="5"/>
      <c r="D62" s="5"/>
      <c r="E62" s="5"/>
      <c r="F62" s="5"/>
      <c r="G62" s="146"/>
      <c r="H62" s="146"/>
      <c r="I62" s="224"/>
      <c r="J62" s="146"/>
      <c r="K62" s="146"/>
      <c r="O62" s="235"/>
      <c r="Q62" s="280"/>
    </row>
    <row r="63" spans="1:19">
      <c r="A63" s="505" t="s">
        <v>541</v>
      </c>
      <c r="B63" s="505"/>
      <c r="C63" s="505"/>
      <c r="D63" s="505"/>
      <c r="E63" s="505"/>
      <c r="F63" s="505"/>
      <c r="G63" s="505"/>
      <c r="H63" s="505"/>
      <c r="I63" s="505"/>
      <c r="J63" s="146" t="s">
        <v>560</v>
      </c>
      <c r="K63" s="146"/>
      <c r="O63" s="235"/>
      <c r="Q63" s="280"/>
    </row>
    <row r="64" spans="1:19">
      <c r="A64" s="505" t="s">
        <v>30</v>
      </c>
      <c r="B64" s="505"/>
      <c r="C64" s="505"/>
      <c r="D64" s="505"/>
      <c r="E64" s="505"/>
      <c r="F64" s="505"/>
      <c r="G64" s="505"/>
      <c r="H64" s="505"/>
      <c r="I64" s="505"/>
      <c r="J64" s="146" t="s">
        <v>560</v>
      </c>
      <c r="K64" s="146"/>
      <c r="O64" s="235"/>
      <c r="Q64" s="280"/>
    </row>
    <row r="65" spans="1:19">
      <c r="A65" s="5"/>
      <c r="B65" s="5"/>
      <c r="C65" s="5"/>
      <c r="D65" s="5"/>
      <c r="E65" s="5"/>
      <c r="F65" s="5"/>
      <c r="G65" s="146"/>
      <c r="H65" s="146"/>
      <c r="I65" s="224"/>
      <c r="J65" s="146"/>
      <c r="K65" s="146"/>
      <c r="L65" s="137"/>
      <c r="M65" s="201"/>
      <c r="N65" s="137"/>
      <c r="O65" s="237"/>
      <c r="Q65" s="280"/>
    </row>
    <row r="66" spans="1:19" s="168" customFormat="1" ht="48" customHeight="1">
      <c r="A66" s="165"/>
      <c r="B66" s="193" t="s">
        <v>585</v>
      </c>
      <c r="C66" s="194"/>
      <c r="D66" s="193" t="s">
        <v>338</v>
      </c>
      <c r="E66" s="19"/>
      <c r="F66" s="193" t="s">
        <v>339</v>
      </c>
      <c r="G66" s="19"/>
      <c r="H66" s="195" t="s">
        <v>340</v>
      </c>
      <c r="I66" s="226"/>
      <c r="L66" s="169" t="s">
        <v>560</v>
      </c>
      <c r="M66" s="259"/>
      <c r="N66" s="169"/>
      <c r="O66" s="238"/>
      <c r="Q66" s="280" t="s">
        <v>335</v>
      </c>
      <c r="R66" s="209"/>
      <c r="S66" s="74" t="s">
        <v>334</v>
      </c>
    </row>
    <row r="67" spans="1:19">
      <c r="A67" s="16"/>
      <c r="B67" s="60" t="s">
        <v>439</v>
      </c>
      <c r="C67" s="61" t="s">
        <v>530</v>
      </c>
      <c r="D67" s="60" t="s">
        <v>439</v>
      </c>
      <c r="E67" s="61" t="s">
        <v>530</v>
      </c>
      <c r="F67" s="60" t="s">
        <v>439</v>
      </c>
      <c r="G67" s="61" t="s">
        <v>530</v>
      </c>
      <c r="H67" s="145" t="s">
        <v>439</v>
      </c>
      <c r="I67" s="256" t="s">
        <v>530</v>
      </c>
      <c r="L67" s="144"/>
      <c r="M67" s="232"/>
      <c r="N67" s="144"/>
      <c r="O67" s="235"/>
      <c r="Q67" s="280"/>
    </row>
    <row r="68" spans="1:19" s="168" customFormat="1" ht="18" customHeight="1">
      <c r="A68" s="181" t="s">
        <v>559</v>
      </c>
      <c r="B68" s="185">
        <f>+GETPIVOTDATA(" New All Ranks avg",'Averages Pivot Table'!$A$3,"Category",12,"Category2","Technical Institutes")</f>
        <v>45659.377434844864</v>
      </c>
      <c r="C68" s="185"/>
      <c r="D68" s="185">
        <f>+GETPIVOTDATA(" New All Ranks avg",'Averages Pivot Table'!$A$3,"Category",13,"Category2","Technical Institutes")</f>
        <v>44009.67154984596</v>
      </c>
      <c r="E68" s="185"/>
      <c r="F68" s="185">
        <f>+GETPIVOTDATA(" New All Ranks avg",'Averages Pivot Table'!$A$3,"Category",14,"Category2","Technical Institutes")</f>
        <v>34482.075575237992</v>
      </c>
      <c r="G68" s="188"/>
      <c r="H68" s="185">
        <f>+GETPIVOTDATA(" New All Ranks avg",'Averages Pivot Table'!$A$3,"Category2","Technical Institutes")</f>
        <v>43840.405358662356</v>
      </c>
      <c r="I68" s="257"/>
      <c r="J68" s="185"/>
      <c r="K68" s="185"/>
      <c r="L68" s="185"/>
      <c r="M68" s="233"/>
      <c r="N68" s="187"/>
      <c r="O68" s="238"/>
      <c r="Q68" s="281">
        <f>(H68-S68)/S68</f>
        <v>1.5216097340164821E-2</v>
      </c>
      <c r="R68" s="209" t="s">
        <v>559</v>
      </c>
      <c r="S68" s="184">
        <f>+GETPIVOTDATA(" Old All Ranks avg",'Averages Pivot Table'!$A$3,"Category2","Technical Institutes")</f>
        <v>43183.323701744761</v>
      </c>
    </row>
    <row r="69" spans="1:19" ht="12.95" customHeight="1">
      <c r="A69" s="12"/>
      <c r="B69" s="62"/>
      <c r="C69" s="62"/>
      <c r="D69" s="62"/>
      <c r="E69" s="62"/>
      <c r="F69" s="149"/>
      <c r="G69" s="159"/>
      <c r="H69" s="160"/>
      <c r="I69" s="162"/>
      <c r="J69" s="137"/>
      <c r="O69" s="235"/>
      <c r="Q69" s="282"/>
      <c r="S69" s="81"/>
    </row>
    <row r="70" spans="1:19" ht="12.95" customHeight="1">
      <c r="A70" s="12" t="s">
        <v>542</v>
      </c>
      <c r="B70" s="62">
        <f>+GETPIVOTDATA(" New All Ranks avg",'Averages Pivot Table'!$A$3,"State","AL","Category",12,"Category2","Technical Institutes")</f>
        <v>54893.849078787876</v>
      </c>
      <c r="C70" s="141">
        <f>IF(B70&gt;0,(RANK(B70,B$70:B$88)),0)</f>
        <v>1</v>
      </c>
      <c r="D70" s="62">
        <f>+GETPIVOTDATA(" New All Ranks avg",'Averages Pivot Table'!$A$3,"State","AL","Category",13,"Category2","Technical Institutes")</f>
        <v>57120.489175280898</v>
      </c>
      <c r="E70" s="141">
        <f>IF(D70&gt;0,(RANK(D70,D$70:D$88)),0)</f>
        <v>1</v>
      </c>
      <c r="F70" s="62">
        <f>+GETPIVOTDATA(" New All Ranks avg",'Averages Pivot Table'!$A$3,"State","AL","Category",14,"Category2","Technical Institutes")</f>
        <v>0</v>
      </c>
      <c r="G70" s="141">
        <f>IF(F70&gt;0,(RANK(F70,F$70:F$88)),0)</f>
        <v>0</v>
      </c>
      <c r="H70" s="160">
        <f>+GETPIVOTDATA(" New All Ranks avg",'Averages Pivot Table'!$A$3,"State","AL","Category2","Technical Institutes")</f>
        <v>56172.371456774192</v>
      </c>
      <c r="I70" s="229">
        <f>IF(H70&gt;0,(RANK(H70,H$70:H$88)),0)</f>
        <v>1</v>
      </c>
      <c r="J70" s="137"/>
      <c r="O70" s="237"/>
      <c r="Q70" s="282">
        <f>(H70-S70)/S70</f>
        <v>4.5255385886190116E-2</v>
      </c>
      <c r="R70" s="74" t="s">
        <v>542</v>
      </c>
      <c r="S70" s="81">
        <f>+GETPIVOTDATA(" Old All Ranks avg",'Averages Pivot Table'!$A$3,"State","AL","Category2","Technical Institutes")</f>
        <v>53740.331994701985</v>
      </c>
    </row>
    <row r="71" spans="1:19" ht="12.95" customHeight="1">
      <c r="A71" s="12" t="s">
        <v>543</v>
      </c>
      <c r="B71" s="62">
        <f>+GETPIVOTDATA(" New All Ranks avg",'Averages Pivot Table'!$A$3,"State","AR","Category",12,"Category2","Technical Institutes")</f>
        <v>0</v>
      </c>
      <c r="C71" s="141">
        <f>IF(B71&gt;0,(RANK(B71,B$70:B$88)),0)</f>
        <v>0</v>
      </c>
      <c r="D71" s="62">
        <f>+GETPIVOTDATA(" New All Ranks avg",'Averages Pivot Table'!$A$3,"State","AR","Category",13,"Category2","Technical Institutes")</f>
        <v>0</v>
      </c>
      <c r="E71" s="141">
        <f>IF(D71&gt;0,(RANK(D71,D$70:D$88)),0)</f>
        <v>0</v>
      </c>
      <c r="F71" s="62">
        <f>+GETPIVOTDATA(" New All Ranks avg",'Averages Pivot Table'!$A$3,"State","AR","Category",14,"Category2","Technical Institutes")</f>
        <v>0</v>
      </c>
      <c r="G71" s="141">
        <f>IF(F71&gt;0,(RANK(F71,F$70:F$88)),0)</f>
        <v>0</v>
      </c>
      <c r="H71" s="160">
        <f>+GETPIVOTDATA(" New All Ranks avg",'Averages Pivot Table'!$A$3,"State","AR","Category2","Technical Institutes")</f>
        <v>0</v>
      </c>
      <c r="I71" s="229">
        <f>IF(H71&gt;0,(RANK(H71,H$70:H$88)),0)</f>
        <v>0</v>
      </c>
      <c r="J71" s="137"/>
      <c r="O71" s="235"/>
      <c r="Q71" s="282" t="e">
        <f>(H71-S71)/S71</f>
        <v>#DIV/0!</v>
      </c>
      <c r="R71" s="74" t="s">
        <v>543</v>
      </c>
      <c r="S71" s="81">
        <f>+GETPIVOTDATA(" Old All Ranks avg",'Averages Pivot Table'!$A$3,"State","AR","Category2","Technical Institutes")</f>
        <v>0</v>
      </c>
    </row>
    <row r="72" spans="1:19" ht="12.95" customHeight="1">
      <c r="A72" s="12" t="s">
        <v>558</v>
      </c>
      <c r="B72" s="62">
        <f>+GETPIVOTDATA(" New All Ranks avg",'Averages Pivot Table'!$A$3,"State","DE","Category",12,"Category2","Technical Institutes")</f>
        <v>0</v>
      </c>
      <c r="C72" s="141">
        <f>IF(B72&gt;0,(RANK(B72,B$70:B$88)),0)</f>
        <v>0</v>
      </c>
      <c r="D72" s="62">
        <f>+GETPIVOTDATA(" New All Ranks avg",'Averages Pivot Table'!$A$3,"State","DE","Category",13,"Category2","Technical Institutes")</f>
        <v>0</v>
      </c>
      <c r="E72" s="141">
        <f>IF(D72&gt;0,(RANK(D72,D$70:D$88)),0)</f>
        <v>0</v>
      </c>
      <c r="F72" s="62">
        <f>+GETPIVOTDATA(" New All Ranks avg",'Averages Pivot Table'!$A$3,"State","DE","Category",14,"Category2","Technical Institutes")</f>
        <v>0</v>
      </c>
      <c r="G72" s="141">
        <f>IF(F72&gt;0,(RANK(F72,F$70:F$88)),0)</f>
        <v>0</v>
      </c>
      <c r="H72" s="160">
        <f>+GETPIVOTDATA(" New All Ranks avg",'Averages Pivot Table'!$A$3,"State","DE","Category2","Technical Institutes")</f>
        <v>0</v>
      </c>
      <c r="I72" s="229">
        <f>IF(H72&gt;0,(RANK(H72,H$70:H$88)),0)</f>
        <v>0</v>
      </c>
      <c r="J72" s="137"/>
      <c r="O72" s="235"/>
      <c r="Q72" s="282" t="e">
        <f>(H72-S72)/S72</f>
        <v>#DIV/0!</v>
      </c>
      <c r="R72" s="74" t="s">
        <v>558</v>
      </c>
      <c r="S72" s="81">
        <f>+GETPIVOTDATA(" Old All Ranks avg",'Averages Pivot Table'!$A$3,"State","DE","Category2","Technical Institutes")</f>
        <v>0</v>
      </c>
    </row>
    <row r="73" spans="1:19" ht="12.95" customHeight="1">
      <c r="A73" s="12" t="s">
        <v>544</v>
      </c>
      <c r="B73" s="62">
        <f>+GETPIVOTDATA(" New All Ranks avg",'Averages Pivot Table'!$A$3,"State","FL","Category",12,"Category2","Technical Institutes")</f>
        <v>0</v>
      </c>
      <c r="C73" s="141">
        <f>IF(B73&gt;0,(RANK(B73,B$70:B$88)),0)</f>
        <v>0</v>
      </c>
      <c r="D73" s="62">
        <f>+GETPIVOTDATA(" New All Ranks avg",'Averages Pivot Table'!$A$3,"State","FL","Category",13,"Category2","Technical Institutes")</f>
        <v>0</v>
      </c>
      <c r="E73" s="141">
        <f>IF(D73&gt;0,(RANK(D73,D$70:D$88)),0)</f>
        <v>0</v>
      </c>
      <c r="F73" s="62">
        <f>+GETPIVOTDATA(" New All Ranks avg",'Averages Pivot Table'!$A$3,"State","FL","Category",14,"Category2","Technical Institutes")</f>
        <v>0</v>
      </c>
      <c r="G73" s="141">
        <f>IF(F73&gt;0,(RANK(F73,F$70:F$88)),0)</f>
        <v>0</v>
      </c>
      <c r="H73" s="160">
        <f>+GETPIVOTDATA(" New All Ranks avg",'Averages Pivot Table'!$A$3,"State","FL","Category2","Technical Institutes")</f>
        <v>0</v>
      </c>
      <c r="I73" s="229">
        <f>IF(H73&gt;0,(RANK(H73,H$70:H$88)),0)</f>
        <v>0</v>
      </c>
      <c r="J73" s="137"/>
      <c r="O73" s="235"/>
      <c r="Q73" s="282" t="e">
        <f>(H73-S73)/S73</f>
        <v>#DIV/0!</v>
      </c>
      <c r="R73" s="74" t="s">
        <v>544</v>
      </c>
      <c r="S73" s="81">
        <f>+GETPIVOTDATA(" Old All Ranks avg",'Averages Pivot Table'!$A$3,"State","FL","Category2","Technical Institutes")</f>
        <v>0</v>
      </c>
    </row>
    <row r="74" spans="1:19" ht="12.95" customHeight="1">
      <c r="A74" s="12"/>
      <c r="B74" s="62"/>
      <c r="C74" s="141"/>
      <c r="D74" s="62"/>
      <c r="E74" s="141"/>
      <c r="F74" s="62"/>
      <c r="G74" s="141"/>
      <c r="H74" s="160"/>
      <c r="I74" s="229"/>
      <c r="J74" s="137"/>
      <c r="O74" s="235"/>
      <c r="Q74" s="282"/>
      <c r="S74" s="81"/>
    </row>
    <row r="75" spans="1:19" ht="12.95" customHeight="1">
      <c r="A75" s="12" t="s">
        <v>545</v>
      </c>
      <c r="B75" s="62">
        <f>+GETPIVOTDATA(" New All Ranks avg",'Averages Pivot Table'!$A$3,"State","GA","Category",12,"Category2","Technical Institutes")</f>
        <v>44695.738556866629</v>
      </c>
      <c r="C75" s="141">
        <f>IF(B75&gt;0,(RANK(B75,B$70:B$88)),0)</f>
        <v>3</v>
      </c>
      <c r="D75" s="62">
        <f>+GETPIVOTDATA(" New All Ranks avg",'Averages Pivot Table'!$A$3,"State","GA","Category",13,"Category2","Technical Institutes")</f>
        <v>39561.627796135268</v>
      </c>
      <c r="E75" s="141">
        <f>IF(D75&gt;0,(RANK(D75,D$70:D$88)),0)</f>
        <v>3</v>
      </c>
      <c r="F75" s="62">
        <f>+GETPIVOTDATA(" New All Ranks avg",'Averages Pivot Table'!$A$3,"State","GA","Category",14,"Category2","Technical Institutes")</f>
        <v>0</v>
      </c>
      <c r="G75" s="141">
        <f>IF(F75&gt;0,(RANK(F75,F$70:F$88)),0)</f>
        <v>0</v>
      </c>
      <c r="H75" s="160">
        <f>+GETPIVOTDATA(" New All Ranks avg",'Averages Pivot Table'!$A$3,"State","GA","Category2","Technical Institutes")</f>
        <v>44217.878427607902</v>
      </c>
      <c r="I75" s="229">
        <f>IF(H75&gt;0,(RANK(H75,H$70:H$88)),0)</f>
        <v>4</v>
      </c>
      <c r="J75" s="137"/>
      <c r="O75" s="235"/>
      <c r="Q75" s="282">
        <f>(H75-S75)/S75</f>
        <v>8.7814017435626814E-3</v>
      </c>
      <c r="R75" s="74" t="s">
        <v>545</v>
      </c>
      <c r="S75" s="81">
        <f>+GETPIVOTDATA(" Old All Ranks avg",'Averages Pivot Table'!$A$3,"State","GA","Category2","Technical Institutes")</f>
        <v>43832.963564933278</v>
      </c>
    </row>
    <row r="76" spans="1:19" ht="12.95" customHeight="1">
      <c r="A76" s="12" t="s">
        <v>546</v>
      </c>
      <c r="B76" s="62">
        <f>+GETPIVOTDATA(" New All Ranks avg",'Averages Pivot Table'!$A$3,"State","KY","Category",12,"Category2","Technical Institutes")</f>
        <v>44303.800137777776</v>
      </c>
      <c r="C76" s="141">
        <f>IF(B76&gt;0,(RANK(B76,B$70:B$88)),0)</f>
        <v>4</v>
      </c>
      <c r="D76" s="62">
        <f>+GETPIVOTDATA(" New All Ranks avg",'Averages Pivot Table'!$A$3,"State","KY","Category",13,"Category2","Technical Institutes")</f>
        <v>0</v>
      </c>
      <c r="E76" s="141">
        <f>IF(D76&gt;0,(RANK(D76,D$70:D$88)),0)</f>
        <v>0</v>
      </c>
      <c r="F76" s="62">
        <f>+GETPIVOTDATA(" New All Ranks avg",'Averages Pivot Table'!$A$3,"State","KY","Category",14,"Category2","Technical Institutes")</f>
        <v>0</v>
      </c>
      <c r="G76" s="141">
        <f>IF(F76&gt;0,(RANK(F76,F$70:F$88)),0)</f>
        <v>0</v>
      </c>
      <c r="H76" s="160">
        <f>+GETPIVOTDATA(" New All Ranks avg",'Averages Pivot Table'!$A$3,"State","KY","Category2","Technical Institutes")</f>
        <v>44303.800137777776</v>
      </c>
      <c r="I76" s="229">
        <f>IF(H76&gt;0,(RANK(H76,H$70:H$88)),0)</f>
        <v>3</v>
      </c>
      <c r="J76" s="137"/>
      <c r="O76" s="235"/>
      <c r="Q76" s="282">
        <f>(H76-S76)/S76</f>
        <v>-4.6685460562023726E-3</v>
      </c>
      <c r="R76" s="74" t="s">
        <v>546</v>
      </c>
      <c r="S76" s="81">
        <f>+GETPIVOTDATA(" Old All Ranks avg",'Averages Pivot Table'!$A$3,"State","KY","Category2","Technical Institutes")</f>
        <v>44511.604613953488</v>
      </c>
    </row>
    <row r="77" spans="1:19" ht="12.95" customHeight="1">
      <c r="A77" s="12" t="s">
        <v>547</v>
      </c>
      <c r="B77" s="62">
        <f>+GETPIVOTDATA(" New All Ranks avg",'Averages Pivot Table'!$A$3,"State","LA","Category",12,"Category2","Technical Institutes")</f>
        <v>42381.866177464792</v>
      </c>
      <c r="C77" s="141">
        <f>IF(B77&gt;0,(RANK(B77,B$70:B$88)),0)</f>
        <v>5</v>
      </c>
      <c r="D77" s="62">
        <f>+GETPIVOTDATA(" New All Ranks avg",'Averages Pivot Table'!$A$3,"State","LA","Category",13,"Category2","Technical Institutes")</f>
        <v>37606.366093333338</v>
      </c>
      <c r="E77" s="141">
        <f>IF(D77&gt;0,(RANK(D77,D$70:D$88)),0)</f>
        <v>5</v>
      </c>
      <c r="F77" s="62">
        <f>+GETPIVOTDATA(" New All Ranks avg",'Averages Pivot Table'!$A$3,"State","LA","Category",14,"Category2","Technical Institutes")</f>
        <v>34482.075575237992</v>
      </c>
      <c r="G77" s="141">
        <f>IF(F77&gt;0,(RANK(F77,F$70:F$88)),0)</f>
        <v>1</v>
      </c>
      <c r="H77" s="160">
        <f>+GETPIVOTDATA(" New All Ranks avg",'Averages Pivot Table'!$A$3,"State","LA","Category2","Technical Institutes")</f>
        <v>35588.508076929458</v>
      </c>
      <c r="I77" s="229">
        <f>IF(H77&gt;0,(RANK(H77,H$70:H$88)),0)</f>
        <v>6</v>
      </c>
      <c r="J77" s="137"/>
      <c r="Q77" s="282">
        <f>(H77-S77)/S77</f>
        <v>2.4781750448493751E-2</v>
      </c>
      <c r="R77" s="74" t="s">
        <v>547</v>
      </c>
      <c r="S77" s="81">
        <f>+GETPIVOTDATA(" Old All Ranks avg",'Averages Pivot Table'!$A$3,"State","LA","Category2","Technical Institutes")</f>
        <v>34727.890169154765</v>
      </c>
    </row>
    <row r="78" spans="1:19" ht="12.95" customHeight="1">
      <c r="A78" s="12" t="s">
        <v>548</v>
      </c>
      <c r="B78" s="62">
        <f>+GETPIVOTDATA(" New All Ranks avg",'Averages Pivot Table'!$A$3,"State","MD","Category",12,"Category2","Technical Institutes")</f>
        <v>0</v>
      </c>
      <c r="C78" s="141">
        <f>IF(B78&gt;0,(RANK(B78,B$70:B$88)),0)</f>
        <v>0</v>
      </c>
      <c r="D78" s="62">
        <f>+GETPIVOTDATA(" New All Ranks avg",'Averages Pivot Table'!$A$3,"State","MD","Category",13,"Category2","Technical Institutes")</f>
        <v>0</v>
      </c>
      <c r="E78" s="141">
        <f>IF(D78&gt;0,(RANK(D78,D$70:D$88)),0)</f>
        <v>0</v>
      </c>
      <c r="F78" s="62">
        <f>+GETPIVOTDATA(" New All Ranks avg",'Averages Pivot Table'!$A$3,"State","MD","Category",14,"Category2","Technical Institutes")</f>
        <v>0</v>
      </c>
      <c r="G78" s="141">
        <f>IF(F78&gt;0,(RANK(F78,F$70:F$88)),0)</f>
        <v>0</v>
      </c>
      <c r="H78" s="160">
        <f>+GETPIVOTDATA(" New All Ranks avg",'Averages Pivot Table'!$A$3,"State","MD","Category2","Technical Institutes")</f>
        <v>0</v>
      </c>
      <c r="I78" s="229">
        <f>IF(H78&gt;0,(RANK(H78,H$70:H$88)),0)</f>
        <v>0</v>
      </c>
      <c r="J78" s="137"/>
      <c r="Q78" s="282" t="e">
        <f>(H78-S78)/S78</f>
        <v>#DIV/0!</v>
      </c>
      <c r="R78" s="74" t="s">
        <v>548</v>
      </c>
      <c r="S78" s="81">
        <f>+GETPIVOTDATA(" Old All Ranks avg",'Averages Pivot Table'!$A$3,"State","MD","Category2","Technical Institutes")</f>
        <v>0</v>
      </c>
    </row>
    <row r="79" spans="1:19" ht="12.95" customHeight="1">
      <c r="A79" s="12"/>
      <c r="B79" s="62"/>
      <c r="C79" s="141"/>
      <c r="D79" s="62"/>
      <c r="E79" s="141"/>
      <c r="F79" s="62"/>
      <c r="G79" s="141"/>
      <c r="H79" s="160"/>
      <c r="I79" s="229"/>
      <c r="J79" s="137"/>
      <c r="Q79" s="282"/>
      <c r="S79" s="81"/>
    </row>
    <row r="80" spans="1:19" ht="12.95" customHeight="1">
      <c r="A80" s="12" t="s">
        <v>549</v>
      </c>
      <c r="B80" s="62">
        <f>+GETPIVOTDATA(" New All Ranks avg",'Averages Pivot Table'!$A$3,"State","MS","Category",12,"Category2","Technical Institutes")</f>
        <v>0</v>
      </c>
      <c r="C80" s="141">
        <f>IF(B80&gt;0,(RANK(B80,B$70:B$88)),0)</f>
        <v>0</v>
      </c>
      <c r="D80" s="62">
        <f>+GETPIVOTDATA(" New All Ranks avg",'Averages Pivot Table'!$A$3,"State","MS","Category",13,"Category2","Technical Institutes")</f>
        <v>0</v>
      </c>
      <c r="E80" s="141">
        <f>IF(D80&gt;0,(RANK(D80,D$70:D$88)),0)</f>
        <v>0</v>
      </c>
      <c r="F80" s="62">
        <f>+GETPIVOTDATA(" New All Ranks avg",'Averages Pivot Table'!$A$3,"State","MS","Category",14,"Category2","Technical Institutes")</f>
        <v>0</v>
      </c>
      <c r="G80" s="141">
        <f>IF(F80&gt;0,(RANK(F80,F$70:F$88)),0)</f>
        <v>0</v>
      </c>
      <c r="H80" s="160">
        <f>+GETPIVOTDATA(" New All Ranks avg",'Averages Pivot Table'!$A$3,"State","MS","Category2","Technical Institutes")</f>
        <v>0</v>
      </c>
      <c r="I80" s="229">
        <f>IF(H80&gt;0,(RANK(H80,H$70:H$88)),0)</f>
        <v>0</v>
      </c>
      <c r="J80" s="137"/>
      <c r="Q80" s="282" t="e">
        <f>(H80-S80)/S80</f>
        <v>#DIV/0!</v>
      </c>
      <c r="R80" s="74" t="s">
        <v>549</v>
      </c>
      <c r="S80" s="81">
        <f>+GETPIVOTDATA(" Old All Ranks avg",'Averages Pivot Table'!$A$3,"State","MS","Category2","Technical Institutes")</f>
        <v>0</v>
      </c>
    </row>
    <row r="81" spans="1:19" ht="12.95" customHeight="1">
      <c r="A81" s="12" t="s">
        <v>550</v>
      </c>
      <c r="B81" s="62">
        <f>+GETPIVOTDATA(" New All Ranks avg",'Averages Pivot Table'!$A$3,"State","NC","Category",12,"Category2","Technical Institutes")</f>
        <v>0</v>
      </c>
      <c r="C81" s="141">
        <f>IF(B81&gt;0,(RANK(B81,B$70:B$88)),0)</f>
        <v>0</v>
      </c>
      <c r="D81" s="62">
        <f>+GETPIVOTDATA(" New All Ranks avg",'Averages Pivot Table'!$A$3,"State","NC","Category",13,"Category2","Technical Institutes")</f>
        <v>0</v>
      </c>
      <c r="E81" s="141">
        <f>IF(D81&gt;0,(RANK(D81,D$70:D$88)),0)</f>
        <v>0</v>
      </c>
      <c r="F81" s="62">
        <f>+GETPIVOTDATA(" New All Ranks avg",'Averages Pivot Table'!$A$3,"State","NC","Category",14,"Category2","Technical Institutes")</f>
        <v>0</v>
      </c>
      <c r="G81" s="141">
        <f>IF(F81&gt;0,(RANK(F81,F$70:F$88)),0)</f>
        <v>0</v>
      </c>
      <c r="H81" s="160">
        <f>+GETPIVOTDATA(" New All Ranks avg",'Averages Pivot Table'!$A$3,"State","NC","Category2","Technical Institutes")</f>
        <v>0</v>
      </c>
      <c r="I81" s="229">
        <f>IF(H81&gt;0,(RANK(H81,H$70:H$88)),0)</f>
        <v>0</v>
      </c>
      <c r="J81" s="137"/>
      <c r="Q81" s="282" t="e">
        <f>(H81-S81)/S81</f>
        <v>#DIV/0!</v>
      </c>
      <c r="R81" s="74" t="s">
        <v>550</v>
      </c>
      <c r="S81" s="81">
        <f>+GETPIVOTDATA(" Old All Ranks avg",'Averages Pivot Table'!$A$3,"State","NC","Category2","Technical Institutes")</f>
        <v>0</v>
      </c>
    </row>
    <row r="82" spans="1:19" ht="12.95" customHeight="1">
      <c r="A82" s="12" t="s">
        <v>551</v>
      </c>
      <c r="B82" s="62">
        <f>+GETPIVOTDATA(" New All Ranks avg",'Averages Pivot Table'!$A$3,"State","OK","Category",12,"Category2","Technical Institutes")</f>
        <v>53436.669536000001</v>
      </c>
      <c r="C82" s="141">
        <f>IF(B82&gt;0,(RANK(B82,B$70:B$88)),0)</f>
        <v>2</v>
      </c>
      <c r="D82" s="62">
        <f>+GETPIVOTDATA(" New All Ranks avg",'Averages Pivot Table'!$A$3,"State","OK","Category",13,"Category2","Technical Institutes")</f>
        <v>47283.97662826856</v>
      </c>
      <c r="E82" s="141">
        <f>IF(D82&gt;0,(RANK(D82,D$70:D$88)),0)</f>
        <v>2</v>
      </c>
      <c r="F82" s="62">
        <f>+GETPIVOTDATA(" New All Ranks avg",'Averages Pivot Table'!$A$3,"State","OK","Category",14,"Category2","Technical Institutes")</f>
        <v>0</v>
      </c>
      <c r="G82" s="141">
        <f>IF(F82&gt;0,(RANK(F82,F$70:F$88)),0)</f>
        <v>0</v>
      </c>
      <c r="H82" s="160">
        <f>+GETPIVOTDATA(" New All Ranks avg",'Averages Pivot Table'!$A$3,"State","OK","Category2","Technical Institutes")</f>
        <v>48572.948606145255</v>
      </c>
      <c r="I82" s="229">
        <f>IF(H82&gt;0,(RANK(H82,H$70:H$88)),0)</f>
        <v>2</v>
      </c>
      <c r="J82" s="137"/>
      <c r="Q82" s="282">
        <f>(H82-S82)/S82</f>
        <v>2.4794202447291729E-2</v>
      </c>
      <c r="R82" s="74" t="s">
        <v>551</v>
      </c>
      <c r="S82" s="81">
        <f>+GETPIVOTDATA(" Old All Ranks avg",'Averages Pivot Table'!$A$3,"State","OK","Category2","Technical Institutes")</f>
        <v>47397.758974581542</v>
      </c>
    </row>
    <row r="83" spans="1:19" ht="12.95" customHeight="1">
      <c r="A83" s="12" t="s">
        <v>552</v>
      </c>
      <c r="B83" s="62">
        <f>+GETPIVOTDATA(" New All Ranks avg",'Averages Pivot Table'!$A$3,"State","SC","Category",12,"Category2","Technical Institutes")</f>
        <v>0</v>
      </c>
      <c r="C83" s="141">
        <f>IF(B83&gt;0,(RANK(B83,B$70:B$88)),0)</f>
        <v>0</v>
      </c>
      <c r="D83" s="62">
        <f>+GETPIVOTDATA(" New All Ranks avg",'Averages Pivot Table'!$A$3,"State","SC","Category",13,"Category2","Technical Institutes")</f>
        <v>0</v>
      </c>
      <c r="E83" s="141">
        <f>IF(D83&gt;0,(RANK(D83,D$70:D$88)),0)</f>
        <v>0</v>
      </c>
      <c r="F83" s="62">
        <f>+GETPIVOTDATA(" New All Ranks avg",'Averages Pivot Table'!$A$3,"State","SC","Category",14,"Category2","Technical Institutes")</f>
        <v>0</v>
      </c>
      <c r="G83" s="141">
        <f>IF(F83&gt;0,(RANK(F83,F$70:F$88)),0)</f>
        <v>0</v>
      </c>
      <c r="H83" s="160">
        <f>+GETPIVOTDATA(" New All Ranks avg",'Averages Pivot Table'!$A$3,"State","SC","Category2","Technical Institutes")</f>
        <v>0</v>
      </c>
      <c r="I83" s="229">
        <f>IF(H83&gt;0,(RANK(H83,H$70:H$88)),0)</f>
        <v>0</v>
      </c>
      <c r="J83" s="137"/>
      <c r="Q83" s="282" t="e">
        <f>(H83-S83)/S83</f>
        <v>#DIV/0!</v>
      </c>
      <c r="R83" s="74" t="s">
        <v>552</v>
      </c>
      <c r="S83" s="81">
        <f>+GETPIVOTDATA(" Old All Ranks avg",'Averages Pivot Table'!$A$3,"State","SC","Category2","Technical Institutes")</f>
        <v>0</v>
      </c>
    </row>
    <row r="84" spans="1:19" ht="12.95" customHeight="1">
      <c r="A84" s="12"/>
      <c r="B84" s="62"/>
      <c r="C84" s="141"/>
      <c r="D84" s="62"/>
      <c r="E84" s="141"/>
      <c r="F84" s="62"/>
      <c r="G84" s="141"/>
      <c r="H84" s="160"/>
      <c r="I84" s="229"/>
      <c r="J84" s="137"/>
      <c r="Q84" s="282"/>
      <c r="S84" s="81"/>
    </row>
    <row r="85" spans="1:19" ht="12.95" customHeight="1">
      <c r="A85" s="12" t="s">
        <v>553</v>
      </c>
      <c r="B85" s="140">
        <f>+GETPIVOTDATA(" New All Ranks avg",'Averages Pivot Table'!$A$3,"State","TN","Category",12,"Category2","Technical Institutes")</f>
        <v>0</v>
      </c>
      <c r="C85" s="141">
        <f>IF(B85&gt;0,(RANK(B85,B$70:B$88)),0)</f>
        <v>0</v>
      </c>
      <c r="D85" s="140">
        <f>+GETPIVOTDATA(" New All Ranks avg",'Averages Pivot Table'!$A$3,"State","TN","Category",13,"Category2","Technical Institutes")</f>
        <v>37686.683148729797</v>
      </c>
      <c r="E85" s="141">
        <f>IF(D85&gt;0,(RANK(D85,D$70:D$88)),0)</f>
        <v>4</v>
      </c>
      <c r="F85" s="140">
        <f>+GETPIVOTDATA(" New All Ranks avg",'Averages Pivot Table'!$A$3,"State","TN","Category",14,"Category2","Technical Institutes")</f>
        <v>0</v>
      </c>
      <c r="G85" s="141">
        <f>IF(F85&gt;0,(RANK(F85,F$70:F$88)),0)</f>
        <v>0</v>
      </c>
      <c r="H85" s="160">
        <f>+GETPIVOTDATA(" New All Ranks avg",'Averages Pivot Table'!$A$3,"State","TN","Category2","Technical Institutes")</f>
        <v>37686.683148729797</v>
      </c>
      <c r="I85" s="229">
        <f>IF(H85&gt;0,(RANK(H85,H$70:H$88)),0)</f>
        <v>5</v>
      </c>
      <c r="J85" s="137"/>
      <c r="Q85" s="282">
        <f>(H85-S85)/S85</f>
        <v>1.1066763710120456E-2</v>
      </c>
      <c r="R85" s="74" t="s">
        <v>553</v>
      </c>
      <c r="S85" s="81">
        <f>+GETPIVOTDATA(" Old All Ranks avg",'Averages Pivot Table'!$A$3,"State","TN","Category2","Technical Institutes")</f>
        <v>37274.178621437524</v>
      </c>
    </row>
    <row r="86" spans="1:19" ht="12.95" customHeight="1">
      <c r="A86" s="12" t="s">
        <v>554</v>
      </c>
      <c r="B86" s="140">
        <f>+GETPIVOTDATA(" New All Ranks avg",'Averages Pivot Table'!$A$3,"State","TX","Category",12,"Category2","Technical Institutes")</f>
        <v>0</v>
      </c>
      <c r="C86" s="141">
        <f>IF(B86&gt;0,(RANK(B86,B$70:B$88)),0)</f>
        <v>0</v>
      </c>
      <c r="D86" s="140">
        <f>+GETPIVOTDATA(" New All Ranks avg",'Averages Pivot Table'!$A$3,"State","TX","Category",13,"Category2","Technical Institutes")</f>
        <v>0</v>
      </c>
      <c r="E86" s="141">
        <f>IF(D86&gt;0,(RANK(D86,D$70:D$88)),0)</f>
        <v>0</v>
      </c>
      <c r="F86" s="140">
        <f>+GETPIVOTDATA(" New All Ranks avg",'Averages Pivot Table'!$A$3,"State","TX","Category",14,"Category2","Technical Institutes")</f>
        <v>0</v>
      </c>
      <c r="G86" s="141">
        <f>IF(F86&gt;0,(RANK(F86,F$70:F$88)),0)</f>
        <v>0</v>
      </c>
      <c r="H86" s="160">
        <f>+GETPIVOTDATA(" New All Ranks avg",'Averages Pivot Table'!$A$3,"State","TX","Category2","Technical Institutes")</f>
        <v>0</v>
      </c>
      <c r="I86" s="229">
        <f>IF(H86&gt;0,(RANK(H86,H$70:H$88)),0)</f>
        <v>0</v>
      </c>
      <c r="J86" s="137"/>
      <c r="Q86" s="282" t="e">
        <f>(H86-S86)/S86</f>
        <v>#DIV/0!</v>
      </c>
      <c r="R86" s="74" t="s">
        <v>554</v>
      </c>
      <c r="S86" s="81">
        <f>+GETPIVOTDATA(" Old All Ranks avg",'Averages Pivot Table'!$A$3,"State","TX","Category2","Technical Institutes")</f>
        <v>0</v>
      </c>
    </row>
    <row r="87" spans="1:19" ht="12.95" customHeight="1">
      <c r="A87" s="12" t="s">
        <v>555</v>
      </c>
      <c r="B87" s="140">
        <f>+GETPIVOTDATA(" New All Ranks avg",'Averages Pivot Table'!$A$3,"State","VA","Category",12,"Category2","Technical Institutes")</f>
        <v>0</v>
      </c>
      <c r="C87" s="141">
        <f>IF(B87&gt;0,(RANK(B87,B$70:B$88)),0)</f>
        <v>0</v>
      </c>
      <c r="D87" s="140">
        <f>+GETPIVOTDATA(" New All Ranks avg",'Averages Pivot Table'!$A$3,"State","VA","Category",13,"Category2","Technical Institutes")</f>
        <v>0</v>
      </c>
      <c r="E87" s="141">
        <f>IF(D87&gt;0,(RANK(D87,D$70:D$88)),0)</f>
        <v>0</v>
      </c>
      <c r="F87" s="140">
        <f>+GETPIVOTDATA(" New All Ranks avg",'Averages Pivot Table'!$A$3,"State","VA","Category",14,"Category2","Technical Institutes")</f>
        <v>0</v>
      </c>
      <c r="G87" s="141">
        <f>IF(F87&gt;0,(RANK(F87,F$70:F$88)),0)</f>
        <v>0</v>
      </c>
      <c r="H87" s="160">
        <f>+GETPIVOTDATA(" New All Ranks avg",'Averages Pivot Table'!$A$3,"State","VA","Category2","Technical Institutes")</f>
        <v>0</v>
      </c>
      <c r="I87" s="229">
        <f>IF(H87&gt;0,(RANK(H87,H$70:H$88)),0)</f>
        <v>0</v>
      </c>
      <c r="J87" s="137"/>
      <c r="Q87" s="282" t="e">
        <f>(H87-S87)/S87</f>
        <v>#DIV/0!</v>
      </c>
      <c r="R87" s="74" t="s">
        <v>555</v>
      </c>
      <c r="S87" s="81">
        <f>+GETPIVOTDATA(" Old All Ranks avg",'Averages Pivot Table'!$A$3,"State","VA","Category2","Technical Institutes")</f>
        <v>0</v>
      </c>
    </row>
    <row r="88" spans="1:19" ht="12.95" customHeight="1">
      <c r="A88" s="11" t="s">
        <v>556</v>
      </c>
      <c r="B88" s="64">
        <f>+GETPIVOTDATA(" New All Ranks avg",'Averages Pivot Table'!$A$3,"State","WV","Category",12,"Category2","Technical Institutes")</f>
        <v>0</v>
      </c>
      <c r="C88" s="65">
        <f>IF(B88&gt;0,(RANK(B88,B$70:B$88)),0)</f>
        <v>0</v>
      </c>
      <c r="D88" s="64">
        <f>+GETPIVOTDATA(" New All Ranks avg",'Averages Pivot Table'!$A$3,"State","WV","Category",13,"Category2","Technical Institutes")</f>
        <v>0</v>
      </c>
      <c r="E88" s="65">
        <f>IF(D88&gt;0,(RANK(D88,D$70:D$88)),0)</f>
        <v>0</v>
      </c>
      <c r="F88" s="64">
        <f>+GETPIVOTDATA(" New All Ranks avg",'Averages Pivot Table'!$A$3,"State","WV","Category",14,"Category2","Technical Institutes")</f>
        <v>0</v>
      </c>
      <c r="G88" s="65">
        <f>IF(F88&gt;0,(RANK(F88,F$70:F$88)),0)</f>
        <v>0</v>
      </c>
      <c r="H88" s="161">
        <f>+GETPIVOTDATA(" New All Ranks avg",'Averages Pivot Table'!$A$3,"State","WV","Category2","Technical Institutes")</f>
        <v>0</v>
      </c>
      <c r="I88" s="230">
        <f>IF(H88&gt;0,(RANK(H88,H$70:H$88)),0)</f>
        <v>0</v>
      </c>
      <c r="J88" s="137"/>
      <c r="Q88" s="282" t="e">
        <f>(H88-S88)/S88</f>
        <v>#DIV/0!</v>
      </c>
      <c r="R88" s="74" t="s">
        <v>556</v>
      </c>
      <c r="S88" s="81">
        <f>+GETPIVOTDATA(" Old All Ranks avg",'Averages Pivot Table'!$A$3,"State","WV","Category2","Technical Institutes")</f>
        <v>0</v>
      </c>
    </row>
    <row r="89" spans="1:19" ht="39" customHeight="1">
      <c r="A89" s="506" t="s">
        <v>426</v>
      </c>
      <c r="B89" s="507"/>
      <c r="C89" s="507"/>
      <c r="D89" s="507"/>
      <c r="E89" s="507"/>
      <c r="F89" s="507"/>
      <c r="G89" s="509"/>
      <c r="H89" s="509"/>
      <c r="I89" s="509"/>
      <c r="J89" s="137"/>
    </row>
    <row r="90" spans="1:19">
      <c r="I90" s="487" t="s">
        <v>1000</v>
      </c>
    </row>
    <row r="91" spans="1:19" ht="18">
      <c r="A91" s="504" t="s">
        <v>567</v>
      </c>
      <c r="B91" s="504"/>
      <c r="C91" s="504"/>
      <c r="D91" s="504"/>
      <c r="E91" s="504"/>
      <c r="F91" s="504"/>
      <c r="G91" s="504"/>
      <c r="H91" s="504"/>
      <c r="I91" s="504"/>
      <c r="J91" s="504"/>
      <c r="K91" s="504"/>
      <c r="L91" s="504"/>
      <c r="M91" s="504"/>
      <c r="N91" s="180"/>
      <c r="O91" s="179"/>
    </row>
    <row r="92" spans="1:19">
      <c r="A92" s="23"/>
      <c r="B92" s="5"/>
      <c r="C92" s="5"/>
      <c r="D92" s="5"/>
      <c r="E92" s="5"/>
      <c r="F92" s="5"/>
      <c r="G92" s="5"/>
      <c r="H92" s="5"/>
      <c r="I92" s="172"/>
      <c r="J92" s="5"/>
      <c r="K92" s="5"/>
      <c r="L92" s="5"/>
      <c r="M92" s="172"/>
      <c r="N92" s="5"/>
      <c r="O92" s="172"/>
    </row>
    <row r="93" spans="1:19">
      <c r="A93" s="505" t="s">
        <v>557</v>
      </c>
      <c r="B93" s="505"/>
      <c r="C93" s="505"/>
      <c r="D93" s="505"/>
      <c r="E93" s="505"/>
      <c r="F93" s="505"/>
      <c r="G93" s="505"/>
      <c r="H93" s="505"/>
      <c r="I93" s="505"/>
      <c r="J93" s="505"/>
      <c r="K93" s="505"/>
      <c r="L93" s="505"/>
      <c r="M93" s="505"/>
      <c r="N93" s="191"/>
      <c r="O93" s="239"/>
    </row>
    <row r="94" spans="1:19">
      <c r="A94" s="505" t="s">
        <v>28</v>
      </c>
      <c r="B94" s="505"/>
      <c r="C94" s="505"/>
      <c r="D94" s="505"/>
      <c r="E94" s="505"/>
      <c r="F94" s="505"/>
      <c r="G94" s="505"/>
      <c r="H94" s="505"/>
      <c r="I94" s="505"/>
      <c r="J94" s="505"/>
      <c r="K94" s="505"/>
      <c r="L94" s="505"/>
      <c r="M94" s="505"/>
      <c r="N94" s="191"/>
      <c r="O94" s="239"/>
    </row>
    <row r="95" spans="1:19">
      <c r="A95" s="12"/>
      <c r="B95" s="12"/>
      <c r="C95" s="12"/>
      <c r="D95" s="12"/>
      <c r="E95" s="12"/>
      <c r="F95" s="12"/>
      <c r="G95" s="12"/>
      <c r="H95" s="12"/>
      <c r="I95" s="243"/>
      <c r="J95" s="12"/>
      <c r="K95" s="12"/>
      <c r="L95" s="12"/>
      <c r="M95" s="243"/>
      <c r="N95" s="12"/>
      <c r="O95" s="243"/>
    </row>
    <row r="96" spans="1:19" ht="31.5" customHeight="1">
      <c r="A96" s="15"/>
      <c r="B96" s="21" t="s">
        <v>435</v>
      </c>
      <c r="C96" s="22"/>
      <c r="D96" s="152" t="s">
        <v>436</v>
      </c>
      <c r="E96" s="153"/>
      <c r="F96" s="152" t="s">
        <v>437</v>
      </c>
      <c r="G96" s="153"/>
      <c r="H96" s="21" t="s">
        <v>438</v>
      </c>
      <c r="I96" s="253"/>
      <c r="J96" s="152" t="s">
        <v>584</v>
      </c>
      <c r="K96" s="153"/>
      <c r="L96" s="22" t="s">
        <v>415</v>
      </c>
      <c r="M96" s="253"/>
      <c r="N96" s="63" t="s">
        <v>560</v>
      </c>
      <c r="O96" s="240"/>
    </row>
    <row r="97" spans="1:19">
      <c r="A97" s="16"/>
      <c r="B97" s="19" t="s">
        <v>439</v>
      </c>
      <c r="C97" s="18" t="s">
        <v>530</v>
      </c>
      <c r="D97" s="19" t="s">
        <v>439</v>
      </c>
      <c r="E97" s="18" t="s">
        <v>530</v>
      </c>
      <c r="F97" s="19" t="s">
        <v>439</v>
      </c>
      <c r="G97" s="18" t="s">
        <v>530</v>
      </c>
      <c r="H97" s="19" t="s">
        <v>439</v>
      </c>
      <c r="I97" s="254" t="s">
        <v>530</v>
      </c>
      <c r="J97" s="19" t="s">
        <v>439</v>
      </c>
      <c r="K97" s="18" t="s">
        <v>530</v>
      </c>
      <c r="L97" s="19" t="s">
        <v>439</v>
      </c>
      <c r="M97" s="254" t="s">
        <v>530</v>
      </c>
    </row>
    <row r="98" spans="1:19" s="168" customFormat="1" ht="18" customHeight="1">
      <c r="A98" s="181" t="s">
        <v>559</v>
      </c>
      <c r="B98" s="185">
        <f>+GETPIVOTDATA(" New Prof avg",'Averages Pivot Table'!$A$3,"Category2","Four-Year")</f>
        <v>101919.63016437185</v>
      </c>
      <c r="C98" s="185"/>
      <c r="D98" s="185">
        <f>+GETPIVOTDATA(" New Asc. avg",'Averages Pivot Table'!$A$3,"Category2","Four-Year")</f>
        <v>73623.308864481543</v>
      </c>
      <c r="E98" s="185"/>
      <c r="F98" s="185">
        <f>+GETPIVOTDATA(" New Ast. avg",'Averages Pivot Table'!$A$3,"Category2","Four-Year")</f>
        <v>61770.329631887864</v>
      </c>
      <c r="G98" s="185"/>
      <c r="H98" s="185">
        <f>+GETPIVOTDATA(" New Inst. avg",'Averages Pivot Table'!$A$3,"Category2","Four-Year")</f>
        <v>43959.861102362491</v>
      </c>
      <c r="I98" s="257"/>
      <c r="J98" s="185">
        <f>+GETPIVOTDATA(" New Undesg. avg",'Averages Pivot Table'!$A$3,"Category2","Four-Year")</f>
        <v>49744.05225430771</v>
      </c>
      <c r="K98" s="185"/>
      <c r="L98" s="185">
        <f>+GETPIVOTDATA(" New All Ranks avg",'Averages Pivot Table'!$A$3,"Category2","Four-Year")</f>
        <v>72997.97146246965</v>
      </c>
      <c r="M98" s="260"/>
      <c r="N98" s="185"/>
      <c r="O98" s="244"/>
      <c r="Q98" s="209"/>
      <c r="R98" s="209"/>
      <c r="S98" s="209"/>
    </row>
    <row r="99" spans="1:19" ht="12.95" customHeight="1">
      <c r="A99" s="12"/>
      <c r="B99" s="9"/>
      <c r="C99" s="17"/>
      <c r="D99" s="9"/>
      <c r="E99" s="17"/>
      <c r="F99" s="9"/>
      <c r="G99" s="17"/>
      <c r="H99" s="9"/>
      <c r="I99" s="261"/>
      <c r="J99" s="9"/>
      <c r="K99" s="17"/>
      <c r="L99" s="9"/>
      <c r="M99" s="261"/>
      <c r="N99" s="9"/>
      <c r="O99" s="245"/>
    </row>
    <row r="100" spans="1:19" ht="12.95" customHeight="1">
      <c r="A100" s="12" t="s">
        <v>542</v>
      </c>
      <c r="B100" s="10">
        <f>+GETPIVOTDATA(" New Prof avg",'Averages Pivot Table'!$A$3,"State","AL","Category2","Four-Year")</f>
        <v>99986.842366827506</v>
      </c>
      <c r="C100" s="141">
        <f t="shared" ref="C100:C118" si="0">IF(B100&gt;0,(RANK(B100,B$100:B$118)),0)</f>
        <v>8</v>
      </c>
      <c r="D100" s="10">
        <f>+GETPIVOTDATA(" New Asc. avg",'Averages Pivot Table'!$A$3,"State","AL","Category2","Four-Year")</f>
        <v>72712.041995601554</v>
      </c>
      <c r="E100" s="141">
        <f t="shared" ref="E100:E118" si="1">IF(D100&gt;0,(RANK(D100,D$100:D$118)),0)</f>
        <v>7</v>
      </c>
      <c r="F100" s="10">
        <f>+GETPIVOTDATA(" New Ast. avg",'Averages Pivot Table'!$A$3,"State","AL","Category2","Four-Year")</f>
        <v>58618.018213909141</v>
      </c>
      <c r="G100" s="141">
        <f t="shared" ref="G100:G118" si="2">IF(F100&gt;0,(RANK(F100,F$100:F$118)),0)</f>
        <v>9</v>
      </c>
      <c r="H100" s="10">
        <f>+GETPIVOTDATA(" New Inst. avg",'Averages Pivot Table'!$A$3,"State","AL","Category2","Four-Year")</f>
        <v>42477.12461579618</v>
      </c>
      <c r="I100" s="229">
        <f t="shared" ref="I100:I118" si="3">IF(H100&gt;0,(RANK(H100,H$100:H$118)),0)</f>
        <v>9</v>
      </c>
      <c r="J100" s="10">
        <f>+GETPIVOTDATA(" New Undesg. avg",'Averages Pivot Table'!$A$3,"State","AL","Category2","Four-Year")</f>
        <v>44978.330416129029</v>
      </c>
      <c r="K100" s="141">
        <f t="shared" ref="K100:K118" si="4">IF(J100&gt;0,(RANK(J100,J$100:J$118)),0)</f>
        <v>9</v>
      </c>
      <c r="L100" s="10">
        <f>+GETPIVOTDATA(" New All Ranks avg",'Averages Pivot Table'!$A$3,"State","AL","Category2","Four-Year")</f>
        <v>71510.987761160097</v>
      </c>
      <c r="M100" s="229">
        <f t="shared" ref="M100:M118" si="5">IF(L100&gt;0,(RANK(L100,L$100:L$118)),0)</f>
        <v>8</v>
      </c>
      <c r="N100" s="10"/>
      <c r="O100" s="246"/>
    </row>
    <row r="101" spans="1:19" ht="12.95" customHeight="1">
      <c r="A101" s="12" t="s">
        <v>543</v>
      </c>
      <c r="B101" s="10">
        <f>+GETPIVOTDATA(" New Prof avg",'Averages Pivot Table'!$A$3,"State","AR","Category2","Four-Year")</f>
        <v>85393.491780821918</v>
      </c>
      <c r="C101" s="141">
        <f t="shared" si="0"/>
        <v>15</v>
      </c>
      <c r="D101" s="10">
        <f>+GETPIVOTDATA(" New Asc. avg",'Averages Pivot Table'!$A$3,"State","AR","Category2","Four-Year")</f>
        <v>65053.057907888033</v>
      </c>
      <c r="E101" s="141">
        <f t="shared" si="1"/>
        <v>15</v>
      </c>
      <c r="F101" s="10">
        <f>+GETPIVOTDATA(" New Ast. avg",'Averages Pivot Table'!$A$3,"State","AR","Category2","Four-Year")</f>
        <v>55049.66007440212</v>
      </c>
      <c r="G101" s="141">
        <f t="shared" si="2"/>
        <v>15</v>
      </c>
      <c r="H101" s="10">
        <f>+GETPIVOTDATA(" New Inst. avg",'Averages Pivot Table'!$A$3,"State","AR","Category2","Four-Year")</f>
        <v>40365.620132670454</v>
      </c>
      <c r="I101" s="229">
        <f t="shared" si="3"/>
        <v>15</v>
      </c>
      <c r="J101" s="10">
        <f>+GETPIVOTDATA(" New Undesg. avg",'Averages Pivot Table'!$A$3,"State","AR","Category2","Four-Year")</f>
        <v>37859.46104761905</v>
      </c>
      <c r="K101" s="141">
        <f t="shared" si="4"/>
        <v>13</v>
      </c>
      <c r="L101" s="10">
        <f>+GETPIVOTDATA(" New All Ranks avg",'Averages Pivot Table'!$A$3,"State","AR","Category2","Four-Year")</f>
        <v>61635.631712850925</v>
      </c>
      <c r="M101" s="229">
        <f t="shared" si="5"/>
        <v>16</v>
      </c>
      <c r="N101" s="10"/>
      <c r="O101" s="246"/>
    </row>
    <row r="102" spans="1:19" ht="12.95" customHeight="1">
      <c r="A102" s="12" t="s">
        <v>558</v>
      </c>
      <c r="B102" s="10">
        <f>+GETPIVOTDATA(" New Prof avg",'Averages Pivot Table'!$A$3,"State","DE","Category2","Four-Year")</f>
        <v>123337.82533159145</v>
      </c>
      <c r="C102" s="141">
        <f t="shared" si="0"/>
        <v>1</v>
      </c>
      <c r="D102" s="10">
        <f>+GETPIVOTDATA(" New Asc. avg",'Averages Pivot Table'!$A$3,"State","DE","Category2","Four-Year")</f>
        <v>82094.738260048427</v>
      </c>
      <c r="E102" s="141">
        <f t="shared" si="1"/>
        <v>2</v>
      </c>
      <c r="F102" s="10">
        <f>+GETPIVOTDATA(" New Ast. avg",'Averages Pivot Table'!$A$3,"State","DE","Category2","Four-Year")</f>
        <v>70882.961738842976</v>
      </c>
      <c r="G102" s="141">
        <f t="shared" si="2"/>
        <v>1</v>
      </c>
      <c r="H102" s="10">
        <f>+GETPIVOTDATA(" New Inst. avg",'Averages Pivot Table'!$A$3,"State","DE","Category2","Four-Year")</f>
        <v>56879.334185714288</v>
      </c>
      <c r="I102" s="229">
        <f t="shared" si="3"/>
        <v>2</v>
      </c>
      <c r="J102" s="10">
        <f>+GETPIVOTDATA(" New Undesg. avg",'Averages Pivot Table'!$A$3,"State","DE","Category2","Four-Year")</f>
        <v>38786</v>
      </c>
      <c r="K102" s="141">
        <f t="shared" si="4"/>
        <v>12</v>
      </c>
      <c r="L102" s="10">
        <f>+GETPIVOTDATA(" New All Ranks avg",'Averages Pivot Table'!$A$3,"State","DE","Category2","Four-Year")</f>
        <v>90053.540386259541</v>
      </c>
      <c r="M102" s="229">
        <f t="shared" si="5"/>
        <v>1</v>
      </c>
      <c r="N102" s="10"/>
      <c r="O102" s="246"/>
    </row>
    <row r="103" spans="1:19" ht="12.95" customHeight="1">
      <c r="A103" s="12" t="s">
        <v>544</v>
      </c>
      <c r="B103" s="10">
        <f>+GETPIVOTDATA(" New Prof avg",'Averages Pivot Table'!$A$3,"State","FL","Category2","Four-Year")</f>
        <v>104409.96980215638</v>
      </c>
      <c r="C103" s="141">
        <f t="shared" si="0"/>
        <v>6</v>
      </c>
      <c r="D103" s="10">
        <f>+GETPIVOTDATA(" New Asc. avg",'Averages Pivot Table'!$A$3,"State","FL","Category2","Four-Year")</f>
        <v>73769.188249110943</v>
      </c>
      <c r="E103" s="141">
        <f t="shared" si="1"/>
        <v>6</v>
      </c>
      <c r="F103" s="10">
        <f>+GETPIVOTDATA(" New Ast. avg",'Averages Pivot Table'!$A$3,"State","FL","Category2","Four-Year")</f>
        <v>63550.552279801006</v>
      </c>
      <c r="G103" s="141">
        <f t="shared" si="2"/>
        <v>6</v>
      </c>
      <c r="H103" s="10">
        <f>+GETPIVOTDATA(" New Inst. avg",'Averages Pivot Table'!$A$3,"State","FL","Category2","Four-Year")</f>
        <v>47678.886954186339</v>
      </c>
      <c r="I103" s="229">
        <f t="shared" si="3"/>
        <v>5</v>
      </c>
      <c r="J103" s="10">
        <f>+GETPIVOTDATA(" New Undesg. avg",'Averages Pivot Table'!$A$3,"State","FL","Category2","Four-Year")</f>
        <v>54077.517235893036</v>
      </c>
      <c r="K103" s="141">
        <f t="shared" si="4"/>
        <v>2</v>
      </c>
      <c r="L103" s="10">
        <f>+GETPIVOTDATA(" New All Ranks avg",'Averages Pivot Table'!$A$3,"State","FL","Category2","Four-Year")</f>
        <v>74943.29783852234</v>
      </c>
      <c r="M103" s="229">
        <f t="shared" si="5"/>
        <v>5</v>
      </c>
      <c r="N103" s="10"/>
      <c r="O103" s="246"/>
    </row>
    <row r="104" spans="1:19" ht="12.95" customHeight="1">
      <c r="A104" s="12"/>
      <c r="B104" s="10"/>
      <c r="C104" s="141"/>
      <c r="D104" s="10"/>
      <c r="E104" s="141"/>
      <c r="F104" s="10"/>
      <c r="G104" s="141"/>
      <c r="H104" s="10"/>
      <c r="I104" s="229"/>
      <c r="J104" s="10"/>
      <c r="K104" s="141"/>
      <c r="L104" s="10"/>
      <c r="M104" s="229"/>
      <c r="N104" s="10"/>
      <c r="O104" s="246"/>
    </row>
    <row r="105" spans="1:19" ht="12.95" customHeight="1">
      <c r="A105" s="12" t="s">
        <v>545</v>
      </c>
      <c r="B105" s="10">
        <f>+GETPIVOTDATA(" New Prof avg",'Averages Pivot Table'!$A$3,"State","GA","Category2","Four-Year")</f>
        <v>103336.85650746796</v>
      </c>
      <c r="C105" s="141">
        <f t="shared" si="0"/>
        <v>7</v>
      </c>
      <c r="D105" s="10">
        <f>+GETPIVOTDATA(" New Asc. avg",'Averages Pivot Table'!$A$3,"State","GA","Category2","Four-Year")</f>
        <v>72098.811469622029</v>
      </c>
      <c r="E105" s="141">
        <f t="shared" si="1"/>
        <v>8</v>
      </c>
      <c r="F105" s="10">
        <f>+GETPIVOTDATA(" New Ast. avg",'Averages Pivot Table'!$A$3,"State","GA","Category2","Four-Year")</f>
        <v>60253.784583227731</v>
      </c>
      <c r="G105" s="141">
        <f t="shared" si="2"/>
        <v>8</v>
      </c>
      <c r="H105" s="10">
        <f>+GETPIVOTDATA(" New Inst. avg",'Averages Pivot Table'!$A$3,"State","GA","Category2","Four-Year")</f>
        <v>41987.011138704023</v>
      </c>
      <c r="I105" s="229">
        <f t="shared" si="3"/>
        <v>11</v>
      </c>
      <c r="J105" s="10">
        <f>+GETPIVOTDATA(" New Undesg. avg",'Averages Pivot Table'!$A$3,"State","GA","Category2","Four-Year")</f>
        <v>48308.70633399504</v>
      </c>
      <c r="K105" s="141">
        <f t="shared" si="4"/>
        <v>5</v>
      </c>
      <c r="L105" s="10">
        <f>+GETPIVOTDATA(" New All Ranks avg",'Averages Pivot Table'!$A$3,"State","GA","Category2","Four-Year")</f>
        <v>73603.243867716752</v>
      </c>
      <c r="M105" s="229">
        <f t="shared" si="5"/>
        <v>7</v>
      </c>
      <c r="N105" s="10"/>
      <c r="O105" s="246"/>
    </row>
    <row r="106" spans="1:19" ht="12.95" customHeight="1">
      <c r="A106" s="12" t="s">
        <v>546</v>
      </c>
      <c r="B106" s="10">
        <f>+GETPIVOTDATA(" New Prof avg",'Averages Pivot Table'!$A$3,"State","KY","Category2","Four-Year")</f>
        <v>94302.568057254291</v>
      </c>
      <c r="C106" s="141">
        <f t="shared" si="0"/>
        <v>10</v>
      </c>
      <c r="D106" s="10">
        <f>+GETPIVOTDATA(" New Asc. avg",'Averages Pivot Table'!$A$3,"State","KY","Category2","Four-Year")</f>
        <v>70166.076629039468</v>
      </c>
      <c r="E106" s="141">
        <f t="shared" si="1"/>
        <v>10</v>
      </c>
      <c r="F106" s="10">
        <f>+GETPIVOTDATA(" New Ast. avg",'Averages Pivot Table'!$A$3,"State","KY","Category2","Four-Year")</f>
        <v>58449.103093234204</v>
      </c>
      <c r="G106" s="141">
        <f t="shared" si="2"/>
        <v>10</v>
      </c>
      <c r="H106" s="10">
        <f>+GETPIVOTDATA(" New Inst. avg",'Averages Pivot Table'!$A$3,"State","KY","Category2","Four-Year")</f>
        <v>43312.089693540052</v>
      </c>
      <c r="I106" s="229">
        <f t="shared" si="3"/>
        <v>8</v>
      </c>
      <c r="J106" s="10">
        <f>+GETPIVOTDATA(" New Undesg. avg",'Averages Pivot Table'!$A$3,"State","KY","Category2","Four-Year")</f>
        <v>46290.003257355682</v>
      </c>
      <c r="K106" s="141">
        <f t="shared" si="4"/>
        <v>7</v>
      </c>
      <c r="L106" s="10">
        <f>+GETPIVOTDATA(" New All Ranks avg",'Averages Pivot Table'!$A$3,"State","KY","Category2","Four-Year")</f>
        <v>68525.232383163049</v>
      </c>
      <c r="M106" s="229">
        <f t="shared" si="5"/>
        <v>10</v>
      </c>
      <c r="N106" s="10"/>
      <c r="O106" s="246"/>
    </row>
    <row r="107" spans="1:19" ht="12.95" customHeight="1">
      <c r="A107" s="12" t="s">
        <v>547</v>
      </c>
      <c r="B107" s="10">
        <f>+GETPIVOTDATA(" New Prof avg",'Averages Pivot Table'!$A$3,"State","LA","Category2","Four-Year")</f>
        <v>92252.59492686567</v>
      </c>
      <c r="C107" s="141">
        <f t="shared" si="0"/>
        <v>12</v>
      </c>
      <c r="D107" s="10">
        <f>+GETPIVOTDATA(" New Asc. avg",'Averages Pivot Table'!$A$3,"State","LA","Category2","Four-Year")</f>
        <v>69603.664393734129</v>
      </c>
      <c r="E107" s="141">
        <f t="shared" si="1"/>
        <v>11</v>
      </c>
      <c r="F107" s="10">
        <f>+GETPIVOTDATA(" New Ast. avg",'Averages Pivot Table'!$A$3,"State","LA","Category2","Four-Year")</f>
        <v>58178.913835718311</v>
      </c>
      <c r="G107" s="141">
        <f t="shared" si="2"/>
        <v>11</v>
      </c>
      <c r="H107" s="10">
        <f>+GETPIVOTDATA(" New Inst. avg",'Averages Pivot Table'!$A$3,"State","LA","Category2","Four-Year")</f>
        <v>42360.943879646016</v>
      </c>
      <c r="I107" s="229">
        <f t="shared" si="3"/>
        <v>10</v>
      </c>
      <c r="J107" s="10">
        <f>+GETPIVOTDATA(" New Undesg. avg",'Averages Pivot Table'!$A$3,"State","LA","Category2","Four-Year")</f>
        <v>42327.4561661017</v>
      </c>
      <c r="K107" s="141">
        <f t="shared" si="4"/>
        <v>11</v>
      </c>
      <c r="L107" s="10">
        <f>+GETPIVOTDATA(" New All Ranks avg",'Averages Pivot Table'!$A$3,"State","LA","Category2","Four-Year")</f>
        <v>64828.932292628597</v>
      </c>
      <c r="M107" s="229">
        <f t="shared" si="5"/>
        <v>14</v>
      </c>
      <c r="N107" s="10"/>
      <c r="O107" s="246"/>
    </row>
    <row r="108" spans="1:19" ht="12.95" customHeight="1">
      <c r="A108" s="12" t="s">
        <v>548</v>
      </c>
      <c r="B108" s="10">
        <f>+GETPIVOTDATA(" New Prof avg",'Averages Pivot Table'!$A$3,"State","MD","Category2","Four-Year")</f>
        <v>114446.36496282528</v>
      </c>
      <c r="C108" s="141">
        <f t="shared" si="0"/>
        <v>2</v>
      </c>
      <c r="D108" s="10">
        <f>+GETPIVOTDATA(" New Asc. avg",'Averages Pivot Table'!$A$3,"State","MD","Category2","Four-Year")</f>
        <v>82252.349980265353</v>
      </c>
      <c r="E108" s="141">
        <f t="shared" si="1"/>
        <v>1</v>
      </c>
      <c r="F108" s="10">
        <f>+GETPIVOTDATA(" New Ast. avg",'Averages Pivot Table'!$A$3,"State","MD","Category2","Four-Year")</f>
        <v>67998.860854392668</v>
      </c>
      <c r="G108" s="141">
        <f t="shared" si="2"/>
        <v>2</v>
      </c>
      <c r="H108" s="10">
        <f>+GETPIVOTDATA(" New Inst. avg",'Averages Pivot Table'!$A$3,"State","MD","Category2","Four-Year")</f>
        <v>51910.734613207547</v>
      </c>
      <c r="I108" s="229">
        <f t="shared" si="3"/>
        <v>3</v>
      </c>
      <c r="J108" s="10">
        <f>+GETPIVOTDATA(" New Undesg. avg",'Averages Pivot Table'!$A$3,"State","MD","Category2","Four-Year")</f>
        <v>49065.383607256234</v>
      </c>
      <c r="K108" s="141">
        <f t="shared" si="4"/>
        <v>4</v>
      </c>
      <c r="L108" s="10">
        <f>+GETPIVOTDATA(" New All Ranks avg",'Averages Pivot Table'!$A$3,"State","MD","Category2","Four-Year")</f>
        <v>80634.366753341586</v>
      </c>
      <c r="M108" s="229">
        <f t="shared" si="5"/>
        <v>2</v>
      </c>
      <c r="N108" s="10"/>
      <c r="O108" s="246"/>
    </row>
    <row r="109" spans="1:19" ht="12.95" customHeight="1">
      <c r="A109" s="12"/>
      <c r="B109" s="10"/>
      <c r="C109" s="141"/>
      <c r="D109" s="10"/>
      <c r="E109" s="141"/>
      <c r="F109" s="10"/>
      <c r="G109" s="141"/>
      <c r="H109" s="10"/>
      <c r="I109" s="229"/>
      <c r="J109" s="10"/>
      <c r="K109" s="141"/>
      <c r="L109" s="10"/>
      <c r="M109" s="229"/>
      <c r="N109" s="10"/>
      <c r="O109" s="246"/>
    </row>
    <row r="110" spans="1:19" ht="12.95" customHeight="1">
      <c r="A110" s="12" t="s">
        <v>549</v>
      </c>
      <c r="B110" s="10">
        <f>+GETPIVOTDATA(" New Prof avg",'Averages Pivot Table'!$A$3,"State","MS","Category2","Four-Year")</f>
        <v>86755.191014814816</v>
      </c>
      <c r="C110" s="141">
        <f t="shared" si="0"/>
        <v>14</v>
      </c>
      <c r="D110" s="10">
        <f>+GETPIVOTDATA(" New Asc. avg",'Averages Pivot Table'!$A$3,"State","MS","Category2","Four-Year")</f>
        <v>68351.619790437151</v>
      </c>
      <c r="E110" s="141">
        <f t="shared" si="1"/>
        <v>12</v>
      </c>
      <c r="F110" s="10">
        <f>+GETPIVOTDATA(" New Ast. avg",'Averages Pivot Table'!$A$3,"State","MS","Category2","Four-Year")</f>
        <v>57024.471461270667</v>
      </c>
      <c r="G110" s="141">
        <f t="shared" si="2"/>
        <v>12</v>
      </c>
      <c r="H110" s="10">
        <f>+GETPIVOTDATA(" New Inst. avg",'Averages Pivot Table'!$A$3,"State","MS","Category2","Four-Year")</f>
        <v>41251.434512377855</v>
      </c>
      <c r="I110" s="229">
        <f t="shared" si="3"/>
        <v>12</v>
      </c>
      <c r="J110" s="10">
        <f>+GETPIVOTDATA(" New Undesg. avg",'Averages Pivot Table'!$A$3,"State","MS","Category2","Four-Year")</f>
        <v>33046.615084745761</v>
      </c>
      <c r="K110" s="141">
        <f t="shared" si="4"/>
        <v>15</v>
      </c>
      <c r="L110" s="10">
        <f>+GETPIVOTDATA(" New All Ranks avg",'Averages Pivot Table'!$A$3,"State","MS","Category2","Four-Year")</f>
        <v>62770.992606152904</v>
      </c>
      <c r="M110" s="229">
        <f t="shared" si="5"/>
        <v>15</v>
      </c>
      <c r="N110" s="10"/>
      <c r="O110" s="246"/>
    </row>
    <row r="111" spans="1:19" ht="12.95" customHeight="1">
      <c r="A111" s="12" t="s">
        <v>550</v>
      </c>
      <c r="B111" s="10">
        <f>+GETPIVOTDATA(" New Prof avg",'Averages Pivot Table'!$A$3,"State","NC","Category2","Four-Year")</f>
        <v>110937.47663361469</v>
      </c>
      <c r="C111" s="141">
        <f t="shared" si="0"/>
        <v>3</v>
      </c>
      <c r="D111" s="10">
        <f>+GETPIVOTDATA(" New Asc. avg",'Averages Pivot Table'!$A$3,"State","NC","Category2","Four-Year")</f>
        <v>80059.816921444872</v>
      </c>
      <c r="E111" s="141">
        <f t="shared" si="1"/>
        <v>3</v>
      </c>
      <c r="F111" s="10">
        <f>+GETPIVOTDATA(" New Ast. avg",'Averages Pivot Table'!$A$3,"State","NC","Category2","Four-Year")</f>
        <v>67843.649939743118</v>
      </c>
      <c r="G111" s="141">
        <f t="shared" si="2"/>
        <v>3</v>
      </c>
      <c r="H111" s="10">
        <f>+GETPIVOTDATA(" New Inst. avg",'Averages Pivot Table'!$A$3,"State","NC","Category2","Four-Year")</f>
        <v>59967.940205747131</v>
      </c>
      <c r="I111" s="229">
        <f t="shared" si="3"/>
        <v>1</v>
      </c>
      <c r="J111" s="10">
        <f>+GETPIVOTDATA(" New Undesg. avg",'Averages Pivot Table'!$A$3,"State","NC","Category2","Four-Year")</f>
        <v>54621.313428035632</v>
      </c>
      <c r="K111" s="141">
        <f t="shared" si="4"/>
        <v>1</v>
      </c>
      <c r="L111" s="10">
        <f>+GETPIVOTDATA(" New All Ranks avg",'Averages Pivot Table'!$A$3,"State","NC","Category2","Four-Year")</f>
        <v>79395.164297063646</v>
      </c>
      <c r="M111" s="229">
        <f t="shared" si="5"/>
        <v>4</v>
      </c>
      <c r="N111" s="10"/>
      <c r="O111" s="246"/>
    </row>
    <row r="112" spans="1:19" ht="12.95" customHeight="1">
      <c r="A112" s="12" t="s">
        <v>551</v>
      </c>
      <c r="B112" s="10">
        <f>+GETPIVOTDATA(" New Prof avg",'Averages Pivot Table'!$A$3,"State","OK","Category2","Four-Year")</f>
        <v>93634.026493275116</v>
      </c>
      <c r="C112" s="141">
        <f t="shared" si="0"/>
        <v>11</v>
      </c>
      <c r="D112" s="10">
        <f>+GETPIVOTDATA(" New Asc. avg",'Averages Pivot Table'!$A$3,"State","OK","Category2","Four-Year")</f>
        <v>67464.674492960898</v>
      </c>
      <c r="E112" s="141">
        <f t="shared" si="1"/>
        <v>13</v>
      </c>
      <c r="F112" s="10">
        <f>+GETPIVOTDATA(" New Ast. avg",'Averages Pivot Table'!$A$3,"State","OK","Category2","Four-Year")</f>
        <v>56226.207939629632</v>
      </c>
      <c r="G112" s="141">
        <f t="shared" si="2"/>
        <v>13</v>
      </c>
      <c r="H112" s="10">
        <f>+GETPIVOTDATA(" New Inst. avg",'Averages Pivot Table'!$A$3,"State","OK","Category2","Four-Year")</f>
        <v>40385.135529365078</v>
      </c>
      <c r="I112" s="229">
        <f t="shared" si="3"/>
        <v>14</v>
      </c>
      <c r="J112" s="10">
        <f>+GETPIVOTDATA(" New Undesg. avg",'Averages Pivot Table'!$A$3,"State","OK","Category2","Four-Year")</f>
        <v>0</v>
      </c>
      <c r="K112" s="141">
        <f t="shared" si="4"/>
        <v>0</v>
      </c>
      <c r="L112" s="10">
        <f>+GETPIVOTDATA(" New All Ranks avg",'Averages Pivot Table'!$A$3,"State","OK","Category2","Four-Year")</f>
        <v>66782.071992002078</v>
      </c>
      <c r="M112" s="229">
        <f t="shared" si="5"/>
        <v>11</v>
      </c>
      <c r="N112" s="10"/>
      <c r="O112" s="246"/>
    </row>
    <row r="113" spans="1:19" ht="12.95" customHeight="1">
      <c r="A113" s="12" t="s">
        <v>552</v>
      </c>
      <c r="B113" s="10">
        <f>+GETPIVOTDATA(" New Prof avg",'Averages Pivot Table'!$A$3,"State","SC","Category2","Four-Year")</f>
        <v>94777.386302086961</v>
      </c>
      <c r="C113" s="141">
        <f t="shared" si="0"/>
        <v>9</v>
      </c>
      <c r="D113" s="10">
        <f>+GETPIVOTDATA(" New Asc. avg",'Averages Pivot Table'!$A$3,"State","SC","Category2","Four-Year")</f>
        <v>70534.699158761068</v>
      </c>
      <c r="E113" s="141">
        <f t="shared" si="1"/>
        <v>9</v>
      </c>
      <c r="F113" s="10">
        <f>+GETPIVOTDATA(" New Ast. avg",'Averages Pivot Table'!$A$3,"State","SC","Category2","Four-Year")</f>
        <v>61271.912642185343</v>
      </c>
      <c r="G113" s="141">
        <f t="shared" si="2"/>
        <v>7</v>
      </c>
      <c r="H113" s="10">
        <f>+GETPIVOTDATA(" New Inst. avg",'Averages Pivot Table'!$A$3,"State","SC","Category2","Four-Year")</f>
        <v>44227.389364179107</v>
      </c>
      <c r="I113" s="229">
        <f t="shared" si="3"/>
        <v>7</v>
      </c>
      <c r="J113" s="10">
        <f>+GETPIVOTDATA(" New Undesg. avg",'Averages Pivot Table'!$A$3,"State","SC","Category2","Four-Year")</f>
        <v>44378.40989488054</v>
      </c>
      <c r="K113" s="141">
        <f t="shared" si="4"/>
        <v>10</v>
      </c>
      <c r="L113" s="10">
        <f>+GETPIVOTDATA(" New All Ranks avg",'Averages Pivot Table'!$A$3,"State","SC","Category2","Four-Year")</f>
        <v>69305.461160516934</v>
      </c>
      <c r="M113" s="229">
        <f t="shared" si="5"/>
        <v>9</v>
      </c>
      <c r="N113" s="10"/>
      <c r="O113" s="246"/>
    </row>
    <row r="114" spans="1:19" ht="12.95" customHeight="1">
      <c r="A114" s="12"/>
      <c r="B114" s="10"/>
      <c r="C114" s="141"/>
      <c r="D114" s="10"/>
      <c r="E114" s="141"/>
      <c r="F114" s="10"/>
      <c r="G114" s="141"/>
      <c r="H114" s="10"/>
      <c r="I114" s="229"/>
      <c r="J114" s="10"/>
      <c r="K114" s="141"/>
      <c r="L114" s="10"/>
      <c r="M114" s="229"/>
      <c r="N114" s="10"/>
      <c r="O114" s="246"/>
    </row>
    <row r="115" spans="1:19" ht="12.95" customHeight="1">
      <c r="A115" s="12" t="s">
        <v>553</v>
      </c>
      <c r="B115" s="151">
        <f>+GETPIVOTDATA(" New Prof avg",'Averages Pivot Table'!$A$3,"State","TN","Category2","Four-Year")</f>
        <v>87089.583381253542</v>
      </c>
      <c r="C115" s="141">
        <f t="shared" si="0"/>
        <v>13</v>
      </c>
      <c r="D115" s="151">
        <f>+GETPIVOTDATA(" New Asc. avg",'Averages Pivot Table'!$A$3,"State","TN","Category2","Four-Year")</f>
        <v>67451.126006175429</v>
      </c>
      <c r="E115" s="141">
        <f t="shared" si="1"/>
        <v>14</v>
      </c>
      <c r="F115" s="151">
        <f>+GETPIVOTDATA(" New Ast. avg",'Averages Pivot Table'!$A$3,"State","TN","Category2","Four-Year")</f>
        <v>55684.692336868684</v>
      </c>
      <c r="G115" s="141">
        <f t="shared" si="2"/>
        <v>14</v>
      </c>
      <c r="H115" s="151">
        <f>+GETPIVOTDATA(" New Inst. avg",'Averages Pivot Table'!$A$3,"State","TN","Category2","Four-Year")</f>
        <v>40446.102472264633</v>
      </c>
      <c r="I115" s="229">
        <f t="shared" si="3"/>
        <v>13</v>
      </c>
      <c r="J115" s="151">
        <f>+GETPIVOTDATA(" New Undesg. avg",'Averages Pivot Table'!$A$3,"State","TN","Category2","Four-Year")</f>
        <v>37495.904780882352</v>
      </c>
      <c r="K115" s="141">
        <f t="shared" si="4"/>
        <v>14</v>
      </c>
      <c r="L115" s="151">
        <f>+GETPIVOTDATA(" New All Ranks avg",'Averages Pivot Table'!$A$3,"State","TN","Category2","Four-Year")</f>
        <v>66251.873644651496</v>
      </c>
      <c r="M115" s="229">
        <f t="shared" si="5"/>
        <v>12</v>
      </c>
      <c r="N115" s="10"/>
      <c r="O115" s="246"/>
    </row>
    <row r="116" spans="1:19" ht="12.95" customHeight="1">
      <c r="A116" s="12" t="s">
        <v>554</v>
      </c>
      <c r="B116" s="151">
        <f>+GETPIVOTDATA(" New Prof avg",'Averages Pivot Table'!$A$3,"State","TX","Category2","Four-Year")</f>
        <v>106928.577816253</v>
      </c>
      <c r="C116" s="141">
        <f t="shared" si="0"/>
        <v>5</v>
      </c>
      <c r="D116" s="151">
        <f>+GETPIVOTDATA(" New Asc. avg",'Averages Pivot Table'!$A$3,"State","TX","Category2","Four-Year")</f>
        <v>74144.374160265812</v>
      </c>
      <c r="E116" s="141">
        <f t="shared" si="1"/>
        <v>5</v>
      </c>
      <c r="F116" s="151">
        <f>+GETPIVOTDATA(" New Ast. avg",'Averages Pivot Table'!$A$3,"State","TX","Category2","Four-Year")</f>
        <v>65005.343874248472</v>
      </c>
      <c r="G116" s="141">
        <f t="shared" si="2"/>
        <v>4</v>
      </c>
      <c r="H116" s="151">
        <f>+GETPIVOTDATA(" New Inst. avg",'Averages Pivot Table'!$A$3,"State","TX","Category2","Four-Year")</f>
        <v>44409.002872536141</v>
      </c>
      <c r="I116" s="229">
        <f t="shared" si="3"/>
        <v>6</v>
      </c>
      <c r="J116" s="151">
        <f>+GETPIVOTDATA(" New Undesg. avg",'Averages Pivot Table'!$A$3,"State","TX","Category2","Four-Year")</f>
        <v>50002.772682019575</v>
      </c>
      <c r="K116" s="141">
        <f t="shared" si="4"/>
        <v>3</v>
      </c>
      <c r="L116" s="151">
        <f>+GETPIVOTDATA(" New All Ranks avg",'Averages Pivot Table'!$A$3,"State","TX","Category2","Four-Year")</f>
        <v>74696.878062167292</v>
      </c>
      <c r="M116" s="229">
        <f t="shared" si="5"/>
        <v>6</v>
      </c>
      <c r="N116" s="10"/>
      <c r="O116" s="246"/>
    </row>
    <row r="117" spans="1:19" ht="12.95" customHeight="1">
      <c r="A117" s="12" t="s">
        <v>555</v>
      </c>
      <c r="B117" s="151">
        <f>+GETPIVOTDATA(" New Prof avg",'Averages Pivot Table'!$A$3,"State","VA","Category2","Four-Year")</f>
        <v>110612.3139954962</v>
      </c>
      <c r="C117" s="141">
        <f t="shared" si="0"/>
        <v>4</v>
      </c>
      <c r="D117" s="151">
        <f>+GETPIVOTDATA(" New Asc. avg",'Averages Pivot Table'!$A$3,"State","VA","Category2","Four-Year")</f>
        <v>79313.48499424402</v>
      </c>
      <c r="E117" s="141">
        <f t="shared" si="1"/>
        <v>4</v>
      </c>
      <c r="F117" s="151">
        <f>+GETPIVOTDATA(" New Ast. avg",'Averages Pivot Table'!$A$3,"State","VA","Category2","Four-Year")</f>
        <v>64419.107131604149</v>
      </c>
      <c r="G117" s="141">
        <f t="shared" si="2"/>
        <v>5</v>
      </c>
      <c r="H117" s="151">
        <f>+GETPIVOTDATA(" New Inst. avg",'Averages Pivot Table'!$A$3,"State","VA","Category2","Four-Year")</f>
        <v>48471.08699297424</v>
      </c>
      <c r="I117" s="229">
        <f t="shared" si="3"/>
        <v>4</v>
      </c>
      <c r="J117" s="151">
        <f>+GETPIVOTDATA(" New Undesg. avg",'Averages Pivot Table'!$A$3,"State","VA","Category2","Four-Year")</f>
        <v>48019.654300735288</v>
      </c>
      <c r="K117" s="141">
        <f t="shared" si="4"/>
        <v>6</v>
      </c>
      <c r="L117" s="151">
        <f>+GETPIVOTDATA(" New All Ranks avg",'Averages Pivot Table'!$A$3,"State","VA","Category2","Four-Year")</f>
        <v>80440.482495997261</v>
      </c>
      <c r="M117" s="229">
        <f t="shared" si="5"/>
        <v>3</v>
      </c>
      <c r="N117" s="10"/>
      <c r="O117" s="246"/>
    </row>
    <row r="118" spans="1:19" ht="12.95" customHeight="1">
      <c r="A118" s="11" t="s">
        <v>556</v>
      </c>
      <c r="B118" s="66">
        <f>+GETPIVOTDATA(" New Prof avg",'Averages Pivot Table'!$A$3,"State","WV","Category2","Four-Year")</f>
        <v>84104.160528818451</v>
      </c>
      <c r="C118" s="65">
        <f t="shared" si="0"/>
        <v>16</v>
      </c>
      <c r="D118" s="66">
        <f>+GETPIVOTDATA(" New Asc. avg",'Averages Pivot Table'!$A$3,"State","WV","Category2","Four-Year")</f>
        <v>64624.196610638304</v>
      </c>
      <c r="E118" s="65">
        <f t="shared" si="1"/>
        <v>16</v>
      </c>
      <c r="F118" s="66">
        <f>+GETPIVOTDATA(" New Ast. avg",'Averages Pivot Table'!$A$3,"State","WV","Category2","Four-Year")</f>
        <v>53953.866825484758</v>
      </c>
      <c r="G118" s="65">
        <f t="shared" si="2"/>
        <v>16</v>
      </c>
      <c r="H118" s="66">
        <f>+GETPIVOTDATA(" New Inst. avg",'Averages Pivot Table'!$A$3,"State","WV","Category2","Four-Year")</f>
        <v>39016.382172151898</v>
      </c>
      <c r="I118" s="230">
        <f t="shared" si="3"/>
        <v>16</v>
      </c>
      <c r="J118" s="66">
        <f>+GETPIVOTDATA(" New Undesg. avg",'Averages Pivot Table'!$A$3,"State","WV","Category2","Four-Year")</f>
        <v>45200.135139622638</v>
      </c>
      <c r="K118" s="65">
        <f t="shared" si="4"/>
        <v>8</v>
      </c>
      <c r="L118" s="66">
        <f>+GETPIVOTDATA(" New All Ranks avg",'Averages Pivot Table'!$A$3,"State","WV","Category2","Four-Year")</f>
        <v>64961.76252350524</v>
      </c>
      <c r="M118" s="230">
        <f t="shared" si="5"/>
        <v>13</v>
      </c>
      <c r="N118" s="10"/>
      <c r="O118" s="241"/>
    </row>
    <row r="119" spans="1:19" ht="30" customHeight="1">
      <c r="A119" s="506" t="s">
        <v>425</v>
      </c>
      <c r="B119" s="509"/>
      <c r="C119" s="509"/>
      <c r="D119" s="509"/>
      <c r="E119" s="509"/>
      <c r="F119" s="509"/>
      <c r="G119" s="509"/>
      <c r="H119" s="509"/>
      <c r="I119" s="509"/>
      <c r="J119" s="509"/>
      <c r="K119" s="509"/>
      <c r="L119" s="509"/>
      <c r="M119" s="509"/>
      <c r="N119" s="12"/>
      <c r="O119" s="243"/>
    </row>
    <row r="120" spans="1:19">
      <c r="M120" s="487" t="s">
        <v>1002</v>
      </c>
      <c r="O120" s="242"/>
    </row>
    <row r="121" spans="1:19" ht="18">
      <c r="A121" s="504" t="s">
        <v>568</v>
      </c>
      <c r="B121" s="504"/>
      <c r="C121" s="504"/>
      <c r="D121" s="504"/>
      <c r="E121" s="504"/>
      <c r="F121" s="504"/>
      <c r="G121" s="504"/>
      <c r="H121" s="504"/>
      <c r="I121" s="504"/>
      <c r="J121" s="504"/>
      <c r="K121" s="504"/>
      <c r="L121" s="504"/>
      <c r="M121" s="504"/>
      <c r="N121" s="180"/>
      <c r="O121" s="179"/>
    </row>
    <row r="122" spans="1:19">
      <c r="A122" s="23"/>
      <c r="B122" s="5"/>
      <c r="C122" s="5"/>
      <c r="D122" s="5"/>
      <c r="E122" s="5"/>
      <c r="F122" s="5"/>
      <c r="G122" s="5"/>
      <c r="H122" s="5"/>
      <c r="I122" s="172"/>
      <c r="J122" s="5"/>
      <c r="K122" s="5"/>
      <c r="L122" s="5"/>
      <c r="M122" s="172"/>
      <c r="N122" s="5"/>
      <c r="O122" s="172"/>
    </row>
    <row r="123" spans="1:19">
      <c r="A123" s="505" t="s">
        <v>557</v>
      </c>
      <c r="B123" s="505"/>
      <c r="C123" s="505"/>
      <c r="D123" s="505"/>
      <c r="E123" s="505"/>
      <c r="F123" s="505"/>
      <c r="G123" s="505"/>
      <c r="H123" s="505"/>
      <c r="I123" s="505"/>
      <c r="J123" s="505"/>
      <c r="K123" s="505"/>
      <c r="L123" s="505"/>
      <c r="M123" s="505"/>
      <c r="N123" s="191"/>
      <c r="O123" s="239"/>
    </row>
    <row r="124" spans="1:19">
      <c r="A124" s="505" t="s">
        <v>31</v>
      </c>
      <c r="B124" s="505"/>
      <c r="C124" s="505"/>
      <c r="D124" s="505"/>
      <c r="E124" s="505"/>
      <c r="F124" s="505"/>
      <c r="G124" s="505"/>
      <c r="H124" s="505"/>
      <c r="I124" s="505"/>
      <c r="J124" s="505"/>
      <c r="K124" s="505"/>
      <c r="L124" s="505"/>
      <c r="M124" s="505"/>
      <c r="N124" s="191"/>
      <c r="O124" s="239"/>
    </row>
    <row r="125" spans="1:19">
      <c r="A125" s="12"/>
      <c r="B125" s="12"/>
      <c r="C125" s="12"/>
      <c r="D125" s="12"/>
      <c r="E125" s="12"/>
      <c r="F125" s="12"/>
      <c r="G125" s="12"/>
      <c r="H125" s="12"/>
      <c r="I125" s="243"/>
      <c r="J125" s="12"/>
      <c r="K125" s="12"/>
      <c r="L125" s="12"/>
      <c r="M125" s="243"/>
      <c r="N125" s="12"/>
      <c r="O125" s="243"/>
    </row>
    <row r="126" spans="1:19" ht="31.5" customHeight="1">
      <c r="A126" s="15"/>
      <c r="B126" s="21" t="s">
        <v>435</v>
      </c>
      <c r="C126" s="22"/>
      <c r="D126" s="152" t="s">
        <v>436</v>
      </c>
      <c r="E126" s="153"/>
      <c r="F126" s="152" t="s">
        <v>437</v>
      </c>
      <c r="G126" s="153"/>
      <c r="H126" s="21" t="s">
        <v>438</v>
      </c>
      <c r="I126" s="253"/>
      <c r="J126" s="152" t="s">
        <v>584</v>
      </c>
      <c r="K126" s="153"/>
      <c r="L126" s="22" t="s">
        <v>415</v>
      </c>
      <c r="M126" s="253"/>
      <c r="N126" s="63" t="s">
        <v>560</v>
      </c>
      <c r="O126" s="240"/>
    </row>
    <row r="127" spans="1:19">
      <c r="A127" s="16"/>
      <c r="B127" s="19" t="s">
        <v>439</v>
      </c>
      <c r="C127" s="18" t="s">
        <v>530</v>
      </c>
      <c r="D127" s="19" t="s">
        <v>439</v>
      </c>
      <c r="E127" s="18" t="s">
        <v>530</v>
      </c>
      <c r="F127" s="19" t="s">
        <v>439</v>
      </c>
      <c r="G127" s="18" t="s">
        <v>530</v>
      </c>
      <c r="H127" s="19" t="s">
        <v>439</v>
      </c>
      <c r="I127" s="254" t="s">
        <v>530</v>
      </c>
      <c r="J127" s="19" t="s">
        <v>439</v>
      </c>
      <c r="K127" s="18" t="s">
        <v>530</v>
      </c>
      <c r="L127" s="19" t="s">
        <v>439</v>
      </c>
      <c r="M127" s="254" t="s">
        <v>530</v>
      </c>
    </row>
    <row r="128" spans="1:19" s="168" customFormat="1" ht="18" customHeight="1">
      <c r="A128" s="181" t="s">
        <v>559</v>
      </c>
      <c r="B128" s="185">
        <f>+GETPIVOTDATA(" New Prof avg",'Averages Pivot Table'!$A$3,"Category",1,"Category2","Four-Year")</f>
        <v>114556.91306867571</v>
      </c>
      <c r="C128" s="185"/>
      <c r="D128" s="185">
        <f>+GETPIVOTDATA(" New Asc. avg",'Averages Pivot Table'!$A$3,"Category",1,"Category2","Four-Year")</f>
        <v>79142.41944811272</v>
      </c>
      <c r="E128" s="185"/>
      <c r="F128" s="185">
        <f>+GETPIVOTDATA(" New Ast. avg",'Averages Pivot Table'!$A$3,"Category",1,"Category2","Four-Year")</f>
        <v>68104.659330427006</v>
      </c>
      <c r="G128" s="185"/>
      <c r="H128" s="185">
        <f>+GETPIVOTDATA(" New Inst. avg",'Averages Pivot Table'!$A$3,"Category",1,"Category2","Four-Year")</f>
        <v>44978.440783942657</v>
      </c>
      <c r="I128" s="257"/>
      <c r="J128" s="185">
        <f>+GETPIVOTDATA(" New Undesg. avg",'Averages Pivot Table'!$A$3,"Category",1,"Category2","Four-Year")</f>
        <v>53395.312783088353</v>
      </c>
      <c r="K128" s="185"/>
      <c r="L128" s="185">
        <f>+GETPIVOTDATA(" New All Ranks avg",'Averages Pivot Table'!$A$3,"Category",1,"Category2","Four-Year")</f>
        <v>83508.957077602347</v>
      </c>
      <c r="M128" s="260"/>
      <c r="N128" s="185"/>
      <c r="O128" s="244"/>
      <c r="Q128" s="209"/>
      <c r="R128" s="209"/>
      <c r="S128" s="209"/>
    </row>
    <row r="129" spans="1:15" ht="12.95" customHeight="1">
      <c r="A129" s="12"/>
      <c r="B129" s="9"/>
      <c r="C129" s="17"/>
      <c r="D129" s="9"/>
      <c r="E129" s="17"/>
      <c r="F129" s="9"/>
      <c r="G129" s="17"/>
      <c r="H129" s="9"/>
      <c r="I129" s="261"/>
      <c r="J129" s="9"/>
      <c r="K129" s="17"/>
      <c r="L129" s="9"/>
      <c r="M129" s="261"/>
      <c r="N129" s="9"/>
      <c r="O129" s="245"/>
    </row>
    <row r="130" spans="1:15" ht="12.95" customHeight="1">
      <c r="A130" s="12" t="s">
        <v>542</v>
      </c>
      <c r="B130" s="10">
        <f>+GETPIVOTDATA(" New Prof avg",'Averages Pivot Table'!$A$3,"State","AL","Category",1,"Category2","Four-Year")</f>
        <v>110668.19201267326</v>
      </c>
      <c r="C130" s="141">
        <f>IF(B130&gt;0,(RANK(B130,B$130:B$148)),0)</f>
        <v>6</v>
      </c>
      <c r="D130" s="10">
        <f>+GETPIVOTDATA(" New Asc. avg",'Averages Pivot Table'!$A$3,"State","AL","Category",1,"Category2","Four-Year")</f>
        <v>77154.923227713633</v>
      </c>
      <c r="E130" s="141">
        <f>IF(D130&gt;0,(RANK(D130,D$130:D$148)),0)</f>
        <v>8</v>
      </c>
      <c r="F130" s="10">
        <f>+GETPIVOTDATA(" New Ast. avg",'Averages Pivot Table'!$A$3,"State","AL","Category",1,"Category2","Four-Year")</f>
        <v>62722.186162232785</v>
      </c>
      <c r="G130" s="141">
        <f t="shared" ref="G130:G148" si="6">IF(F130&gt;0,(RANK(F130,F$130:F$148)),0)</f>
        <v>13</v>
      </c>
      <c r="H130" s="10">
        <f>+GETPIVOTDATA(" New Inst. avg",'Averages Pivot Table'!$A$3,"State","AL","Category",1,"Category2","Four-Year")</f>
        <v>40466.937310144931</v>
      </c>
      <c r="I130" s="229">
        <f t="shared" ref="I130:I148" si="7">IF(H130&gt;0,(RANK(H130,H$130:H$148)),0)</f>
        <v>14</v>
      </c>
      <c r="J130" s="10">
        <f>+GETPIVOTDATA(" New Undesg. avg",'Averages Pivot Table'!$A$3,"State","AL","Category",1,"Category2","Four-Year")</f>
        <v>58527.424696551723</v>
      </c>
      <c r="K130" s="141">
        <f t="shared" ref="K130:K148" si="8">IF(J130&gt;0,(RANK(J130,J$130:J$148)),0)</f>
        <v>3</v>
      </c>
      <c r="L130" s="10">
        <f>+GETPIVOTDATA(" New All Ranks avg",'Averages Pivot Table'!$A$3,"State","AL","Category",1,"Category2","Four-Year")</f>
        <v>79903.462769987062</v>
      </c>
      <c r="M130" s="229">
        <f t="shared" ref="M130:M148" si="9">IF(L130&gt;0,(RANK(L130,L$130:L$148)),0)</f>
        <v>8</v>
      </c>
      <c r="N130" s="10"/>
      <c r="O130" s="246"/>
    </row>
    <row r="131" spans="1:15" ht="12.95" customHeight="1">
      <c r="A131" s="12" t="s">
        <v>543</v>
      </c>
      <c r="B131" s="10">
        <f>+GETPIVOTDATA(" New Prof avg",'Averages Pivot Table'!$A$3,"State","AR","Category",1,"Category2","Four-Year")</f>
        <v>102041.87711680912</v>
      </c>
      <c r="C131" s="141">
        <f t="shared" ref="C131:E148" si="10">IF(B131&gt;0,(RANK(B131,B$130:B$148)),0)</f>
        <v>14</v>
      </c>
      <c r="D131" s="10">
        <f>+GETPIVOTDATA(" New Asc. avg",'Averages Pivot Table'!$A$3,"State","AR","Category",1,"Category2","Four-Year")</f>
        <v>73266.91635616438</v>
      </c>
      <c r="E131" s="141">
        <f t="shared" si="10"/>
        <v>14</v>
      </c>
      <c r="F131" s="10">
        <f>+GETPIVOTDATA(" New Ast. avg",'Averages Pivot Table'!$A$3,"State","AR","Category",1,"Category2","Four-Year")</f>
        <v>67787.58265259293</v>
      </c>
      <c r="G131" s="141">
        <f t="shared" si="6"/>
        <v>8</v>
      </c>
      <c r="H131" s="10">
        <f>+GETPIVOTDATA(" New Inst. avg",'Averages Pivot Table'!$A$3,"State","AR","Category",1,"Category2","Four-Year")</f>
        <v>39788.462086956526</v>
      </c>
      <c r="I131" s="229">
        <f t="shared" si="7"/>
        <v>15</v>
      </c>
      <c r="J131" s="10">
        <f>+GETPIVOTDATA(" New Undesg. avg",'Averages Pivot Table'!$A$3,"State","AR","Category",1,"Category2","Four-Year")</f>
        <v>0</v>
      </c>
      <c r="K131" s="141">
        <f t="shared" si="8"/>
        <v>0</v>
      </c>
      <c r="L131" s="10">
        <f>+GETPIVOTDATA(" New All Ranks avg",'Averages Pivot Table'!$A$3,"State","AR","Category",1,"Category2","Four-Year")</f>
        <v>79570.061831009778</v>
      </c>
      <c r="M131" s="229">
        <f t="shared" si="9"/>
        <v>9</v>
      </c>
      <c r="N131" s="10"/>
      <c r="O131" s="246"/>
    </row>
    <row r="132" spans="1:15" ht="12.95" customHeight="1">
      <c r="A132" s="12" t="s">
        <v>558</v>
      </c>
      <c r="B132" s="10">
        <f>+GETPIVOTDATA(" New Prof avg",'Averages Pivot Table'!$A$3,"State","DE","Category",1,"Category2","Four-Year")</f>
        <v>127730.13235968586</v>
      </c>
      <c r="C132" s="141">
        <f t="shared" si="10"/>
        <v>3</v>
      </c>
      <c r="D132" s="10">
        <f>+GETPIVOTDATA(" New Asc. avg",'Averages Pivot Table'!$A$3,"State","DE","Category",1,"Category2","Four-Year")</f>
        <v>86780.443393292677</v>
      </c>
      <c r="E132" s="141">
        <f t="shared" si="10"/>
        <v>3</v>
      </c>
      <c r="F132" s="10">
        <f>+GETPIVOTDATA(" New Ast. avg",'Averages Pivot Table'!$A$3,"State","DE","Category",1,"Category2","Four-Year")</f>
        <v>73632.624209271526</v>
      </c>
      <c r="G132" s="141">
        <f t="shared" si="6"/>
        <v>3</v>
      </c>
      <c r="H132" s="10">
        <f>+GETPIVOTDATA(" New Inst. avg",'Averages Pivot Table'!$A$3,"State","DE","Category",1,"Category2","Four-Year")</f>
        <v>57661.272655238099</v>
      </c>
      <c r="I132" s="229">
        <f t="shared" si="7"/>
        <v>3</v>
      </c>
      <c r="J132" s="10">
        <f>+GETPIVOTDATA(" New Undesg. avg",'Averages Pivot Table'!$A$3,"State","DE","Category",1,"Category2","Four-Year")</f>
        <v>0</v>
      </c>
      <c r="K132" s="141">
        <f t="shared" si="8"/>
        <v>0</v>
      </c>
      <c r="L132" s="10">
        <f>+GETPIVOTDATA(" New All Ranks avg",'Averages Pivot Table'!$A$3,"State","DE","Category",1,"Category2","Four-Year")</f>
        <v>94492.73243903312</v>
      </c>
      <c r="M132" s="229">
        <f t="shared" si="9"/>
        <v>3</v>
      </c>
      <c r="N132" s="10"/>
      <c r="O132" s="246"/>
    </row>
    <row r="133" spans="1:15" ht="12.95" customHeight="1">
      <c r="A133" s="12" t="s">
        <v>544</v>
      </c>
      <c r="B133" s="10">
        <f>+GETPIVOTDATA(" New Prof avg",'Averages Pivot Table'!$A$3,"State","FL","Category",1,"Category2","Four-Year")</f>
        <v>109684.57031500294</v>
      </c>
      <c r="C133" s="141">
        <f t="shared" si="10"/>
        <v>8</v>
      </c>
      <c r="D133" s="10">
        <f>+GETPIVOTDATA(" New Asc. avg",'Averages Pivot Table'!$A$3,"State","FL","Category",1,"Category2","Four-Year")</f>
        <v>74932.408213260933</v>
      </c>
      <c r="E133" s="141">
        <f t="shared" si="10"/>
        <v>12</v>
      </c>
      <c r="F133" s="10">
        <f>+GETPIVOTDATA(" New Ast. avg",'Averages Pivot Table'!$A$3,"State","FL","Category",1,"Category2","Four-Year")</f>
        <v>64690.570068995854</v>
      </c>
      <c r="G133" s="141">
        <f t="shared" si="6"/>
        <v>11</v>
      </c>
      <c r="H133" s="10">
        <f>+GETPIVOTDATA(" New Inst. avg",'Averages Pivot Table'!$A$3,"State","FL","Category",1,"Category2","Four-Year")</f>
        <v>47017.448805371903</v>
      </c>
      <c r="I133" s="229">
        <f t="shared" si="7"/>
        <v>8</v>
      </c>
      <c r="J133" s="10">
        <f>+GETPIVOTDATA(" New Undesg. avg",'Averages Pivot Table'!$A$3,"State","FL","Category",1,"Category2","Four-Year")</f>
        <v>54927.195668490909</v>
      </c>
      <c r="K133" s="141">
        <f t="shared" si="8"/>
        <v>4</v>
      </c>
      <c r="L133" s="10">
        <f>+GETPIVOTDATA(" New All Ranks avg",'Averages Pivot Table'!$A$3,"State","FL","Category",1,"Category2","Four-Year")</f>
        <v>78879.211393297155</v>
      </c>
      <c r="M133" s="229">
        <f t="shared" si="9"/>
        <v>11</v>
      </c>
      <c r="N133" s="10"/>
      <c r="O133" s="246"/>
    </row>
    <row r="134" spans="1:15" ht="12.95" customHeight="1">
      <c r="A134" s="12"/>
      <c r="B134" s="10"/>
      <c r="C134" s="141">
        <f t="shared" si="10"/>
        <v>0</v>
      </c>
      <c r="D134" s="10"/>
      <c r="E134" s="141">
        <f t="shared" si="10"/>
        <v>0</v>
      </c>
      <c r="F134" s="10"/>
      <c r="G134" s="141">
        <f t="shared" si="6"/>
        <v>0</v>
      </c>
      <c r="H134" s="10"/>
      <c r="I134" s="229">
        <f t="shared" si="7"/>
        <v>0</v>
      </c>
      <c r="J134" s="10"/>
      <c r="K134" s="141">
        <f t="shared" si="8"/>
        <v>0</v>
      </c>
      <c r="L134" s="10"/>
      <c r="M134" s="229">
        <f t="shared" si="9"/>
        <v>0</v>
      </c>
      <c r="N134" s="10"/>
      <c r="O134" s="246"/>
    </row>
    <row r="135" spans="1:15" ht="12.95" customHeight="1">
      <c r="A135" s="12" t="s">
        <v>545</v>
      </c>
      <c r="B135" s="10">
        <f>+GETPIVOTDATA(" New Prof avg",'Averages Pivot Table'!$A$3,"State","GA","Category",1,"Category2","Four-Year")</f>
        <v>107874.3717068929</v>
      </c>
      <c r="C135" s="141">
        <f t="shared" si="10"/>
        <v>10</v>
      </c>
      <c r="D135" s="10">
        <f>+GETPIVOTDATA(" New Asc. avg",'Averages Pivot Table'!$A$3,"State","GA","Category",1,"Category2","Four-Year")</f>
        <v>75131.524652934124</v>
      </c>
      <c r="E135" s="141">
        <f t="shared" si="10"/>
        <v>11</v>
      </c>
      <c r="F135" s="10">
        <f>+GETPIVOTDATA(" New Ast. avg",'Averages Pivot Table'!$A$3,"State","GA","Category",1,"Category2","Four-Year")</f>
        <v>67128.310809103452</v>
      </c>
      <c r="G135" s="141">
        <f t="shared" si="6"/>
        <v>9</v>
      </c>
      <c r="H135" s="10">
        <f>+GETPIVOTDATA(" New Inst. avg",'Averages Pivot Table'!$A$3,"State","GA","Category",1,"Category2","Four-Year")</f>
        <v>48672.924036842109</v>
      </c>
      <c r="I135" s="229">
        <f t="shared" si="7"/>
        <v>6</v>
      </c>
      <c r="J135" s="10">
        <f>+GETPIVOTDATA(" New Undesg. avg",'Averages Pivot Table'!$A$3,"State","GA","Category",1,"Category2","Four-Year")</f>
        <v>49651.99895909091</v>
      </c>
      <c r="K135" s="141">
        <f t="shared" si="8"/>
        <v>8</v>
      </c>
      <c r="L135" s="10">
        <f>+GETPIVOTDATA(" New All Ranks avg",'Averages Pivot Table'!$A$3,"State","GA","Category",1,"Category2","Four-Year")</f>
        <v>80930.748696721901</v>
      </c>
      <c r="M135" s="229">
        <f t="shared" si="9"/>
        <v>6</v>
      </c>
      <c r="N135" s="10"/>
      <c r="O135" s="246"/>
    </row>
    <row r="136" spans="1:15" ht="12.95" customHeight="1">
      <c r="A136" s="12" t="s">
        <v>546</v>
      </c>
      <c r="B136" s="10">
        <f>+GETPIVOTDATA(" New Prof avg",'Averages Pivot Table'!$A$3,"State","KY","Category",1,"Category2","Four-Year")</f>
        <v>102959.89277937583</v>
      </c>
      <c r="C136" s="141">
        <f t="shared" si="10"/>
        <v>12</v>
      </c>
      <c r="D136" s="10">
        <f>+GETPIVOTDATA(" New Asc. avg",'Averages Pivot Table'!$A$3,"State","KY","Category",1,"Category2","Four-Year")</f>
        <v>75623.69226028258</v>
      </c>
      <c r="E136" s="141">
        <f t="shared" si="10"/>
        <v>10</v>
      </c>
      <c r="F136" s="10">
        <f>+GETPIVOTDATA(" New Ast. avg",'Averages Pivot Table'!$A$3,"State","KY","Category",1,"Category2","Four-Year")</f>
        <v>63539.729976735463</v>
      </c>
      <c r="G136" s="141">
        <f t="shared" si="6"/>
        <v>12</v>
      </c>
      <c r="H136" s="10">
        <f>+GETPIVOTDATA(" New Inst. avg",'Averages Pivot Table'!$A$3,"State","KY","Category",1,"Category2","Four-Year")</f>
        <v>47820.040156989249</v>
      </c>
      <c r="I136" s="229">
        <f t="shared" si="7"/>
        <v>7</v>
      </c>
      <c r="J136" s="10">
        <f>+GETPIVOTDATA(" New Undesg. avg",'Averages Pivot Table'!$A$3,"State","KY","Category",1,"Category2","Four-Year")</f>
        <v>47238.22564672897</v>
      </c>
      <c r="K136" s="141">
        <f t="shared" si="8"/>
        <v>10</v>
      </c>
      <c r="L136" s="10">
        <f>+GETPIVOTDATA(" New All Ranks avg",'Averages Pivot Table'!$A$3,"State","KY","Category",1,"Category2","Four-Year")</f>
        <v>79459.972902040812</v>
      </c>
      <c r="M136" s="229">
        <f t="shared" si="9"/>
        <v>10</v>
      </c>
      <c r="N136" s="10"/>
      <c r="O136" s="246"/>
    </row>
    <row r="137" spans="1:15" ht="12.95" customHeight="1">
      <c r="A137" s="12" t="s">
        <v>547</v>
      </c>
      <c r="B137" s="10">
        <f>+GETPIVOTDATA(" New Prof avg",'Averages Pivot Table'!$A$3,"State","LA","Category",1,"Category2","Four-Year")</f>
        <v>110633.6827853211</v>
      </c>
      <c r="C137" s="141">
        <f t="shared" si="10"/>
        <v>7</v>
      </c>
      <c r="D137" s="10">
        <f>+GETPIVOTDATA(" New Asc. avg",'Averages Pivot Table'!$A$3,"State","LA","Category",1,"Category2","Four-Year")</f>
        <v>79996.352155555564</v>
      </c>
      <c r="E137" s="141">
        <f t="shared" si="10"/>
        <v>5</v>
      </c>
      <c r="F137" s="10">
        <f>+GETPIVOTDATA(" New Ast. avg",'Averages Pivot Table'!$A$3,"State","LA","Category",1,"Category2","Four-Year")</f>
        <v>68672.996631192669</v>
      </c>
      <c r="G137" s="141">
        <f t="shared" si="6"/>
        <v>6</v>
      </c>
      <c r="H137" s="10">
        <f>+GETPIVOTDATA(" New Inst. avg",'Averages Pivot Table'!$A$3,"State","LA","Category",1,"Category2","Four-Year")</f>
        <v>43428.83519757085</v>
      </c>
      <c r="I137" s="229">
        <f t="shared" si="7"/>
        <v>10</v>
      </c>
      <c r="J137" s="10">
        <f>+GETPIVOTDATA(" New Undesg. avg",'Averages Pivot Table'!$A$3,"State","LA","Category",1,"Category2","Four-Year")</f>
        <v>54337.640228571428</v>
      </c>
      <c r="K137" s="141">
        <f t="shared" si="8"/>
        <v>5</v>
      </c>
      <c r="L137" s="10">
        <f>+GETPIVOTDATA(" New All Ranks avg",'Averages Pivot Table'!$A$3,"State","LA","Category",1,"Category2","Four-Year")</f>
        <v>80060.134762850634</v>
      </c>
      <c r="M137" s="229">
        <f t="shared" si="9"/>
        <v>7</v>
      </c>
      <c r="N137" s="10"/>
      <c r="O137" s="246"/>
    </row>
    <row r="138" spans="1:15" ht="12.95" customHeight="1">
      <c r="A138" s="12" t="s">
        <v>548</v>
      </c>
      <c r="B138" s="10">
        <f>+GETPIVOTDATA(" New Prof avg",'Averages Pivot Table'!$A$3,"State","MD","Category",1,"Category2","Four-Year")</f>
        <v>133415.93212608696</v>
      </c>
      <c r="C138" s="141">
        <f t="shared" si="10"/>
        <v>1</v>
      </c>
      <c r="D138" s="10">
        <f>+GETPIVOTDATA(" New Asc. avg",'Averages Pivot Table'!$A$3,"State","MD","Category",1,"Category2","Four-Year")</f>
        <v>94881.170984869983</v>
      </c>
      <c r="E138" s="141">
        <f t="shared" si="10"/>
        <v>1</v>
      </c>
      <c r="F138" s="10">
        <f>+GETPIVOTDATA(" New Ast. avg",'Averages Pivot Table'!$A$3,"State","MD","Category",1,"Category2","Four-Year")</f>
        <v>83432.648755414019</v>
      </c>
      <c r="G138" s="141">
        <f t="shared" si="6"/>
        <v>1</v>
      </c>
      <c r="H138" s="10">
        <f>+GETPIVOTDATA(" New Inst. avg",'Averages Pivot Table'!$A$3,"State","MD","Category",1,"Category2","Four-Year")</f>
        <v>59407.881209090912</v>
      </c>
      <c r="I138" s="229">
        <f t="shared" si="7"/>
        <v>2</v>
      </c>
      <c r="J138" s="10">
        <f>+GETPIVOTDATA(" New Undesg. avg",'Averages Pivot Table'!$A$3,"State","MD","Category",1,"Category2","Four-Year")</f>
        <v>58593.487279497916</v>
      </c>
      <c r="K138" s="141">
        <f t="shared" si="8"/>
        <v>2</v>
      </c>
      <c r="L138" s="10">
        <f>+GETPIVOTDATA(" New All Ranks avg",'Averages Pivot Table'!$A$3,"State","MD","Category",1,"Category2","Four-Year")</f>
        <v>102048.27294238734</v>
      </c>
      <c r="M138" s="229">
        <f t="shared" si="9"/>
        <v>1</v>
      </c>
      <c r="N138" s="10"/>
      <c r="O138" s="246"/>
    </row>
    <row r="139" spans="1:15" ht="12.95" customHeight="1">
      <c r="A139" s="12"/>
      <c r="B139" s="10"/>
      <c r="C139" s="141">
        <f t="shared" si="10"/>
        <v>0</v>
      </c>
      <c r="D139" s="10"/>
      <c r="E139" s="141">
        <f t="shared" si="10"/>
        <v>0</v>
      </c>
      <c r="F139" s="10"/>
      <c r="G139" s="141">
        <f t="shared" si="6"/>
        <v>0</v>
      </c>
      <c r="H139" s="10"/>
      <c r="I139" s="229">
        <f t="shared" si="7"/>
        <v>0</v>
      </c>
      <c r="J139" s="10"/>
      <c r="K139" s="141">
        <f t="shared" si="8"/>
        <v>0</v>
      </c>
      <c r="L139" s="10"/>
      <c r="M139" s="229">
        <f t="shared" si="9"/>
        <v>0</v>
      </c>
      <c r="N139" s="10"/>
      <c r="O139" s="246"/>
    </row>
    <row r="140" spans="1:15" ht="12.95" customHeight="1">
      <c r="A140" s="12" t="s">
        <v>549</v>
      </c>
      <c r="B140" s="10">
        <f>+GETPIVOTDATA(" New Prof avg",'Averages Pivot Table'!$A$3,"State","MS","Category",1,"Category2","Four-Year")</f>
        <v>89337.828184143218</v>
      </c>
      <c r="C140" s="141">
        <f t="shared" si="10"/>
        <v>16</v>
      </c>
      <c r="D140" s="10">
        <f>+GETPIVOTDATA(" New Asc. avg",'Averages Pivot Table'!$A$3,"State","MS","Category",1,"Category2","Four-Year")</f>
        <v>68582.631858959532</v>
      </c>
      <c r="E140" s="141">
        <f t="shared" si="10"/>
        <v>16</v>
      </c>
      <c r="F140" s="10">
        <f>+GETPIVOTDATA(" New Ast. avg",'Averages Pivot Table'!$A$3,"State","MS","Category",1,"Category2","Four-Year")</f>
        <v>58683.39017481482</v>
      </c>
      <c r="G140" s="141">
        <f t="shared" si="6"/>
        <v>16</v>
      </c>
      <c r="H140" s="10">
        <f>+GETPIVOTDATA(" New Inst. avg",'Averages Pivot Table'!$A$3,"State","MS","Category",1,"Category2","Four-Year")</f>
        <v>42150.055212546125</v>
      </c>
      <c r="I140" s="229">
        <f t="shared" si="7"/>
        <v>11</v>
      </c>
      <c r="J140" s="10">
        <f>+GETPIVOTDATA(" New Undesg. avg",'Averages Pivot Table'!$A$3,"State","MS","Category",1,"Category2","Four-Year")</f>
        <v>30530.486326530612</v>
      </c>
      <c r="K140" s="141">
        <f t="shared" si="8"/>
        <v>13</v>
      </c>
      <c r="L140" s="10">
        <f>+GETPIVOTDATA(" New All Ranks avg",'Averages Pivot Table'!$A$3,"State","MS","Category",1,"Category2","Four-Year")</f>
        <v>64663.976787852211</v>
      </c>
      <c r="M140" s="229">
        <f t="shared" si="9"/>
        <v>16</v>
      </c>
      <c r="N140" s="10"/>
      <c r="O140" s="246"/>
    </row>
    <row r="141" spans="1:15" ht="12.95" customHeight="1">
      <c r="A141" s="12" t="s">
        <v>550</v>
      </c>
      <c r="B141" s="10">
        <f>+GETPIVOTDATA(" New Prof avg",'Averages Pivot Table'!$A$3,"State","NC","Category",1,"Category2","Four-Year")</f>
        <v>127779.8081600639</v>
      </c>
      <c r="C141" s="141">
        <f t="shared" si="10"/>
        <v>2</v>
      </c>
      <c r="D141" s="10">
        <f>+GETPIVOTDATA(" New Asc. avg",'Averages Pivot Table'!$A$3,"State","NC","Category",1,"Category2","Four-Year")</f>
        <v>89105.062619181583</v>
      </c>
      <c r="E141" s="141">
        <f t="shared" si="10"/>
        <v>2</v>
      </c>
      <c r="F141" s="10">
        <f>+GETPIVOTDATA(" New Ast. avg",'Averages Pivot Table'!$A$3,"State","NC","Category",1,"Category2","Four-Year")</f>
        <v>76517.983710760411</v>
      </c>
      <c r="G141" s="141">
        <f t="shared" si="6"/>
        <v>2</v>
      </c>
      <c r="H141" s="10">
        <f>+GETPIVOTDATA(" New Inst. avg",'Averages Pivot Table'!$A$3,"State","NC","Category",1,"Category2","Four-Year")</f>
        <v>90971.078782608689</v>
      </c>
      <c r="I141" s="229">
        <f t="shared" si="7"/>
        <v>1</v>
      </c>
      <c r="J141" s="10">
        <f>+GETPIVOTDATA(" New Undesg. avg",'Averages Pivot Table'!$A$3,"State","NC","Category",1,"Category2","Four-Year")</f>
        <v>63913.944272638437</v>
      </c>
      <c r="K141" s="141">
        <f t="shared" si="8"/>
        <v>1</v>
      </c>
      <c r="L141" s="10">
        <f>+GETPIVOTDATA(" New All Ranks avg",'Averages Pivot Table'!$A$3,"State","NC","Category",1,"Category2","Four-Year")</f>
        <v>96297.212003087872</v>
      </c>
      <c r="M141" s="229">
        <f t="shared" si="9"/>
        <v>2</v>
      </c>
      <c r="N141" s="10"/>
      <c r="O141" s="246"/>
    </row>
    <row r="142" spans="1:15" ht="12.95" customHeight="1">
      <c r="A142" s="12" t="s">
        <v>551</v>
      </c>
      <c r="B142" s="10">
        <f>+GETPIVOTDATA(" New Prof avg",'Averages Pivot Table'!$A$3,"State","OK","Category",1,"Category2","Four-Year")</f>
        <v>107614.86318235294</v>
      </c>
      <c r="C142" s="141">
        <f t="shared" si="10"/>
        <v>11</v>
      </c>
      <c r="D142" s="10">
        <f>+GETPIVOTDATA(" New Asc. avg",'Averages Pivot Table'!$A$3,"State","OK","Category",1,"Category2","Four-Year")</f>
        <v>72333.660100000008</v>
      </c>
      <c r="E142" s="141">
        <f t="shared" si="10"/>
        <v>15</v>
      </c>
      <c r="F142" s="10">
        <f>+GETPIVOTDATA(" New Ast. avg",'Averages Pivot Table'!$A$3,"State","OK","Category",1,"Category2","Four-Year")</f>
        <v>62228.189534637968</v>
      </c>
      <c r="G142" s="141">
        <f t="shared" si="6"/>
        <v>14</v>
      </c>
      <c r="H142" s="10">
        <f>+GETPIVOTDATA(" New Inst. avg",'Averages Pivot Table'!$A$3,"State","OK","Category",1,"Category2","Four-Year")</f>
        <v>41251.483501067618</v>
      </c>
      <c r="I142" s="229">
        <f t="shared" si="7"/>
        <v>13</v>
      </c>
      <c r="J142" s="10">
        <f>+GETPIVOTDATA(" New Undesg. avg",'Averages Pivot Table'!$A$3,"State","OK","Category",1,"Category2","Four-Year")</f>
        <v>0</v>
      </c>
      <c r="K142" s="141">
        <f t="shared" si="8"/>
        <v>0</v>
      </c>
      <c r="L142" s="10">
        <f>+GETPIVOTDATA(" New All Ranks avg",'Averages Pivot Table'!$A$3,"State","OK","Category",1,"Category2","Four-Year")</f>
        <v>77300.801346456676</v>
      </c>
      <c r="M142" s="229">
        <f t="shared" si="9"/>
        <v>13</v>
      </c>
      <c r="N142" s="10"/>
      <c r="O142" s="246"/>
    </row>
    <row r="143" spans="1:15" ht="12.95" customHeight="1">
      <c r="A143" s="12" t="s">
        <v>552</v>
      </c>
      <c r="B143" s="10">
        <f>+GETPIVOTDATA(" New Prof avg",'Averages Pivot Table'!$A$3,"State","SC","Category",1,"Category2","Four-Year")</f>
        <v>107898.95320784312</v>
      </c>
      <c r="C143" s="141">
        <f t="shared" si="10"/>
        <v>9</v>
      </c>
      <c r="D143" s="10">
        <f>+GETPIVOTDATA(" New Asc. avg",'Averages Pivot Table'!$A$3,"State","SC","Category",1,"Category2","Four-Year")</f>
        <v>76901.928806417112</v>
      </c>
      <c r="E143" s="141">
        <f t="shared" si="10"/>
        <v>9</v>
      </c>
      <c r="F143" s="10">
        <f>+GETPIVOTDATA(" New Ast. avg",'Averages Pivot Table'!$A$3,"State","SC","Category",1,"Category2","Four-Year")</f>
        <v>68340.535602332355</v>
      </c>
      <c r="G143" s="141">
        <f t="shared" si="6"/>
        <v>7</v>
      </c>
      <c r="H143" s="10">
        <f>+GETPIVOTDATA(" New Inst. avg",'Averages Pivot Table'!$A$3,"State","SC","Category",1,"Category2","Four-Year")</f>
        <v>43538.560688461534</v>
      </c>
      <c r="I143" s="229">
        <f t="shared" si="7"/>
        <v>9</v>
      </c>
      <c r="J143" s="10">
        <f>+GETPIVOTDATA(" New Undesg. avg",'Averages Pivot Table'!$A$3,"State","SC","Category",1,"Category2","Four-Year")</f>
        <v>45822.439033187773</v>
      </c>
      <c r="K143" s="141">
        <f t="shared" si="8"/>
        <v>11</v>
      </c>
      <c r="L143" s="10">
        <f>+GETPIVOTDATA(" New All Ranks avg",'Averages Pivot Table'!$A$3,"State","SC","Category",1,"Category2","Four-Year")</f>
        <v>77928.518286013088</v>
      </c>
      <c r="M143" s="229">
        <f t="shared" si="9"/>
        <v>12</v>
      </c>
      <c r="N143" s="10"/>
      <c r="O143" s="246"/>
    </row>
    <row r="144" spans="1:15" ht="12.95" customHeight="1">
      <c r="A144" s="12"/>
      <c r="B144" s="10"/>
      <c r="C144" s="141">
        <f t="shared" si="10"/>
        <v>0</v>
      </c>
      <c r="D144" s="10"/>
      <c r="E144" s="141">
        <f t="shared" si="10"/>
        <v>0</v>
      </c>
      <c r="F144" s="10"/>
      <c r="G144" s="141">
        <f t="shared" si="6"/>
        <v>0</v>
      </c>
      <c r="H144" s="10"/>
      <c r="I144" s="229">
        <f t="shared" si="7"/>
        <v>0</v>
      </c>
      <c r="J144" s="10"/>
      <c r="K144" s="141">
        <f t="shared" si="8"/>
        <v>0</v>
      </c>
      <c r="L144" s="10"/>
      <c r="M144" s="229">
        <f t="shared" si="9"/>
        <v>0</v>
      </c>
      <c r="N144" s="10"/>
      <c r="O144" s="246"/>
    </row>
    <row r="145" spans="1:19" ht="12.95" customHeight="1">
      <c r="A145" s="12" t="s">
        <v>553</v>
      </c>
      <c r="B145" s="151">
        <f>+GETPIVOTDATA(" New Prof avg",'Averages Pivot Table'!$A$3,"State","TN","Category",1,"Category2","Four-Year")</f>
        <v>100654.15681323252</v>
      </c>
      <c r="C145" s="141">
        <f t="shared" si="10"/>
        <v>15</v>
      </c>
      <c r="D145" s="151">
        <f>+GETPIVOTDATA(" New Asc. avg",'Averages Pivot Table'!$A$3,"State","TN","Category",1,"Category2","Four-Year")</f>
        <v>77562.820864339155</v>
      </c>
      <c r="E145" s="141">
        <f t="shared" si="10"/>
        <v>7</v>
      </c>
      <c r="F145" s="151">
        <f>+GETPIVOTDATA(" New Ast. avg",'Averages Pivot Table'!$A$3,"State","TN","Category",1,"Category2","Four-Year")</f>
        <v>64942.355847814913</v>
      </c>
      <c r="G145" s="141">
        <f t="shared" si="6"/>
        <v>10</v>
      </c>
      <c r="H145" s="151">
        <f>+GETPIVOTDATA(" New Inst. avg",'Averages Pivot Table'!$A$3,"State","TN","Category",1,"Category2","Four-Year")</f>
        <v>50973.515978947369</v>
      </c>
      <c r="I145" s="229">
        <f t="shared" si="7"/>
        <v>4</v>
      </c>
      <c r="J145" s="151">
        <f>+GETPIVOTDATA(" New Undesg. avg",'Averages Pivot Table'!$A$3,"State","TN","Category",1,"Category2","Four-Year")</f>
        <v>37844.972670852017</v>
      </c>
      <c r="K145" s="141">
        <f t="shared" si="8"/>
        <v>12</v>
      </c>
      <c r="L145" s="151">
        <f>+GETPIVOTDATA(" New All Ranks avg",'Averages Pivot Table'!$A$3,"State","TN","Category",1,"Category2","Four-Year")</f>
        <v>75941.606998987336</v>
      </c>
      <c r="M145" s="229">
        <f t="shared" si="9"/>
        <v>15</v>
      </c>
      <c r="N145" s="10"/>
      <c r="O145" s="246"/>
    </row>
    <row r="146" spans="1:19" ht="12.95" customHeight="1">
      <c r="A146" s="12" t="s">
        <v>554</v>
      </c>
      <c r="B146" s="151">
        <f>+GETPIVOTDATA(" New Prof avg",'Averages Pivot Table'!$A$3,"State","TX","Category",1,"Category2","Four-Year")</f>
        <v>119406.85224466518</v>
      </c>
      <c r="C146" s="141">
        <f t="shared" si="10"/>
        <v>5</v>
      </c>
      <c r="D146" s="151">
        <f>+GETPIVOTDATA(" New Asc. avg",'Averages Pivot Table'!$A$3,"State","TX","Category",1,"Category2","Four-Year")</f>
        <v>79406.297431144631</v>
      </c>
      <c r="E146" s="141">
        <f t="shared" si="10"/>
        <v>6</v>
      </c>
      <c r="F146" s="151">
        <f>+GETPIVOTDATA(" New Ast. avg",'Averages Pivot Table'!$A$3,"State","TX","Category",1,"Category2","Four-Year")</f>
        <v>72044.67471718388</v>
      </c>
      <c r="G146" s="141">
        <f t="shared" si="6"/>
        <v>4</v>
      </c>
      <c r="H146" s="151">
        <f>+GETPIVOTDATA(" New Inst. avg",'Averages Pivot Table'!$A$3,"State","TX","Category",1,"Category2","Four-Year")</f>
        <v>39762.269775369459</v>
      </c>
      <c r="I146" s="229">
        <f t="shared" si="7"/>
        <v>16</v>
      </c>
      <c r="J146" s="151">
        <f>+GETPIVOTDATA(" New Undesg. avg",'Averages Pivot Table'!$A$3,"State","TX","Category",1,"Category2","Four-Year")</f>
        <v>53352.717908108578</v>
      </c>
      <c r="K146" s="141">
        <f t="shared" si="8"/>
        <v>6</v>
      </c>
      <c r="L146" s="151">
        <f>+GETPIVOTDATA(" New All Ranks avg",'Averages Pivot Table'!$A$3,"State","TX","Category",1,"Category2","Four-Year")</f>
        <v>85082.162499440165</v>
      </c>
      <c r="M146" s="229">
        <f t="shared" si="9"/>
        <v>5</v>
      </c>
      <c r="N146" s="10"/>
      <c r="O146" s="246"/>
    </row>
    <row r="147" spans="1:19" ht="12.95" customHeight="1">
      <c r="A147" s="12" t="s">
        <v>555</v>
      </c>
      <c r="B147" s="151">
        <f>+GETPIVOTDATA(" New Prof avg",'Averages Pivot Table'!$A$3,"State","VA","Category",1,"Category2","Four-Year")</f>
        <v>125502.30384589409</v>
      </c>
      <c r="C147" s="141">
        <f t="shared" si="10"/>
        <v>4</v>
      </c>
      <c r="D147" s="151">
        <f>+GETPIVOTDATA(" New Asc. avg",'Averages Pivot Table'!$A$3,"State","VA","Category",1,"Category2","Four-Year")</f>
        <v>86548.317732103314</v>
      </c>
      <c r="E147" s="141">
        <f t="shared" si="10"/>
        <v>4</v>
      </c>
      <c r="F147" s="151">
        <f>+GETPIVOTDATA(" New Ast. avg",'Averages Pivot Table'!$A$3,"State","VA","Category",1,"Category2","Four-Year")</f>
        <v>71332.95864829015</v>
      </c>
      <c r="G147" s="141">
        <f t="shared" si="6"/>
        <v>5</v>
      </c>
      <c r="H147" s="151">
        <f>+GETPIVOTDATA(" New Inst. avg",'Averages Pivot Table'!$A$3,"State","VA","Category",1,"Category2","Four-Year")</f>
        <v>49613.790093227093</v>
      </c>
      <c r="I147" s="229">
        <f t="shared" si="7"/>
        <v>5</v>
      </c>
      <c r="J147" s="151">
        <f>+GETPIVOTDATA(" New Undesg. avg",'Averages Pivot Table'!$A$3,"State","VA","Category",1,"Category2","Four-Year")</f>
        <v>47361.476227083338</v>
      </c>
      <c r="K147" s="141">
        <f t="shared" si="8"/>
        <v>9</v>
      </c>
      <c r="L147" s="151">
        <f>+GETPIVOTDATA(" New All Ranks avg",'Averages Pivot Table'!$A$3,"State","VA","Category",1,"Category2","Four-Year")</f>
        <v>92777.492960151387</v>
      </c>
      <c r="M147" s="229">
        <f t="shared" si="9"/>
        <v>4</v>
      </c>
      <c r="N147" s="10"/>
      <c r="O147" s="246"/>
    </row>
    <row r="148" spans="1:19" ht="12.95" customHeight="1">
      <c r="A148" s="11" t="s">
        <v>556</v>
      </c>
      <c r="B148" s="66">
        <f>+GETPIVOTDATA(" New Prof avg",'Averages Pivot Table'!$A$3,"State","WV","Category",1,"Category2","Four-Year")</f>
        <v>102102.15008780487</v>
      </c>
      <c r="C148" s="65">
        <f t="shared" si="10"/>
        <v>13</v>
      </c>
      <c r="D148" s="66">
        <f>+GETPIVOTDATA(" New Asc. avg",'Averages Pivot Table'!$A$3,"State","WV","Category",1,"Category2","Four-Year")</f>
        <v>73517.96959230768</v>
      </c>
      <c r="E148" s="65">
        <f t="shared" si="10"/>
        <v>13</v>
      </c>
      <c r="F148" s="66">
        <f>+GETPIVOTDATA(" New Ast. avg",'Averages Pivot Table'!$A$3,"State","WV","Category",1,"Category2","Four-Year")</f>
        <v>60549.858298701292</v>
      </c>
      <c r="G148" s="65">
        <f t="shared" si="6"/>
        <v>15</v>
      </c>
      <c r="H148" s="66">
        <f>+GETPIVOTDATA(" New Inst. avg",'Averages Pivot Table'!$A$3,"State","WV","Category",1,"Category2","Four-Year")</f>
        <v>41710.806633333334</v>
      </c>
      <c r="I148" s="230">
        <f t="shared" si="7"/>
        <v>12</v>
      </c>
      <c r="J148" s="66">
        <f>+GETPIVOTDATA(" New Undesg. avg",'Averages Pivot Table'!$A$3,"State","WV","Category",1,"Category2","Four-Year")</f>
        <v>49783.333182608701</v>
      </c>
      <c r="K148" s="65">
        <f t="shared" si="8"/>
        <v>7</v>
      </c>
      <c r="L148" s="66">
        <f>+GETPIVOTDATA(" New All Ranks avg",'Averages Pivot Table'!$A$3,"State","WV","Category",1,"Category2","Four-Year")</f>
        <v>76121.643017449664</v>
      </c>
      <c r="M148" s="230">
        <f t="shared" si="9"/>
        <v>14</v>
      </c>
      <c r="N148" s="10"/>
      <c r="O148" s="241"/>
    </row>
    <row r="149" spans="1:19" ht="30" customHeight="1">
      <c r="A149" s="506" t="s">
        <v>425</v>
      </c>
      <c r="B149" s="509"/>
      <c r="C149" s="509"/>
      <c r="D149" s="509"/>
      <c r="E149" s="509"/>
      <c r="F149" s="509"/>
      <c r="G149" s="509"/>
      <c r="H149" s="509"/>
      <c r="I149" s="509"/>
      <c r="J149" s="509"/>
      <c r="K149" s="509"/>
      <c r="L149" s="509"/>
      <c r="M149" s="509"/>
      <c r="N149" s="12"/>
      <c r="O149" s="243"/>
    </row>
    <row r="150" spans="1:19">
      <c r="M150" s="487" t="s">
        <v>1002</v>
      </c>
      <c r="O150" s="242"/>
    </row>
    <row r="151" spans="1:19" ht="18">
      <c r="A151" s="504" t="s">
        <v>569</v>
      </c>
      <c r="B151" s="504"/>
      <c r="C151" s="504"/>
      <c r="D151" s="504"/>
      <c r="E151" s="504"/>
      <c r="F151" s="504"/>
      <c r="G151" s="504"/>
      <c r="H151" s="504"/>
      <c r="I151" s="504"/>
      <c r="J151" s="504"/>
      <c r="K151" s="504"/>
      <c r="L151" s="504"/>
      <c r="M151" s="504"/>
      <c r="N151" s="180"/>
      <c r="O151" s="179"/>
    </row>
    <row r="152" spans="1:19">
      <c r="A152" s="12"/>
      <c r="B152" s="5"/>
      <c r="C152" s="5"/>
      <c r="D152" s="5"/>
      <c r="E152" s="5"/>
      <c r="F152" s="5"/>
      <c r="G152" s="5"/>
      <c r="H152" s="5"/>
      <c r="I152" s="172"/>
      <c r="J152" s="5"/>
      <c r="K152" s="5"/>
      <c r="L152" s="5"/>
      <c r="M152" s="172"/>
      <c r="N152" s="5"/>
      <c r="O152" s="172"/>
    </row>
    <row r="153" spans="1:19">
      <c r="A153" s="505" t="s">
        <v>557</v>
      </c>
      <c r="B153" s="505"/>
      <c r="C153" s="505"/>
      <c r="D153" s="505"/>
      <c r="E153" s="505"/>
      <c r="F153" s="505"/>
      <c r="G153" s="505"/>
      <c r="H153" s="505"/>
      <c r="I153" s="505"/>
      <c r="J153" s="505"/>
      <c r="K153" s="505"/>
      <c r="L153" s="505"/>
      <c r="M153" s="505"/>
      <c r="N153" s="191"/>
      <c r="O153" s="239"/>
    </row>
    <row r="154" spans="1:19">
      <c r="A154" s="505" t="s">
        <v>32</v>
      </c>
      <c r="B154" s="505"/>
      <c r="C154" s="505"/>
      <c r="D154" s="505"/>
      <c r="E154" s="505"/>
      <c r="F154" s="505"/>
      <c r="G154" s="505"/>
      <c r="H154" s="505"/>
      <c r="I154" s="505"/>
      <c r="J154" s="505"/>
      <c r="K154" s="505"/>
      <c r="L154" s="505"/>
      <c r="M154" s="505"/>
      <c r="N154" s="191"/>
      <c r="O154" s="239"/>
    </row>
    <row r="155" spans="1:19">
      <c r="A155" s="12"/>
      <c r="B155" s="12"/>
      <c r="C155" s="12"/>
      <c r="D155" s="12"/>
      <c r="E155" s="12"/>
      <c r="F155" s="12"/>
      <c r="G155" s="12"/>
      <c r="H155" s="12"/>
      <c r="I155" s="243"/>
      <c r="J155" s="12"/>
      <c r="K155" s="12"/>
      <c r="L155" s="12"/>
      <c r="M155" s="243"/>
      <c r="N155" s="12"/>
      <c r="O155" s="243"/>
    </row>
    <row r="156" spans="1:19" ht="30.75" customHeight="1">
      <c r="A156" s="15"/>
      <c r="B156" s="21" t="s">
        <v>435</v>
      </c>
      <c r="C156" s="22"/>
      <c r="D156" s="152" t="s">
        <v>436</v>
      </c>
      <c r="E156" s="153"/>
      <c r="F156" s="152" t="s">
        <v>437</v>
      </c>
      <c r="G156" s="153"/>
      <c r="H156" s="21" t="s">
        <v>438</v>
      </c>
      <c r="I156" s="253"/>
      <c r="J156" s="152" t="s">
        <v>584</v>
      </c>
      <c r="K156" s="153"/>
      <c r="L156" s="22" t="s">
        <v>415</v>
      </c>
      <c r="M156" s="253"/>
      <c r="N156" s="63" t="s">
        <v>560</v>
      </c>
      <c r="O156" s="240"/>
    </row>
    <row r="157" spans="1:19">
      <c r="A157" s="16"/>
      <c r="B157" s="19" t="s">
        <v>439</v>
      </c>
      <c r="C157" s="18" t="s">
        <v>530</v>
      </c>
      <c r="D157" s="19" t="s">
        <v>439</v>
      </c>
      <c r="E157" s="18" t="s">
        <v>530</v>
      </c>
      <c r="F157" s="19" t="s">
        <v>439</v>
      </c>
      <c r="G157" s="18" t="s">
        <v>530</v>
      </c>
      <c r="H157" s="19" t="s">
        <v>439</v>
      </c>
      <c r="I157" s="254" t="s">
        <v>530</v>
      </c>
      <c r="J157" s="19" t="s">
        <v>439</v>
      </c>
      <c r="K157" s="18" t="s">
        <v>530</v>
      </c>
      <c r="L157" s="19" t="s">
        <v>439</v>
      </c>
      <c r="M157" s="254" t="s">
        <v>530</v>
      </c>
    </row>
    <row r="158" spans="1:19" s="168" customFormat="1" ht="18" customHeight="1">
      <c r="A158" s="181" t="s">
        <v>559</v>
      </c>
      <c r="B158" s="185">
        <f>+GETPIVOTDATA(" New Prof avg",'Averages Pivot Table'!$A$3,"Category",2,"Category2","Four-Year")</f>
        <v>108402.64002258034</v>
      </c>
      <c r="C158" s="185"/>
      <c r="D158" s="185">
        <f>+GETPIVOTDATA(" New Asc. avg",'Averages Pivot Table'!$A$3,"Category",2,"Category2","Four-Year")</f>
        <v>77734.712706135993</v>
      </c>
      <c r="E158" s="185"/>
      <c r="F158" s="185">
        <f>+GETPIVOTDATA(" New Ast. avg",'Averages Pivot Table'!$A$3,"Category",2,"Category2","Four-Year")</f>
        <v>65641.698820042933</v>
      </c>
      <c r="G158" s="185"/>
      <c r="H158" s="185">
        <f>+GETPIVOTDATA(" New Inst. avg",'Averages Pivot Table'!$A$3,"Category",2,"Category2","Four-Year")</f>
        <v>44992.68283468976</v>
      </c>
      <c r="I158" s="257"/>
      <c r="J158" s="185">
        <f>+GETPIVOTDATA(" New Undesg. avg",'Averages Pivot Table'!$A$3,"Category",2,"Category2","Four-Year")</f>
        <v>48410.651960938143</v>
      </c>
      <c r="K158" s="185"/>
      <c r="L158" s="185">
        <f>+GETPIVOTDATA(" New All Ranks avg",'Averages Pivot Table'!$A$3,"Category",2,"Category2","Four-Year")</f>
        <v>75881.284717070026</v>
      </c>
      <c r="M158" s="260"/>
      <c r="N158" s="185"/>
      <c r="O158" s="244"/>
      <c r="Q158" s="209"/>
      <c r="R158" s="209"/>
      <c r="S158" s="209"/>
    </row>
    <row r="159" spans="1:19" ht="12.95" customHeight="1">
      <c r="A159" s="12"/>
      <c r="B159" s="9"/>
      <c r="C159" s="17"/>
      <c r="D159" s="9"/>
      <c r="E159" s="17"/>
      <c r="F159" s="9"/>
      <c r="G159" s="17"/>
      <c r="H159" s="9"/>
      <c r="I159" s="261"/>
      <c r="J159" s="9"/>
      <c r="K159" s="17"/>
      <c r="L159" s="9"/>
      <c r="M159" s="261"/>
      <c r="N159" s="9"/>
      <c r="O159" s="245"/>
    </row>
    <row r="160" spans="1:19" ht="12.95" customHeight="1">
      <c r="A160" s="12" t="s">
        <v>542</v>
      </c>
      <c r="B160" s="62">
        <f>+GETPIVOTDATA(" New Prof avg",'Averages Pivot Table'!$A$3,"State","AL","Category",2,"Category2","Four-Year")</f>
        <v>102532.58434933334</v>
      </c>
      <c r="C160" s="141">
        <f>IF(B160&gt;0,(RANK(B160,B$160:B$178)),0)</f>
        <v>5</v>
      </c>
      <c r="D160" s="62">
        <f>+GETPIVOTDATA(" New Asc. avg",'Averages Pivot Table'!$A$3,"State","AL","Category",2,"Category2","Four-Year")</f>
        <v>77420.608582608693</v>
      </c>
      <c r="E160" s="141">
        <f>IF(D160&gt;0,(RANK(D160,D$160:D$178)),0)</f>
        <v>5</v>
      </c>
      <c r="F160" s="62">
        <f>+GETPIVOTDATA(" New Ast. avg",'Averages Pivot Table'!$A$3,"State","AL","Category",2,"Category2","Four-Year")</f>
        <v>62333.551661363636</v>
      </c>
      <c r="G160" s="141">
        <f t="shared" ref="G160:G178" si="11">IF(F160&gt;0,(RANK(F160,F$160:F$178)),0)</f>
        <v>6</v>
      </c>
      <c r="H160" s="62">
        <f>+GETPIVOTDATA(" New Inst. avg",'Averages Pivot Table'!$A$3,"State","AL","Category",2,"Category2","Four-Year")</f>
        <v>57942.857142857145</v>
      </c>
      <c r="I160" s="229">
        <f t="shared" ref="I160:I178" si="12">IF(H160&gt;0,(RANK(H160,H$160:H$178)),0)</f>
        <v>1</v>
      </c>
      <c r="J160" s="62">
        <f>+GETPIVOTDATA(" New Undesg. avg",'Averages Pivot Table'!$A$3,"State","AL","Category",2,"Category2","Four-Year")</f>
        <v>41253.736829999994</v>
      </c>
      <c r="K160" s="141">
        <f t="shared" ref="K160:K178" si="13">IF(J160&gt;0,(RANK(J160,J$160:J$178)),0)</f>
        <v>10</v>
      </c>
      <c r="L160" s="62">
        <f>+GETPIVOTDATA(" New All Ranks avg",'Averages Pivot Table'!$A$3,"State","AL","Category",2,"Category2","Four-Year")</f>
        <v>74019.012699337749</v>
      </c>
      <c r="M160" s="229">
        <f t="shared" ref="M160:M178" si="14">IF(L160&gt;0,(RANK(L160,L$160:L$178)),0)</f>
        <v>5</v>
      </c>
      <c r="N160" s="62"/>
      <c r="O160" s="240"/>
    </row>
    <row r="161" spans="1:15" ht="12.95" customHeight="1">
      <c r="A161" s="12" t="s">
        <v>543</v>
      </c>
      <c r="B161" s="62">
        <f>+GETPIVOTDATA(" New Prof avg",'Averages Pivot Table'!$A$3,"State","AR","Category",2,"Category2","Four-Year")</f>
        <v>0</v>
      </c>
      <c r="C161" s="141">
        <f t="shared" ref="C161:E178" si="15">IF(B161&gt;0,(RANK(B161,B$160:B$178)),0)</f>
        <v>0</v>
      </c>
      <c r="D161" s="62">
        <f>+GETPIVOTDATA(" New Asc. avg",'Averages Pivot Table'!$A$3,"State","AR","Category",2,"Category2","Four-Year")</f>
        <v>0</v>
      </c>
      <c r="E161" s="141">
        <f t="shared" si="15"/>
        <v>0</v>
      </c>
      <c r="F161" s="62">
        <f>+GETPIVOTDATA(" New Ast. avg",'Averages Pivot Table'!$A$3,"State","AR","Category",2,"Category2","Four-Year")</f>
        <v>0</v>
      </c>
      <c r="G161" s="141">
        <f t="shared" si="11"/>
        <v>0</v>
      </c>
      <c r="H161" s="62">
        <f>+GETPIVOTDATA(" New Inst. avg",'Averages Pivot Table'!$A$3,"State","AR","Category",2,"Category2","Four-Year")</f>
        <v>0</v>
      </c>
      <c r="I161" s="229">
        <f t="shared" si="12"/>
        <v>0</v>
      </c>
      <c r="J161" s="62">
        <f>+GETPIVOTDATA(" New Undesg. avg",'Averages Pivot Table'!$A$3,"State","AR","Category",2,"Category2","Four-Year")</f>
        <v>0</v>
      </c>
      <c r="K161" s="141">
        <f t="shared" si="13"/>
        <v>0</v>
      </c>
      <c r="L161" s="62">
        <f>+GETPIVOTDATA(" New All Ranks avg",'Averages Pivot Table'!$A$3,"State","AR","Category",2,"Category2","Four-Year")</f>
        <v>0</v>
      </c>
      <c r="M161" s="229">
        <f t="shared" si="14"/>
        <v>0</v>
      </c>
      <c r="N161" s="62"/>
      <c r="O161" s="240"/>
    </row>
    <row r="162" spans="1:15" ht="12.95" customHeight="1">
      <c r="A162" s="12" t="s">
        <v>558</v>
      </c>
      <c r="B162" s="62">
        <f>+GETPIVOTDATA(" New Prof avg",'Averages Pivot Table'!$A$3,"State","DE","Category",2,"Category2","Four-Year")</f>
        <v>0</v>
      </c>
      <c r="C162" s="141">
        <f t="shared" si="15"/>
        <v>0</v>
      </c>
      <c r="D162" s="62">
        <f>+GETPIVOTDATA(" New Asc. avg",'Averages Pivot Table'!$A$3,"State","DE","Category",2,"Category2","Four-Year")</f>
        <v>0</v>
      </c>
      <c r="E162" s="141">
        <f t="shared" si="15"/>
        <v>0</v>
      </c>
      <c r="F162" s="62">
        <f>+GETPIVOTDATA(" New Ast. avg",'Averages Pivot Table'!$A$3,"State","DE","Category",2,"Category2","Four-Year")</f>
        <v>0</v>
      </c>
      <c r="G162" s="141">
        <f t="shared" si="11"/>
        <v>0</v>
      </c>
      <c r="H162" s="62">
        <f>+GETPIVOTDATA(" New Inst. avg",'Averages Pivot Table'!$A$3,"State","DE","Category",2,"Category2","Four-Year")</f>
        <v>0</v>
      </c>
      <c r="I162" s="229">
        <f t="shared" si="12"/>
        <v>0</v>
      </c>
      <c r="J162" s="62">
        <f>+GETPIVOTDATA(" New Undesg. avg",'Averages Pivot Table'!$A$3,"State","DE","Category",2,"Category2","Four-Year")</f>
        <v>0</v>
      </c>
      <c r="K162" s="141">
        <f t="shared" si="13"/>
        <v>0</v>
      </c>
      <c r="L162" s="62">
        <f>+GETPIVOTDATA(" New All Ranks avg",'Averages Pivot Table'!$A$3,"State","DE","Category",2,"Category2","Four-Year")</f>
        <v>0</v>
      </c>
      <c r="M162" s="229">
        <f t="shared" si="14"/>
        <v>0</v>
      </c>
      <c r="N162" s="62"/>
      <c r="O162" s="240"/>
    </row>
    <row r="163" spans="1:15" ht="12.95" customHeight="1">
      <c r="A163" s="12" t="s">
        <v>544</v>
      </c>
      <c r="B163" s="62">
        <f>+GETPIVOTDATA(" New Prof avg",'Averages Pivot Table'!$A$3,"State","FL","Category",2,"Category2","Four-Year")</f>
        <v>98377.786515298154</v>
      </c>
      <c r="C163" s="141">
        <f t="shared" si="15"/>
        <v>6</v>
      </c>
      <c r="D163" s="62">
        <f>+GETPIVOTDATA(" New Asc. avg",'Averages Pivot Table'!$A$3,"State","FL","Category",2,"Category2","Four-Year")</f>
        <v>73746.377573536753</v>
      </c>
      <c r="E163" s="141">
        <f t="shared" si="15"/>
        <v>6</v>
      </c>
      <c r="F163" s="62">
        <f>+GETPIVOTDATA(" New Ast. avg",'Averages Pivot Table'!$A$3,"State","FL","Category",2,"Category2","Four-Year")</f>
        <v>67155.601402759683</v>
      </c>
      <c r="G163" s="141">
        <f t="shared" si="11"/>
        <v>3</v>
      </c>
      <c r="H163" s="62">
        <f>+GETPIVOTDATA(" New Inst. avg",'Averages Pivot Table'!$A$3,"State","FL","Category",2,"Category2","Four-Year")</f>
        <v>47062.373077976612</v>
      </c>
      <c r="I163" s="229">
        <f t="shared" si="12"/>
        <v>6</v>
      </c>
      <c r="J163" s="62">
        <f>+GETPIVOTDATA(" New Undesg. avg",'Averages Pivot Table'!$A$3,"State","FL","Category",2,"Category2","Four-Year")</f>
        <v>59416.305068982452</v>
      </c>
      <c r="K163" s="141">
        <f t="shared" si="13"/>
        <v>2</v>
      </c>
      <c r="L163" s="62">
        <f>+GETPIVOTDATA(" New All Ranks avg",'Averages Pivot Table'!$A$3,"State","FL","Category",2,"Category2","Four-Year")</f>
        <v>72372.082124589957</v>
      </c>
      <c r="M163" s="229">
        <f t="shared" si="14"/>
        <v>6</v>
      </c>
      <c r="N163" s="62"/>
      <c r="O163" s="240"/>
    </row>
    <row r="164" spans="1:15" ht="12.95" customHeight="1">
      <c r="A164" s="12"/>
      <c r="B164" s="62"/>
      <c r="C164" s="141">
        <f t="shared" si="15"/>
        <v>0</v>
      </c>
      <c r="D164" s="62"/>
      <c r="E164" s="141">
        <f t="shared" si="15"/>
        <v>0</v>
      </c>
      <c r="F164" s="62"/>
      <c r="G164" s="141">
        <f t="shared" si="11"/>
        <v>0</v>
      </c>
      <c r="H164" s="62"/>
      <c r="I164" s="229">
        <f t="shared" si="12"/>
        <v>0</v>
      </c>
      <c r="J164" s="62"/>
      <c r="K164" s="141">
        <f t="shared" si="13"/>
        <v>0</v>
      </c>
      <c r="L164" s="62"/>
      <c r="M164" s="229">
        <f t="shared" si="14"/>
        <v>0</v>
      </c>
      <c r="N164" s="62"/>
      <c r="O164" s="240"/>
    </row>
    <row r="165" spans="1:15" ht="12.95" customHeight="1">
      <c r="A165" s="12" t="s">
        <v>332</v>
      </c>
      <c r="B165" s="62">
        <f>+GETPIVOTDATA(" New Prof avg",'Averages Pivot Table'!$A$3,"State","GA","Category",2,"Category2","Four-Year")</f>
        <v>150394.15210795181</v>
      </c>
      <c r="C165" s="141">
        <f t="shared" si="15"/>
        <v>1</v>
      </c>
      <c r="D165" s="62">
        <f>+GETPIVOTDATA(" New Asc. avg",'Averages Pivot Table'!$A$3,"State","GA","Category",2,"Category2","Four-Year")</f>
        <v>104447.2050962963</v>
      </c>
      <c r="E165" s="141">
        <f t="shared" si="15"/>
        <v>1</v>
      </c>
      <c r="F165" s="62">
        <f>+GETPIVOTDATA(" New Ast. avg",'Averages Pivot Table'!$A$3,"State","GA","Category",2,"Category2","Four-Year")</f>
        <v>91434.707272727275</v>
      </c>
      <c r="G165" s="141">
        <f t="shared" si="11"/>
        <v>1</v>
      </c>
      <c r="H165" s="62">
        <f>+GETPIVOTDATA(" New Inst. avg",'Averages Pivot Table'!$A$3,"State","GA","Category",2,"Category2","Four-Year")</f>
        <v>44248.391042857147</v>
      </c>
      <c r="I165" s="229">
        <f t="shared" si="12"/>
        <v>7</v>
      </c>
      <c r="J165" s="62">
        <f>+GETPIVOTDATA(" New Undesg. avg",'Averages Pivot Table'!$A$3,"State","GA","Category",2,"Category2","Four-Year")</f>
        <v>60527.151222222223</v>
      </c>
      <c r="K165" s="141">
        <f t="shared" si="13"/>
        <v>1</v>
      </c>
      <c r="L165" s="62">
        <f>+GETPIVOTDATA(" New All Ranks avg",'Averages Pivot Table'!$A$3,"State","GA","Category",2,"Category2","Four-Year")</f>
        <v>120352.83310812568</v>
      </c>
      <c r="M165" s="229">
        <f t="shared" si="14"/>
        <v>1</v>
      </c>
      <c r="N165" s="62"/>
      <c r="O165" s="240"/>
    </row>
    <row r="166" spans="1:15" ht="12.95" customHeight="1">
      <c r="A166" s="12" t="s">
        <v>546</v>
      </c>
      <c r="B166" s="62">
        <f>+GETPIVOTDATA(" New Prof avg",'Averages Pivot Table'!$A$3,"State","KY","Category",2,"Category2","Four-Year")</f>
        <v>0</v>
      </c>
      <c r="C166" s="141">
        <f t="shared" si="15"/>
        <v>0</v>
      </c>
      <c r="D166" s="62">
        <f>+GETPIVOTDATA(" New Asc. avg",'Averages Pivot Table'!$A$3,"State","KY","Category",2,"Category2","Four-Year")</f>
        <v>0</v>
      </c>
      <c r="E166" s="141">
        <f t="shared" si="15"/>
        <v>0</v>
      </c>
      <c r="F166" s="62">
        <f>+GETPIVOTDATA(" New Ast. avg",'Averages Pivot Table'!$A$3,"State","KY","Category",2,"Category2","Four-Year")</f>
        <v>0</v>
      </c>
      <c r="G166" s="141">
        <f t="shared" si="11"/>
        <v>0</v>
      </c>
      <c r="H166" s="62">
        <f>+GETPIVOTDATA(" New Inst. avg",'Averages Pivot Table'!$A$3,"State","KY","Category",2,"Category2","Four-Year")</f>
        <v>0</v>
      </c>
      <c r="I166" s="229">
        <f t="shared" si="12"/>
        <v>0</v>
      </c>
      <c r="J166" s="62">
        <f>+GETPIVOTDATA(" New Undesg. avg",'Averages Pivot Table'!$A$3,"State","KY","Category",2,"Category2","Four-Year")</f>
        <v>0</v>
      </c>
      <c r="K166" s="141">
        <f t="shared" si="13"/>
        <v>0</v>
      </c>
      <c r="L166" s="62">
        <f>+GETPIVOTDATA(" New All Ranks avg",'Averages Pivot Table'!$A$3,"State","KY","Category",2,"Category2","Four-Year")</f>
        <v>0</v>
      </c>
      <c r="M166" s="229">
        <f t="shared" si="14"/>
        <v>0</v>
      </c>
      <c r="N166" s="62"/>
      <c r="O166" s="240"/>
    </row>
    <row r="167" spans="1:15" ht="12.95" customHeight="1">
      <c r="A167" s="12" t="s">
        <v>547</v>
      </c>
      <c r="B167" s="62">
        <f>+GETPIVOTDATA(" New Prof avg",'Averages Pivot Table'!$A$3,"State","LA","Category",2,"Category2","Four-Year")</f>
        <v>94722.180491666659</v>
      </c>
      <c r="C167" s="141">
        <f t="shared" si="15"/>
        <v>9</v>
      </c>
      <c r="D167" s="62">
        <f>+GETPIVOTDATA(" New Asc. avg",'Averages Pivot Table'!$A$3,"State","LA","Category",2,"Category2","Four-Year")</f>
        <v>71637.236832075476</v>
      </c>
      <c r="E167" s="141">
        <f t="shared" si="15"/>
        <v>8</v>
      </c>
      <c r="F167" s="62">
        <f>+GETPIVOTDATA(" New Ast. avg",'Averages Pivot Table'!$A$3,"State","LA","Category",2,"Category2","Four-Year")</f>
        <v>60928.018737349397</v>
      </c>
      <c r="G167" s="141">
        <f t="shared" si="11"/>
        <v>8</v>
      </c>
      <c r="H167" s="62">
        <f>+GETPIVOTDATA(" New Inst. avg",'Averages Pivot Table'!$A$3,"State","LA","Category",2,"Category2","Four-Year")</f>
        <v>42618.876101162794</v>
      </c>
      <c r="I167" s="229">
        <f t="shared" si="12"/>
        <v>9</v>
      </c>
      <c r="J167" s="62">
        <f>+GETPIVOTDATA(" New Undesg. avg",'Averages Pivot Table'!$A$3,"State","LA","Category",2,"Category2","Four-Year")</f>
        <v>46937.274842553197</v>
      </c>
      <c r="K167" s="141">
        <f t="shared" si="13"/>
        <v>7</v>
      </c>
      <c r="L167" s="62">
        <f>+GETPIVOTDATA(" New All Ranks avg",'Averages Pivot Table'!$A$3,"State","LA","Category",2,"Category2","Four-Year")</f>
        <v>66733.624907008096</v>
      </c>
      <c r="M167" s="229">
        <f t="shared" si="14"/>
        <v>9</v>
      </c>
      <c r="N167" s="62"/>
      <c r="O167" s="240"/>
    </row>
    <row r="168" spans="1:15" ht="12.95" customHeight="1">
      <c r="A168" s="12" t="s">
        <v>548</v>
      </c>
      <c r="B168" s="62">
        <f>+GETPIVOTDATA(" New Prof avg",'Averages Pivot Table'!$A$3,"State","MD","Category",2,"Category2","Four-Year")</f>
        <v>115899.9748463768</v>
      </c>
      <c r="C168" s="141">
        <f t="shared" si="15"/>
        <v>2</v>
      </c>
      <c r="D168" s="62">
        <f>+GETPIVOTDATA(" New Asc. avg",'Averages Pivot Table'!$A$3,"State","MD","Category",2,"Category2","Four-Year")</f>
        <v>79460.209350649355</v>
      </c>
      <c r="E168" s="141">
        <f t="shared" si="15"/>
        <v>4</v>
      </c>
      <c r="F168" s="62">
        <f>+GETPIVOTDATA(" New Ast. avg",'Averages Pivot Table'!$A$3,"State","MD","Category",2,"Category2","Four-Year")</f>
        <v>66620.921390654199</v>
      </c>
      <c r="G168" s="141">
        <f t="shared" si="11"/>
        <v>4</v>
      </c>
      <c r="H168" s="62">
        <f>+GETPIVOTDATA(" New Inst. avg",'Averages Pivot Table'!$A$3,"State","MD","Category",2,"Category2","Four-Year")</f>
        <v>52252.721583333332</v>
      </c>
      <c r="I168" s="229">
        <f t="shared" si="12"/>
        <v>3</v>
      </c>
      <c r="J168" s="62">
        <f>+GETPIVOTDATA(" New Undesg. avg",'Averages Pivot Table'!$A$3,"State","MD","Category",2,"Category2","Four-Year")</f>
        <v>53345.856763888885</v>
      </c>
      <c r="K168" s="141">
        <f t="shared" si="13"/>
        <v>3</v>
      </c>
      <c r="L168" s="62">
        <f>+GETPIVOTDATA(" New All Ranks avg",'Averages Pivot Table'!$A$3,"State","MD","Category",2,"Category2","Four-Year")</f>
        <v>82458.471436024847</v>
      </c>
      <c r="M168" s="229">
        <f t="shared" si="14"/>
        <v>2</v>
      </c>
      <c r="N168" s="62"/>
      <c r="O168" s="240"/>
    </row>
    <row r="169" spans="1:15" ht="12.95" customHeight="1">
      <c r="A169" s="12"/>
      <c r="B169" s="62"/>
      <c r="C169" s="141">
        <f t="shared" si="15"/>
        <v>0</v>
      </c>
      <c r="D169" s="62"/>
      <c r="E169" s="141">
        <f t="shared" si="15"/>
        <v>0</v>
      </c>
      <c r="F169" s="62"/>
      <c r="G169" s="141">
        <f t="shared" si="11"/>
        <v>0</v>
      </c>
      <c r="H169" s="62"/>
      <c r="I169" s="229">
        <f t="shared" si="12"/>
        <v>0</v>
      </c>
      <c r="J169" s="62"/>
      <c r="K169" s="141">
        <f t="shared" si="13"/>
        <v>0</v>
      </c>
      <c r="L169" s="62"/>
      <c r="M169" s="229">
        <f t="shared" si="14"/>
        <v>0</v>
      </c>
      <c r="N169" s="62"/>
      <c r="O169" s="240"/>
    </row>
    <row r="170" spans="1:15" ht="12.95" customHeight="1">
      <c r="A170" s="12" t="s">
        <v>549</v>
      </c>
      <c r="B170" s="62">
        <f>+GETPIVOTDATA(" New Prof avg",'Averages Pivot Table'!$A$3,"State","MS","Category",2,"Category2","Four-Year")</f>
        <v>95953.991100465108</v>
      </c>
      <c r="C170" s="141">
        <f t="shared" si="15"/>
        <v>7</v>
      </c>
      <c r="D170" s="62">
        <f>+GETPIVOTDATA(" New Asc. avg",'Averages Pivot Table'!$A$3,"State","MS","Category",2,"Category2","Four-Year")</f>
        <v>72258.635898220629</v>
      </c>
      <c r="E170" s="141">
        <f t="shared" si="15"/>
        <v>7</v>
      </c>
      <c r="F170" s="62">
        <f>+GETPIVOTDATA(" New Ast. avg",'Averages Pivot Table'!$A$3,"State","MS","Category",2,"Category2","Four-Year")</f>
        <v>59484.666207526883</v>
      </c>
      <c r="G170" s="141">
        <f t="shared" si="11"/>
        <v>9</v>
      </c>
      <c r="H170" s="62">
        <f>+GETPIVOTDATA(" New Inst. avg",'Averages Pivot Table'!$A$3,"State","MS","Category",2,"Category2","Four-Year")</f>
        <v>37512.758595238098</v>
      </c>
      <c r="I170" s="229">
        <f t="shared" si="12"/>
        <v>10</v>
      </c>
      <c r="J170" s="62">
        <f>+GETPIVOTDATA(" New Undesg. avg",'Averages Pivot Table'!$A$3,"State","MS","Category",2,"Category2","Four-Year")</f>
        <v>45375.646000000001</v>
      </c>
      <c r="K170" s="141">
        <f t="shared" si="13"/>
        <v>8</v>
      </c>
      <c r="L170" s="62">
        <f>+GETPIVOTDATA(" New All Ranks avg",'Averages Pivot Table'!$A$3,"State","MS","Category",2,"Category2","Four-Year")</f>
        <v>66748.547330019122</v>
      </c>
      <c r="M170" s="229">
        <f t="shared" si="14"/>
        <v>8</v>
      </c>
      <c r="N170" s="62"/>
      <c r="O170" s="240"/>
    </row>
    <row r="171" spans="1:15" ht="12.95" customHeight="1">
      <c r="A171" s="12" t="s">
        <v>550</v>
      </c>
      <c r="B171" s="62">
        <f>+GETPIVOTDATA(" New Prof avg",'Averages Pivot Table'!$A$3,"State","NC","Category",2,"Category2","Four-Year")</f>
        <v>109603.59395340315</v>
      </c>
      <c r="C171" s="141">
        <f t="shared" si="15"/>
        <v>4</v>
      </c>
      <c r="D171" s="62">
        <f>+GETPIVOTDATA(" New Asc. avg",'Averages Pivot Table'!$A$3,"State","NC","Category",2,"Category2","Four-Year")</f>
        <v>81096.659189873419</v>
      </c>
      <c r="E171" s="141">
        <f t="shared" si="15"/>
        <v>2</v>
      </c>
      <c r="F171" s="62">
        <f>+GETPIVOTDATA(" New Ast. avg",'Averages Pivot Table'!$A$3,"State","NC","Category",2,"Category2","Four-Year")</f>
        <v>68103.334057482192</v>
      </c>
      <c r="G171" s="141">
        <f t="shared" si="11"/>
        <v>2</v>
      </c>
      <c r="H171" s="62">
        <f>+GETPIVOTDATA(" New Inst. avg",'Averages Pivot Table'!$A$3,"State","NC","Category",2,"Category2","Four-Year")</f>
        <v>55914.31642857143</v>
      </c>
      <c r="I171" s="229">
        <f t="shared" si="12"/>
        <v>2</v>
      </c>
      <c r="J171" s="62">
        <f>+GETPIVOTDATA(" New Undesg. avg",'Averages Pivot Table'!$A$3,"State","NC","Category",2,"Category2","Four-Year")</f>
        <v>47312.52746036867</v>
      </c>
      <c r="K171" s="141">
        <f t="shared" si="13"/>
        <v>6</v>
      </c>
      <c r="L171" s="62">
        <f>+GETPIVOTDATA(" New All Ranks avg",'Averages Pivot Table'!$A$3,"State","NC","Category",2,"Category2","Four-Year")</f>
        <v>75067.759831465766</v>
      </c>
      <c r="M171" s="229">
        <f t="shared" si="14"/>
        <v>4</v>
      </c>
      <c r="N171" s="62"/>
      <c r="O171" s="240"/>
    </row>
    <row r="172" spans="1:15" ht="12.95" customHeight="1">
      <c r="A172" s="12" t="s">
        <v>551</v>
      </c>
      <c r="B172" s="62">
        <f>+GETPIVOTDATA(" New Prof avg",'Averages Pivot Table'!$A$3,"State","OK","Category",2,"Category2","Four-Year")</f>
        <v>0</v>
      </c>
      <c r="C172" s="141">
        <f t="shared" si="15"/>
        <v>0</v>
      </c>
      <c r="D172" s="62">
        <f>+GETPIVOTDATA(" New Asc. avg",'Averages Pivot Table'!$A$3,"State","OK","Category",2,"Category2","Four-Year")</f>
        <v>0</v>
      </c>
      <c r="E172" s="141">
        <f t="shared" si="15"/>
        <v>0</v>
      </c>
      <c r="F172" s="62">
        <f>+GETPIVOTDATA(" New Ast. avg",'Averages Pivot Table'!$A$3,"State","OK","Category",2,"Category2","Four-Year")</f>
        <v>0</v>
      </c>
      <c r="G172" s="141">
        <f t="shared" si="11"/>
        <v>0</v>
      </c>
      <c r="H172" s="62">
        <f>+GETPIVOTDATA(" New Inst. avg",'Averages Pivot Table'!$A$3,"State","OK","Category",2,"Category2","Four-Year")</f>
        <v>0</v>
      </c>
      <c r="I172" s="229">
        <f t="shared" si="12"/>
        <v>0</v>
      </c>
      <c r="J172" s="62">
        <f>+GETPIVOTDATA(" New Undesg. avg",'Averages Pivot Table'!$A$3,"State","OK","Category",2,"Category2","Four-Year")</f>
        <v>0</v>
      </c>
      <c r="K172" s="141">
        <f t="shared" si="13"/>
        <v>0</v>
      </c>
      <c r="L172" s="62">
        <f>+GETPIVOTDATA(" New All Ranks avg",'Averages Pivot Table'!$A$3,"State","OK","Category",2,"Category2","Four-Year")</f>
        <v>0</v>
      </c>
      <c r="M172" s="229">
        <f t="shared" si="14"/>
        <v>0</v>
      </c>
      <c r="N172" s="62"/>
      <c r="O172" s="240"/>
    </row>
    <row r="173" spans="1:15" ht="12.95" customHeight="1">
      <c r="A173" s="12" t="s">
        <v>552</v>
      </c>
      <c r="B173" s="62">
        <f>+GETPIVOTDATA(" New Prof avg",'Averages Pivot Table'!$A$3,"State","SC","Category",2,"Category2","Four-Year")</f>
        <v>0</v>
      </c>
      <c r="C173" s="141">
        <f t="shared" si="15"/>
        <v>0</v>
      </c>
      <c r="D173" s="62">
        <f>+GETPIVOTDATA(" New Asc. avg",'Averages Pivot Table'!$A$3,"State","SC","Category",2,"Category2","Four-Year")</f>
        <v>0</v>
      </c>
      <c r="E173" s="141">
        <f t="shared" si="15"/>
        <v>0</v>
      </c>
      <c r="F173" s="62">
        <f>+GETPIVOTDATA(" New Ast. avg",'Averages Pivot Table'!$A$3,"State","SC","Category",2,"Category2","Four-Year")</f>
        <v>0</v>
      </c>
      <c r="G173" s="141">
        <f t="shared" si="11"/>
        <v>0</v>
      </c>
      <c r="H173" s="62">
        <f>+GETPIVOTDATA(" New Inst. avg",'Averages Pivot Table'!$A$3,"State","SC","Category",2,"Category2","Four-Year")</f>
        <v>0</v>
      </c>
      <c r="I173" s="229">
        <f t="shared" si="12"/>
        <v>0</v>
      </c>
      <c r="J173" s="62">
        <f>+GETPIVOTDATA(" New Undesg. avg",'Averages Pivot Table'!$A$3,"State","SC","Category",2,"Category2","Four-Year")</f>
        <v>0</v>
      </c>
      <c r="K173" s="141">
        <f t="shared" si="13"/>
        <v>0</v>
      </c>
      <c r="L173" s="62">
        <f>+GETPIVOTDATA(" New All Ranks avg",'Averages Pivot Table'!$A$3,"State","SC","Category",2,"Category2","Four-Year")</f>
        <v>0</v>
      </c>
      <c r="M173" s="229">
        <f t="shared" si="14"/>
        <v>0</v>
      </c>
      <c r="N173" s="62"/>
      <c r="O173" s="240"/>
    </row>
    <row r="174" spans="1:15" ht="12.95" customHeight="1">
      <c r="A174" s="12"/>
      <c r="B174" s="62"/>
      <c r="C174" s="141">
        <f t="shared" si="15"/>
        <v>0</v>
      </c>
      <c r="D174" s="62"/>
      <c r="E174" s="141">
        <f t="shared" si="15"/>
        <v>0</v>
      </c>
      <c r="F174" s="62"/>
      <c r="G174" s="141">
        <f t="shared" si="11"/>
        <v>0</v>
      </c>
      <c r="H174" s="62"/>
      <c r="I174" s="229">
        <f t="shared" si="12"/>
        <v>0</v>
      </c>
      <c r="J174" s="62"/>
      <c r="K174" s="141">
        <f t="shared" si="13"/>
        <v>0</v>
      </c>
      <c r="L174" s="62"/>
      <c r="M174" s="229">
        <f t="shared" si="14"/>
        <v>0</v>
      </c>
      <c r="N174" s="62"/>
      <c r="O174" s="240"/>
    </row>
    <row r="175" spans="1:15" ht="12.95" customHeight="1">
      <c r="A175" s="12" t="s">
        <v>553</v>
      </c>
      <c r="B175" s="140">
        <f>+GETPIVOTDATA(" New Prof avg",'Averages Pivot Table'!$A$3,"State","TN","Category",2,"Category2","Four-Year")</f>
        <v>95830.611990661477</v>
      </c>
      <c r="C175" s="141">
        <f t="shared" si="15"/>
        <v>8</v>
      </c>
      <c r="D175" s="140">
        <f>+GETPIVOTDATA(" New Asc. avg",'Averages Pivot Table'!$A$3,"State","TN","Category",2,"Category2","Four-Year")</f>
        <v>69933.558808000002</v>
      </c>
      <c r="E175" s="141">
        <f t="shared" si="15"/>
        <v>9</v>
      </c>
      <c r="F175" s="140">
        <f>+GETPIVOTDATA(" New Ast. avg",'Averages Pivot Table'!$A$3,"State","TN","Category",2,"Category2","Four-Year")</f>
        <v>59070.638150413222</v>
      </c>
      <c r="G175" s="141">
        <f t="shared" si="11"/>
        <v>10</v>
      </c>
      <c r="H175" s="140">
        <f>+GETPIVOTDATA(" New Inst. avg",'Averages Pivot Table'!$A$3,"State","TN","Category",2,"Category2","Four-Year")</f>
        <v>42959.269472549022</v>
      </c>
      <c r="I175" s="229">
        <f t="shared" si="12"/>
        <v>8</v>
      </c>
      <c r="J175" s="140">
        <f>+GETPIVOTDATA(" New Undesg. avg",'Averages Pivot Table'!$A$3,"State","TN","Category",2,"Category2","Four-Year")</f>
        <v>41586.836607142854</v>
      </c>
      <c r="K175" s="141">
        <f t="shared" si="13"/>
        <v>9</v>
      </c>
      <c r="L175" s="140">
        <f>+GETPIVOTDATA(" New All Ranks avg",'Averages Pivot Table'!$A$3,"State","TN","Category",2,"Category2","Four-Year")</f>
        <v>70481.488426848693</v>
      </c>
      <c r="M175" s="229">
        <f t="shared" si="14"/>
        <v>7</v>
      </c>
      <c r="N175" s="62"/>
      <c r="O175" s="240"/>
    </row>
    <row r="176" spans="1:15" ht="12.95" customHeight="1">
      <c r="A176" s="12" t="s">
        <v>554</v>
      </c>
      <c r="B176" s="140">
        <f>+GETPIVOTDATA(" New Prof avg",'Averages Pivot Table'!$A$3,"State","TX","Category",2,"Category2","Four-Year")</f>
        <v>89116.301435406698</v>
      </c>
      <c r="C176" s="141">
        <f t="shared" si="15"/>
        <v>10</v>
      </c>
      <c r="D176" s="140">
        <f>+GETPIVOTDATA(" New Asc. avg",'Averages Pivot Table'!$A$3,"State","TX","Category",2,"Category2","Four-Year")</f>
        <v>69552.33858267717</v>
      </c>
      <c r="E176" s="141">
        <f t="shared" si="15"/>
        <v>10</v>
      </c>
      <c r="F176" s="140">
        <f>+GETPIVOTDATA(" New Ast. avg",'Averages Pivot Table'!$A$3,"State","TX","Category",2,"Category2","Four-Year")</f>
        <v>61209.882352941175</v>
      </c>
      <c r="G176" s="141">
        <f t="shared" si="11"/>
        <v>7</v>
      </c>
      <c r="H176" s="140">
        <f>+GETPIVOTDATA(" New Inst. avg",'Averages Pivot Table'!$A$3,"State","TX","Category",2,"Category2","Four-Year")</f>
        <v>50562.9</v>
      </c>
      <c r="I176" s="229">
        <f t="shared" si="12"/>
        <v>4</v>
      </c>
      <c r="J176" s="140">
        <f>+GETPIVOTDATA(" New Undesg. avg",'Averages Pivot Table'!$A$3,"State","TX","Category",2,"Category2","Four-Year")</f>
        <v>48002.627976190473</v>
      </c>
      <c r="K176" s="141">
        <f t="shared" si="13"/>
        <v>5</v>
      </c>
      <c r="L176" s="140">
        <f>+GETPIVOTDATA(" New All Ranks avg",'Averages Pivot Table'!$A$3,"State","TX","Category",2,"Category2","Four-Year")</f>
        <v>64361.888066604995</v>
      </c>
      <c r="M176" s="229">
        <f t="shared" si="14"/>
        <v>10</v>
      </c>
      <c r="N176" s="62"/>
      <c r="O176" s="240"/>
    </row>
    <row r="177" spans="1:19" ht="12.95" customHeight="1">
      <c r="A177" s="12" t="s">
        <v>555</v>
      </c>
      <c r="B177" s="140">
        <f>+GETPIVOTDATA(" New Prof avg",'Averages Pivot Table'!$A$3,"State","VA","Category",2,"Category2","Four-Year")</f>
        <v>109609.83538304</v>
      </c>
      <c r="C177" s="141">
        <f t="shared" si="15"/>
        <v>3</v>
      </c>
      <c r="D177" s="140">
        <f>+GETPIVOTDATA(" New Asc. avg",'Averages Pivot Table'!$A$3,"State","VA","Category",2,"Category2","Four-Year")</f>
        <v>79672.500312732489</v>
      </c>
      <c r="E177" s="141">
        <f t="shared" si="15"/>
        <v>3</v>
      </c>
      <c r="F177" s="140">
        <f>+GETPIVOTDATA(" New Ast. avg",'Averages Pivot Table'!$A$3,"State","VA","Category",2,"Category2","Four-Year")</f>
        <v>64418.067080706925</v>
      </c>
      <c r="G177" s="141">
        <f t="shared" si="11"/>
        <v>5</v>
      </c>
      <c r="H177" s="140">
        <f>+GETPIVOTDATA(" New Inst. avg",'Averages Pivot Table'!$A$3,"State","VA","Category",2,"Category2","Four-Year")</f>
        <v>47696.439740659342</v>
      </c>
      <c r="I177" s="229">
        <f t="shared" si="12"/>
        <v>5</v>
      </c>
      <c r="J177" s="140">
        <f>+GETPIVOTDATA(" New Undesg. avg",'Averages Pivot Table'!$A$3,"State","VA","Category",2,"Category2","Four-Year")</f>
        <v>49165.757648854968</v>
      </c>
      <c r="K177" s="141">
        <f t="shared" si="13"/>
        <v>4</v>
      </c>
      <c r="L177" s="140">
        <f>+GETPIVOTDATA(" New All Ranks avg",'Averages Pivot Table'!$A$3,"State","VA","Category",2,"Category2","Four-Year")</f>
        <v>77855.810004985469</v>
      </c>
      <c r="M177" s="229">
        <f t="shared" si="14"/>
        <v>3</v>
      </c>
      <c r="N177" s="62"/>
      <c r="O177" s="240"/>
    </row>
    <row r="178" spans="1:19" ht="12.95" customHeight="1">
      <c r="A178" s="11" t="s">
        <v>556</v>
      </c>
      <c r="B178" s="64">
        <f>+GETPIVOTDATA(" New Prof avg",'Averages Pivot Table'!$A$3,"State","WV","Category",2,"Category2","Four-Year")</f>
        <v>0</v>
      </c>
      <c r="C178" s="65">
        <f t="shared" si="15"/>
        <v>0</v>
      </c>
      <c r="D178" s="64">
        <f>+GETPIVOTDATA(" New Asc. avg",'Averages Pivot Table'!$A$3,"State","WV","Category",2,"Category2","Four-Year")</f>
        <v>0</v>
      </c>
      <c r="E178" s="65">
        <f t="shared" si="15"/>
        <v>0</v>
      </c>
      <c r="F178" s="64">
        <f>+GETPIVOTDATA(" New Ast. avg",'Averages Pivot Table'!$A$3,"State","WV","Category",2,"Category2","Four-Year")</f>
        <v>0</v>
      </c>
      <c r="G178" s="65">
        <f t="shared" si="11"/>
        <v>0</v>
      </c>
      <c r="H178" s="64">
        <f>+GETPIVOTDATA(" New Inst. avg",'Averages Pivot Table'!$A$3,"State","WV","Category",2,"Category2","Four-Year")</f>
        <v>0</v>
      </c>
      <c r="I178" s="230">
        <f t="shared" si="12"/>
        <v>0</v>
      </c>
      <c r="J178" s="64">
        <f>+GETPIVOTDATA(" New Undesg. avg",'Averages Pivot Table'!$A$3,"State","WV","Category",2,"Category2","Four-Year")</f>
        <v>0</v>
      </c>
      <c r="K178" s="65">
        <f t="shared" si="13"/>
        <v>0</v>
      </c>
      <c r="L178" s="64">
        <f>+GETPIVOTDATA(" New All Ranks avg",'Averages Pivot Table'!$A$3,"State","WV","Category",2,"Category2","Four-Year")</f>
        <v>0</v>
      </c>
      <c r="M178" s="230">
        <f t="shared" si="14"/>
        <v>0</v>
      </c>
      <c r="N178" s="62"/>
      <c r="O178" s="237"/>
    </row>
    <row r="179" spans="1:19" ht="30" customHeight="1">
      <c r="A179" s="506" t="s">
        <v>425</v>
      </c>
      <c r="B179" s="509"/>
      <c r="C179" s="509"/>
      <c r="D179" s="509"/>
      <c r="E179" s="509"/>
      <c r="F179" s="509"/>
      <c r="G179" s="509"/>
      <c r="H179" s="509"/>
      <c r="I179" s="509"/>
      <c r="J179" s="509"/>
      <c r="K179" s="509"/>
      <c r="L179" s="509"/>
      <c r="M179" s="509"/>
      <c r="N179" s="12"/>
      <c r="O179" s="243"/>
    </row>
    <row r="180" spans="1:19">
      <c r="M180" s="487" t="s">
        <v>1000</v>
      </c>
      <c r="O180" s="242"/>
    </row>
    <row r="181" spans="1:19" ht="18">
      <c r="A181" s="504" t="s">
        <v>570</v>
      </c>
      <c r="B181" s="504"/>
      <c r="C181" s="504"/>
      <c r="D181" s="504"/>
      <c r="E181" s="504"/>
      <c r="F181" s="504"/>
      <c r="G181" s="504"/>
      <c r="H181" s="504"/>
      <c r="I181" s="504"/>
      <c r="J181" s="504"/>
      <c r="K181" s="504"/>
      <c r="L181" s="504"/>
      <c r="M181" s="504"/>
      <c r="N181" s="180"/>
      <c r="O181" s="179"/>
    </row>
    <row r="182" spans="1:19">
      <c r="A182" s="12"/>
      <c r="B182" s="5"/>
      <c r="C182" s="5"/>
      <c r="D182" s="5"/>
      <c r="E182" s="5"/>
      <c r="F182" s="5"/>
      <c r="G182" s="5"/>
      <c r="H182" s="5"/>
      <c r="I182" s="172"/>
      <c r="J182" s="5"/>
      <c r="K182" s="5"/>
      <c r="L182" s="5"/>
      <c r="M182" s="172"/>
      <c r="N182" s="5"/>
      <c r="O182" s="172"/>
    </row>
    <row r="183" spans="1:19">
      <c r="A183" s="505" t="s">
        <v>557</v>
      </c>
      <c r="B183" s="505"/>
      <c r="C183" s="505"/>
      <c r="D183" s="505"/>
      <c r="E183" s="505"/>
      <c r="F183" s="505"/>
      <c r="G183" s="505"/>
      <c r="H183" s="505"/>
      <c r="I183" s="505"/>
      <c r="J183" s="505"/>
      <c r="K183" s="505"/>
      <c r="L183" s="505"/>
      <c r="M183" s="505"/>
      <c r="N183" s="191"/>
      <c r="O183" s="239"/>
    </row>
    <row r="184" spans="1:19">
      <c r="A184" s="505" t="s">
        <v>33</v>
      </c>
      <c r="B184" s="505"/>
      <c r="C184" s="505"/>
      <c r="D184" s="505"/>
      <c r="E184" s="505"/>
      <c r="F184" s="505"/>
      <c r="G184" s="505"/>
      <c r="H184" s="505"/>
      <c r="I184" s="505"/>
      <c r="J184" s="505"/>
      <c r="K184" s="505"/>
      <c r="L184" s="505"/>
      <c r="M184" s="505"/>
      <c r="N184" s="191"/>
      <c r="O184" s="239"/>
    </row>
    <row r="185" spans="1:19">
      <c r="A185" s="5"/>
      <c r="B185" s="5"/>
      <c r="C185" s="5"/>
      <c r="D185" s="5"/>
      <c r="E185" s="5"/>
      <c r="F185" s="5"/>
      <c r="G185" s="5"/>
      <c r="H185" s="5"/>
      <c r="I185" s="172"/>
      <c r="J185" s="5"/>
      <c r="K185" s="5"/>
      <c r="L185" s="5"/>
      <c r="M185" s="172"/>
      <c r="N185" s="154"/>
      <c r="O185" s="247"/>
    </row>
    <row r="186" spans="1:19" ht="31.5" customHeight="1">
      <c r="A186" s="15"/>
      <c r="B186" s="21" t="s">
        <v>435</v>
      </c>
      <c r="C186" s="22"/>
      <c r="D186" s="152" t="s">
        <v>436</v>
      </c>
      <c r="E186" s="153"/>
      <c r="F186" s="152" t="s">
        <v>437</v>
      </c>
      <c r="G186" s="153"/>
      <c r="H186" s="21" t="s">
        <v>438</v>
      </c>
      <c r="I186" s="253"/>
      <c r="J186" s="152" t="s">
        <v>584</v>
      </c>
      <c r="K186" s="153"/>
      <c r="L186" s="22" t="s">
        <v>415</v>
      </c>
      <c r="M186" s="253"/>
      <c r="N186" s="63" t="s">
        <v>560</v>
      </c>
      <c r="O186" s="240"/>
    </row>
    <row r="187" spans="1:19">
      <c r="A187" s="16"/>
      <c r="B187" s="19" t="s">
        <v>439</v>
      </c>
      <c r="C187" s="18" t="s">
        <v>530</v>
      </c>
      <c r="D187" s="19" t="s">
        <v>439</v>
      </c>
      <c r="E187" s="18" t="s">
        <v>530</v>
      </c>
      <c r="F187" s="19" t="s">
        <v>439</v>
      </c>
      <c r="G187" s="18" t="s">
        <v>530</v>
      </c>
      <c r="H187" s="19" t="s">
        <v>439</v>
      </c>
      <c r="I187" s="254" t="s">
        <v>530</v>
      </c>
      <c r="J187" s="19" t="s">
        <v>439</v>
      </c>
      <c r="K187" s="18" t="s">
        <v>530</v>
      </c>
      <c r="L187" s="19" t="s">
        <v>439</v>
      </c>
      <c r="M187" s="254" t="s">
        <v>530</v>
      </c>
      <c r="N187" s="143" t="s">
        <v>560</v>
      </c>
      <c r="O187" s="248"/>
    </row>
    <row r="188" spans="1:19" s="168" customFormat="1" ht="18" customHeight="1">
      <c r="A188" s="181" t="s">
        <v>559</v>
      </c>
      <c r="B188" s="185">
        <f>+GETPIVOTDATA(" New Prof avg",'Averages Pivot Table'!$A$3,"Category",3,"Category2","Four-Year")</f>
        <v>84026.469409756945</v>
      </c>
      <c r="C188" s="185"/>
      <c r="D188" s="185">
        <f>+GETPIVOTDATA(" New Asc. avg",'Averages Pivot Table'!$A$3,"Category",3,"Category2","Four-Year")</f>
        <v>68056.847834365923</v>
      </c>
      <c r="E188" s="185"/>
      <c r="F188" s="185">
        <f>+GETPIVOTDATA(" New Ast. avg",'Averages Pivot Table'!$A$3,"Category",3,"Category2","Four-Year")</f>
        <v>57587.576754996117</v>
      </c>
      <c r="G188" s="185"/>
      <c r="H188" s="185">
        <f>+GETPIVOTDATA(" New Inst. avg",'Averages Pivot Table'!$A$3,"Category",3,"Category2","Four-Year")</f>
        <v>43054.379651493939</v>
      </c>
      <c r="I188" s="257"/>
      <c r="J188" s="185">
        <f>+GETPIVOTDATA(" New Undesg. avg",'Averages Pivot Table'!$A$3,"Category",3,"Category2","Four-Year")</f>
        <v>47103.136534921177</v>
      </c>
      <c r="K188" s="185"/>
      <c r="L188" s="185">
        <f>+GETPIVOTDATA(" New All Ranks avg",'Averages Pivot Table'!$A$3,"Category",3,"Category2","Four-Year")</f>
        <v>63536.789829631882</v>
      </c>
      <c r="M188" s="260"/>
      <c r="N188" s="182"/>
      <c r="O188" s="249"/>
      <c r="Q188" s="209"/>
      <c r="R188" s="209"/>
      <c r="S188" s="209"/>
    </row>
    <row r="189" spans="1:19" ht="12.95" customHeight="1">
      <c r="A189" s="12"/>
      <c r="B189" s="9"/>
      <c r="C189" s="17"/>
      <c r="D189" s="9"/>
      <c r="E189" s="17"/>
      <c r="F189" s="9"/>
      <c r="G189" s="17"/>
      <c r="H189" s="9"/>
      <c r="I189" s="261"/>
      <c r="J189" s="9"/>
      <c r="K189" s="17"/>
      <c r="L189" s="9"/>
      <c r="M189" s="261"/>
      <c r="N189" s="150"/>
      <c r="O189" s="250"/>
    </row>
    <row r="190" spans="1:19" ht="12.95" customHeight="1">
      <c r="A190" s="12" t="s">
        <v>542</v>
      </c>
      <c r="B190" s="62">
        <f>+GETPIVOTDATA(" New Prof avg",'Averages Pivot Table'!$A$3,"State","AL","Category",3,"Category2","Four-Year")</f>
        <v>82714.291445061725</v>
      </c>
      <c r="C190" s="141">
        <f t="shared" ref="C190:C208" si="16">IF(B190&gt;0,(RANK(B190,B$190:B$208)),0)</f>
        <v>6</v>
      </c>
      <c r="D190" s="62">
        <f>+GETPIVOTDATA(" New Asc. avg",'Averages Pivot Table'!$A$3,"State","AL","Category",3,"Category2","Four-Year")</f>
        <v>65011.330828152488</v>
      </c>
      <c r="E190" s="141">
        <f>IF(D190&gt;0,(RANK(D190,D$190:D$208)),0)</f>
        <v>9</v>
      </c>
      <c r="F190" s="62">
        <f>+GETPIVOTDATA(" New Ast. avg",'Averages Pivot Table'!$A$3,"State","AL","Category",3,"Category2","Four-Year")</f>
        <v>54845.501409248551</v>
      </c>
      <c r="G190" s="141">
        <f>IF(F190&gt;0,(RANK(F190,F$190:F$208)),0)</f>
        <v>9</v>
      </c>
      <c r="H190" s="62">
        <f>+GETPIVOTDATA(" New Inst. avg",'Averages Pivot Table'!$A$3,"State","AL","Category",3,"Category2","Four-Year")</f>
        <v>44049.297821548818</v>
      </c>
      <c r="I190" s="229">
        <f t="shared" ref="I190:I208" si="17">IF(H190&gt;0,(RANK(H190,H$190:H$208)),0)</f>
        <v>7</v>
      </c>
      <c r="J190" s="62">
        <f>+GETPIVOTDATA(" New Undesg. avg",'Averages Pivot Table'!$A$3,"State","AL","Category",3,"Category2","Four-Year")</f>
        <v>38349.651072222223</v>
      </c>
      <c r="K190" s="141">
        <f t="shared" ref="K190:K208" si="18">IF(J190&gt;0,(RANK(J190,J$190:J$208)),0)</f>
        <v>9</v>
      </c>
      <c r="L190" s="62">
        <f>+GETPIVOTDATA(" New All Ranks avg",'Averages Pivot Table'!$A$3,"State","AL","Category",3,"Category2","Four-Year")</f>
        <v>60577.678552142388</v>
      </c>
      <c r="M190" s="229">
        <f t="shared" ref="M190:M208" si="19">IF(L190&gt;0,(RANK(L190,L$190:L$208)),0)</f>
        <v>10</v>
      </c>
      <c r="N190" s="140"/>
      <c r="O190" s="229"/>
    </row>
    <row r="191" spans="1:19" ht="12.95" customHeight="1">
      <c r="A191" s="12" t="s">
        <v>543</v>
      </c>
      <c r="B191" s="62">
        <f>+GETPIVOTDATA(" New Prof avg",'Averages Pivot Table'!$A$3,"State","AR","Category",3,"Category2","Four-Year")</f>
        <v>78837.469713946586</v>
      </c>
      <c r="C191" s="141">
        <f t="shared" si="16"/>
        <v>10</v>
      </c>
      <c r="D191" s="62">
        <f>+GETPIVOTDATA(" New Asc. avg",'Averages Pivot Table'!$A$3,"State","AR","Category",3,"Category2","Four-Year")</f>
        <v>64669.943252279627</v>
      </c>
      <c r="E191" s="141">
        <f t="shared" ref="E191:G208" si="20">IF(D191&gt;0,(RANK(D191,D$190:D$208)),0)</f>
        <v>10</v>
      </c>
      <c r="F191" s="62">
        <f>+GETPIVOTDATA(" New Ast. avg",'Averages Pivot Table'!$A$3,"State","AR","Category",3,"Category2","Four-Year")</f>
        <v>55406.697952598603</v>
      </c>
      <c r="G191" s="141">
        <f t="shared" si="20"/>
        <v>8</v>
      </c>
      <c r="H191" s="62">
        <f>+GETPIVOTDATA(" New Inst. avg",'Averages Pivot Table'!$A$3,"State","AR","Category",3,"Category2","Four-Year")</f>
        <v>40611.088175438592</v>
      </c>
      <c r="I191" s="229">
        <f t="shared" si="17"/>
        <v>10</v>
      </c>
      <c r="J191" s="62">
        <f>+GETPIVOTDATA(" New Undesg. avg",'Averages Pivot Table'!$A$3,"State","AR","Category",3,"Category2","Four-Year")</f>
        <v>41211.179300000003</v>
      </c>
      <c r="K191" s="141">
        <f t="shared" si="18"/>
        <v>8</v>
      </c>
      <c r="L191" s="62">
        <f>+GETPIVOTDATA(" New All Ranks avg",'Averages Pivot Table'!$A$3,"State","AR","Category",3,"Category2","Four-Year")</f>
        <v>59366.51009589871</v>
      </c>
      <c r="M191" s="229">
        <f t="shared" si="19"/>
        <v>11</v>
      </c>
      <c r="N191" s="140"/>
      <c r="O191" s="229"/>
    </row>
    <row r="192" spans="1:19" ht="12.95" customHeight="1">
      <c r="A192" s="12" t="s">
        <v>558</v>
      </c>
      <c r="B192" s="62">
        <f>+GETPIVOTDATA(" New Prof avg",'Averages Pivot Table'!$A$3,"State","DE","Category",3,"Category2","Four-Year")</f>
        <v>0</v>
      </c>
      <c r="C192" s="141">
        <f t="shared" si="16"/>
        <v>0</v>
      </c>
      <c r="D192" s="62">
        <f>+GETPIVOTDATA(" New Asc. avg",'Averages Pivot Table'!$A$3,"State","DE","Category",3,"Category2","Four-Year")</f>
        <v>0</v>
      </c>
      <c r="E192" s="141">
        <f t="shared" si="20"/>
        <v>0</v>
      </c>
      <c r="F192" s="62">
        <f>+GETPIVOTDATA(" New Ast. avg",'Averages Pivot Table'!$A$3,"State","DE","Category",3,"Category2","Four-Year")</f>
        <v>0</v>
      </c>
      <c r="G192" s="141">
        <f t="shared" si="20"/>
        <v>0</v>
      </c>
      <c r="H192" s="62">
        <f>+GETPIVOTDATA(" New Inst. avg",'Averages Pivot Table'!$A$3,"State","DE","Category",3,"Category2","Four-Year")</f>
        <v>0</v>
      </c>
      <c r="I192" s="229">
        <f t="shared" si="17"/>
        <v>0</v>
      </c>
      <c r="J192" s="62">
        <f>+GETPIVOTDATA(" New Undesg. avg",'Averages Pivot Table'!$A$3,"State","DE","Category",3,"Category2","Four-Year")</f>
        <v>0</v>
      </c>
      <c r="K192" s="141">
        <f t="shared" si="18"/>
        <v>0</v>
      </c>
      <c r="L192" s="62">
        <f>+GETPIVOTDATA(" New All Ranks avg",'Averages Pivot Table'!$A$3,"State","DE","Category",3,"Category2","Four-Year")</f>
        <v>0</v>
      </c>
      <c r="M192" s="229">
        <f t="shared" si="19"/>
        <v>0</v>
      </c>
      <c r="N192" s="140"/>
      <c r="O192" s="229"/>
    </row>
    <row r="193" spans="1:15" ht="12.95" customHeight="1">
      <c r="A193" s="12" t="s">
        <v>544</v>
      </c>
      <c r="B193" s="62">
        <f>+GETPIVOTDATA(" New Prof avg",'Averages Pivot Table'!$A$3,"State","FL","Category",3,"Category2","Four-Year")</f>
        <v>88832.691460403628</v>
      </c>
      <c r="C193" s="141">
        <f t="shared" si="16"/>
        <v>3</v>
      </c>
      <c r="D193" s="62">
        <f>+GETPIVOTDATA(" New Asc. avg",'Averages Pivot Table'!$A$3,"State","FL","Category",3,"Category2","Four-Year")</f>
        <v>70762.896820169204</v>
      </c>
      <c r="E193" s="141">
        <f t="shared" si="20"/>
        <v>3</v>
      </c>
      <c r="F193" s="62">
        <f>+GETPIVOTDATA(" New Ast. avg",'Averages Pivot Table'!$A$3,"State","FL","Category",3,"Category2","Four-Year")</f>
        <v>58119.964638399993</v>
      </c>
      <c r="G193" s="141">
        <f t="shared" si="20"/>
        <v>4</v>
      </c>
      <c r="H193" s="62">
        <f>+GETPIVOTDATA(" New Inst. avg",'Averages Pivot Table'!$A$3,"State","FL","Category",3,"Category2","Four-Year")</f>
        <v>46417.662548406646</v>
      </c>
      <c r="I193" s="229">
        <f t="shared" si="17"/>
        <v>4</v>
      </c>
      <c r="J193" s="62">
        <f>+GETPIVOTDATA(" New Undesg. avg",'Averages Pivot Table'!$A$3,"State","FL","Category",3,"Category2","Four-Year")</f>
        <v>43481.120097937499</v>
      </c>
      <c r="K193" s="141">
        <f t="shared" si="18"/>
        <v>6</v>
      </c>
      <c r="L193" s="62">
        <f>+GETPIVOTDATA(" New All Ranks avg",'Averages Pivot Table'!$A$3,"State","FL","Category",3,"Category2","Four-Year")</f>
        <v>65796.983528526922</v>
      </c>
      <c r="M193" s="229">
        <f t="shared" si="19"/>
        <v>3</v>
      </c>
      <c r="N193" s="140"/>
      <c r="O193" s="229"/>
    </row>
    <row r="194" spans="1:15" ht="12.95" customHeight="1">
      <c r="A194" s="12"/>
      <c r="B194" s="62"/>
      <c r="C194" s="141">
        <f t="shared" si="16"/>
        <v>0</v>
      </c>
      <c r="D194" s="62"/>
      <c r="E194" s="141">
        <f t="shared" si="20"/>
        <v>0</v>
      </c>
      <c r="F194" s="62"/>
      <c r="G194" s="141">
        <f t="shared" si="20"/>
        <v>0</v>
      </c>
      <c r="H194" s="62"/>
      <c r="I194" s="229">
        <f t="shared" si="17"/>
        <v>0</v>
      </c>
      <c r="J194" s="62"/>
      <c r="K194" s="141">
        <f t="shared" si="18"/>
        <v>0</v>
      </c>
      <c r="L194" s="62"/>
      <c r="M194" s="229">
        <f t="shared" si="19"/>
        <v>0</v>
      </c>
      <c r="N194" s="140"/>
      <c r="O194" s="229"/>
    </row>
    <row r="195" spans="1:15" ht="12.95" customHeight="1">
      <c r="A195" s="12" t="s">
        <v>545</v>
      </c>
      <c r="B195" s="62">
        <f>+GETPIVOTDATA(" New Prof avg",'Averages Pivot Table'!$A$3,"State","GA","Category",3,"Category2","Four-Year")</f>
        <v>78290.841784487537</v>
      </c>
      <c r="C195" s="141">
        <f t="shared" si="16"/>
        <v>11</v>
      </c>
      <c r="D195" s="62">
        <f>+GETPIVOTDATA(" New Asc. avg",'Averages Pivot Table'!$A$3,"State","GA","Category",3,"Category2","Four-Year")</f>
        <v>62604.882403655349</v>
      </c>
      <c r="E195" s="141">
        <f t="shared" si="20"/>
        <v>11</v>
      </c>
      <c r="F195" s="62">
        <f>+GETPIVOTDATA(" New Ast. avg",'Averages Pivot Table'!$A$3,"State","GA","Category",3,"Category2","Four-Year")</f>
        <v>54300.52207955801</v>
      </c>
      <c r="G195" s="141">
        <f t="shared" si="20"/>
        <v>12</v>
      </c>
      <c r="H195" s="62">
        <f>+GETPIVOTDATA(" New Inst. avg",'Averages Pivot Table'!$A$3,"State","GA","Category",3,"Category2","Four-Year")</f>
        <v>38327.41848163266</v>
      </c>
      <c r="I195" s="229">
        <f t="shared" si="17"/>
        <v>12</v>
      </c>
      <c r="J195" s="62">
        <f>+GETPIVOTDATA(" New Undesg. avg",'Averages Pivot Table'!$A$3,"State","GA","Category",3,"Category2","Four-Year")</f>
        <v>45795.25012222222</v>
      </c>
      <c r="K195" s="141">
        <f t="shared" si="18"/>
        <v>4</v>
      </c>
      <c r="L195" s="62">
        <f>+GETPIVOTDATA(" New All Ranks avg",'Averages Pivot Table'!$A$3,"State","GA","Category",3,"Category2","Four-Year")</f>
        <v>59009.463031904168</v>
      </c>
      <c r="M195" s="229">
        <f t="shared" si="19"/>
        <v>12</v>
      </c>
      <c r="N195" s="140"/>
      <c r="O195" s="229"/>
    </row>
    <row r="196" spans="1:15" ht="12.95" customHeight="1">
      <c r="A196" s="12" t="s">
        <v>546</v>
      </c>
      <c r="B196" s="62">
        <f>+GETPIVOTDATA(" New Prof avg",'Averages Pivot Table'!$A$3,"State","KY","Category",3,"Category2","Four-Year")</f>
        <v>82400.373311716627</v>
      </c>
      <c r="C196" s="141">
        <f t="shared" si="16"/>
        <v>7</v>
      </c>
      <c r="D196" s="62">
        <f>+GETPIVOTDATA(" New Asc. avg",'Averages Pivot Table'!$A$3,"State","KY","Category",3,"Category2","Four-Year")</f>
        <v>65102.045570388349</v>
      </c>
      <c r="E196" s="141">
        <f t="shared" si="20"/>
        <v>8</v>
      </c>
      <c r="F196" s="62">
        <f>+GETPIVOTDATA(" New Ast. avg",'Averages Pivot Table'!$A$3,"State","KY","Category",3,"Category2","Four-Year")</f>
        <v>54491.024404313721</v>
      </c>
      <c r="G196" s="141">
        <f t="shared" si="20"/>
        <v>11</v>
      </c>
      <c r="H196" s="62">
        <f>+GETPIVOTDATA(" New Inst. avg",'Averages Pivot Table'!$A$3,"State","KY","Category",3,"Category2","Four-Year")</f>
        <v>43232.019809708741</v>
      </c>
      <c r="I196" s="229">
        <f t="shared" si="17"/>
        <v>8</v>
      </c>
      <c r="J196" s="62">
        <f>+GETPIVOTDATA(" New Undesg. avg",'Averages Pivot Table'!$A$3,"State","KY","Category",3,"Category2","Four-Year")</f>
        <v>48266.769122957201</v>
      </c>
      <c r="K196" s="141">
        <f t="shared" si="18"/>
        <v>2</v>
      </c>
      <c r="L196" s="62">
        <f>+GETPIVOTDATA(" New All Ranks avg",'Averages Pivot Table'!$A$3,"State","KY","Category",3,"Category2","Four-Year")</f>
        <v>60595.752267123287</v>
      </c>
      <c r="M196" s="229">
        <f t="shared" si="19"/>
        <v>9</v>
      </c>
      <c r="N196" s="140"/>
      <c r="O196" s="229"/>
    </row>
    <row r="197" spans="1:15" ht="12.95" customHeight="1">
      <c r="A197" s="12" t="s">
        <v>547</v>
      </c>
      <c r="B197" s="62">
        <f>+GETPIVOTDATA(" New Prof avg",'Averages Pivot Table'!$A$3,"State","LA","Category",3,"Category2","Four-Year")</f>
        <v>77760.3353032491</v>
      </c>
      <c r="C197" s="141">
        <f t="shared" si="16"/>
        <v>12</v>
      </c>
      <c r="D197" s="62">
        <f>+GETPIVOTDATA(" New Asc. avg",'Averages Pivot Table'!$A$3,"State","LA","Category",3,"Category2","Four-Year")</f>
        <v>66047.269265942028</v>
      </c>
      <c r="E197" s="141">
        <f t="shared" si="20"/>
        <v>6</v>
      </c>
      <c r="F197" s="62">
        <f>+GETPIVOTDATA(" New Ast. avg",'Averages Pivot Table'!$A$3,"State","LA","Category",3,"Category2","Four-Year")</f>
        <v>56517.383002267568</v>
      </c>
      <c r="G197" s="141">
        <f t="shared" si="20"/>
        <v>6</v>
      </c>
      <c r="H197" s="62">
        <f>+GETPIVOTDATA(" New Inst. avg",'Averages Pivot Table'!$A$3,"State","LA","Category",3,"Category2","Four-Year")</f>
        <v>43209.883222811673</v>
      </c>
      <c r="I197" s="229">
        <f t="shared" si="17"/>
        <v>9</v>
      </c>
      <c r="J197" s="62">
        <f>+GETPIVOTDATA(" New Undesg. avg",'Averages Pivot Table'!$A$3,"State","LA","Category",3,"Category2","Four-Year")</f>
        <v>28968</v>
      </c>
      <c r="K197" s="141">
        <f t="shared" si="18"/>
        <v>11</v>
      </c>
      <c r="L197" s="62">
        <f>+GETPIVOTDATA(" New All Ranks avg",'Averages Pivot Table'!$A$3,"State","LA","Category",3,"Category2","Four-Year")</f>
        <v>58445.01648242856</v>
      </c>
      <c r="M197" s="229">
        <f t="shared" si="19"/>
        <v>13</v>
      </c>
      <c r="N197" s="140"/>
      <c r="O197" s="229"/>
    </row>
    <row r="198" spans="1:15" ht="12.95" customHeight="1">
      <c r="A198" s="12" t="s">
        <v>548</v>
      </c>
      <c r="B198" s="62">
        <f>+GETPIVOTDATA(" New Prof avg",'Averages Pivot Table'!$A$3,"State","MD","Category",3,"Category2","Four-Year")</f>
        <v>92067.299267256632</v>
      </c>
      <c r="C198" s="141">
        <f t="shared" si="16"/>
        <v>2</v>
      </c>
      <c r="D198" s="62">
        <f>+GETPIVOTDATA(" New Asc. avg",'Averages Pivot Table'!$A$3,"State","MD","Category",3,"Category2","Four-Year")</f>
        <v>76682.729505185183</v>
      </c>
      <c r="E198" s="141">
        <f t="shared" si="20"/>
        <v>1</v>
      </c>
      <c r="F198" s="62">
        <f>+GETPIVOTDATA(" New Ast. avg",'Averages Pivot Table'!$A$3,"State","MD","Category",3,"Category2","Four-Year")</f>
        <v>62835.523037500003</v>
      </c>
      <c r="G198" s="141">
        <f t="shared" si="20"/>
        <v>2</v>
      </c>
      <c r="H198" s="62">
        <f>+GETPIVOTDATA(" New Inst. avg",'Averages Pivot Table'!$A$3,"State","MD","Category",3,"Category2","Four-Year")</f>
        <v>49737.666666666664</v>
      </c>
      <c r="I198" s="229">
        <f t="shared" si="17"/>
        <v>2</v>
      </c>
      <c r="J198" s="62">
        <f>+GETPIVOTDATA(" New Undesg. avg",'Averages Pivot Table'!$A$3,"State","MD","Category",3,"Category2","Four-Year")</f>
        <v>41784.463878233437</v>
      </c>
      <c r="K198" s="141">
        <f t="shared" si="18"/>
        <v>7</v>
      </c>
      <c r="L198" s="62">
        <f>+GETPIVOTDATA(" New All Ranks avg",'Averages Pivot Table'!$A$3,"State","MD","Category",3,"Category2","Four-Year")</f>
        <v>65546.551876307174</v>
      </c>
      <c r="M198" s="229">
        <f t="shared" si="19"/>
        <v>4</v>
      </c>
      <c r="N198" s="140"/>
      <c r="O198" s="229"/>
    </row>
    <row r="199" spans="1:15" ht="12.95" customHeight="1">
      <c r="A199" s="12"/>
      <c r="B199" s="62"/>
      <c r="C199" s="141">
        <f t="shared" si="16"/>
        <v>0</v>
      </c>
      <c r="D199" s="62"/>
      <c r="E199" s="141">
        <f t="shared" si="20"/>
        <v>0</v>
      </c>
      <c r="F199" s="62"/>
      <c r="G199" s="141">
        <f t="shared" si="20"/>
        <v>0</v>
      </c>
      <c r="H199" s="62"/>
      <c r="I199" s="229">
        <f t="shared" si="17"/>
        <v>0</v>
      </c>
      <c r="J199" s="62"/>
      <c r="K199" s="141">
        <f t="shared" si="18"/>
        <v>0</v>
      </c>
      <c r="L199" s="62"/>
      <c r="M199" s="229">
        <f t="shared" si="19"/>
        <v>0</v>
      </c>
      <c r="N199" s="140"/>
      <c r="O199" s="229"/>
    </row>
    <row r="200" spans="1:15" ht="12.95" customHeight="1">
      <c r="A200" s="12" t="s">
        <v>549</v>
      </c>
      <c r="B200" s="62">
        <f>+GETPIVOTDATA(" New Prof avg",'Averages Pivot Table'!$A$3,"State","MS","Category",3,"Category2","Four-Year")</f>
        <v>0</v>
      </c>
      <c r="C200" s="141">
        <f t="shared" si="16"/>
        <v>0</v>
      </c>
      <c r="D200" s="62">
        <f>+GETPIVOTDATA(" New Asc. avg",'Averages Pivot Table'!$A$3,"State","MS","Category",3,"Category2","Four-Year")</f>
        <v>0</v>
      </c>
      <c r="E200" s="141">
        <f t="shared" si="20"/>
        <v>0</v>
      </c>
      <c r="F200" s="62">
        <f>+GETPIVOTDATA(" New Ast. avg",'Averages Pivot Table'!$A$3,"State","MS","Category",3,"Category2","Four-Year")</f>
        <v>0</v>
      </c>
      <c r="G200" s="141">
        <f t="shared" si="20"/>
        <v>0</v>
      </c>
      <c r="H200" s="62">
        <f>+GETPIVOTDATA(" New Inst. avg",'Averages Pivot Table'!$A$3,"State","MS","Category",3,"Category2","Four-Year")</f>
        <v>0</v>
      </c>
      <c r="I200" s="229">
        <f t="shared" si="17"/>
        <v>0</v>
      </c>
      <c r="J200" s="62">
        <f>+GETPIVOTDATA(" New Undesg. avg",'Averages Pivot Table'!$A$3,"State","MS","Category",3,"Category2","Four-Year")</f>
        <v>0</v>
      </c>
      <c r="K200" s="141">
        <f t="shared" si="18"/>
        <v>0</v>
      </c>
      <c r="L200" s="62">
        <f>+GETPIVOTDATA(" New All Ranks avg",'Averages Pivot Table'!$A$3,"State","MS","Category",3,"Category2","Four-Year")</f>
        <v>0</v>
      </c>
      <c r="M200" s="229">
        <f t="shared" si="19"/>
        <v>0</v>
      </c>
      <c r="N200" s="140"/>
      <c r="O200" s="229"/>
    </row>
    <row r="201" spans="1:15" ht="12.95" customHeight="1">
      <c r="A201" s="12" t="s">
        <v>550</v>
      </c>
      <c r="B201" s="62">
        <f>+GETPIVOTDATA(" New Prof avg",'Averages Pivot Table'!$A$3,"State","NC","Category",3,"Category2","Four-Year")</f>
        <v>93361.486343513214</v>
      </c>
      <c r="C201" s="141">
        <f t="shared" si="16"/>
        <v>1</v>
      </c>
      <c r="D201" s="62">
        <f>+GETPIVOTDATA(" New Asc. avg",'Averages Pivot Table'!$A$3,"State","NC","Category",3,"Category2","Four-Year")</f>
        <v>75273.668406903176</v>
      </c>
      <c r="E201" s="141">
        <f t="shared" si="20"/>
        <v>2</v>
      </c>
      <c r="F201" s="62">
        <f>+GETPIVOTDATA(" New Ast. avg",'Averages Pivot Table'!$A$3,"State","NC","Category",3,"Category2","Four-Year")</f>
        <v>64128.060758632775</v>
      </c>
      <c r="G201" s="141">
        <f t="shared" si="20"/>
        <v>1</v>
      </c>
      <c r="H201" s="62">
        <f>+GETPIVOTDATA(" New Inst. avg",'Averages Pivot Table'!$A$3,"State","NC","Category",3,"Category2","Four-Year")</f>
        <v>52102.509944680853</v>
      </c>
      <c r="I201" s="229">
        <f t="shared" si="17"/>
        <v>1</v>
      </c>
      <c r="J201" s="62">
        <f>+GETPIVOTDATA(" New Undesg. avg",'Averages Pivot Table'!$A$3,"State","NC","Category",3,"Category2","Four-Year")</f>
        <v>52163.710910271548</v>
      </c>
      <c r="K201" s="141">
        <f t="shared" si="18"/>
        <v>1</v>
      </c>
      <c r="L201" s="62">
        <f>+GETPIVOTDATA(" New All Ranks avg",'Averages Pivot Table'!$A$3,"State","NC","Category",3,"Category2","Four-Year")</f>
        <v>70810.303668675624</v>
      </c>
      <c r="M201" s="229">
        <f t="shared" si="19"/>
        <v>1</v>
      </c>
      <c r="N201" s="140"/>
      <c r="O201" s="229"/>
    </row>
    <row r="202" spans="1:15" ht="12.95" customHeight="1">
      <c r="A202" s="12" t="s">
        <v>551</v>
      </c>
      <c r="B202" s="62">
        <f>+GETPIVOTDATA(" New Prof avg",'Averages Pivot Table'!$A$3,"State","OK","Category",3,"Category2","Four-Year")</f>
        <v>75862.457026548669</v>
      </c>
      <c r="C202" s="141">
        <f t="shared" si="16"/>
        <v>13</v>
      </c>
      <c r="D202" s="62">
        <f>+GETPIVOTDATA(" New Asc. avg",'Averages Pivot Table'!$A$3,"State","OK","Category",3,"Category2","Four-Year")</f>
        <v>61425.928929032263</v>
      </c>
      <c r="E202" s="141">
        <f t="shared" si="20"/>
        <v>13</v>
      </c>
      <c r="F202" s="62">
        <f>+GETPIVOTDATA(" New Ast. avg",'Averages Pivot Table'!$A$3,"State","OK","Category",3,"Category2","Four-Year")</f>
        <v>54569.382718552042</v>
      </c>
      <c r="G202" s="141">
        <f t="shared" si="20"/>
        <v>10</v>
      </c>
      <c r="H202" s="62">
        <f>+GETPIVOTDATA(" New Inst. avg",'Averages Pivot Table'!$A$3,"State","OK","Category",3,"Category2","Four-Year")</f>
        <v>39265.525312169309</v>
      </c>
      <c r="I202" s="229">
        <f t="shared" si="17"/>
        <v>11</v>
      </c>
      <c r="J202" s="62">
        <f>+GETPIVOTDATA(" New Undesg. avg",'Averages Pivot Table'!$A$3,"State","OK","Category",3,"Category2","Four-Year")</f>
        <v>0</v>
      </c>
      <c r="K202" s="141">
        <f t="shared" si="18"/>
        <v>0</v>
      </c>
      <c r="L202" s="62">
        <f>+GETPIVOTDATA(" New All Ranks avg",'Averages Pivot Table'!$A$3,"State","OK","Category",3,"Category2","Four-Year")</f>
        <v>58214.142552631587</v>
      </c>
      <c r="M202" s="229">
        <f t="shared" si="19"/>
        <v>14</v>
      </c>
      <c r="N202" s="140"/>
      <c r="O202" s="229"/>
    </row>
    <row r="203" spans="1:15" ht="12.95" customHeight="1">
      <c r="A203" s="12" t="s">
        <v>552</v>
      </c>
      <c r="B203" s="62">
        <f>+GETPIVOTDATA(" New Prof avg",'Averages Pivot Table'!$A$3,"State","SC","Category",3,"Category2","Four-Year")</f>
        <v>79004.737273796796</v>
      </c>
      <c r="C203" s="141">
        <f t="shared" si="16"/>
        <v>9</v>
      </c>
      <c r="D203" s="62">
        <f>+GETPIVOTDATA(" New Asc. avg",'Averages Pivot Table'!$A$3,"State","SC","Category",3,"Category2","Four-Year")</f>
        <v>65556.374960000001</v>
      </c>
      <c r="E203" s="141">
        <f t="shared" si="20"/>
        <v>7</v>
      </c>
      <c r="F203" s="62">
        <f>+GETPIVOTDATA(" New Ast. avg",'Averages Pivot Table'!$A$3,"State","SC","Category",3,"Category2","Four-Year")</f>
        <v>57289.812523076922</v>
      </c>
      <c r="G203" s="141">
        <f t="shared" si="20"/>
        <v>5</v>
      </c>
      <c r="H203" s="62">
        <f>+GETPIVOTDATA(" New Inst. avg",'Averages Pivot Table'!$A$3,"State","SC","Category",3,"Category2","Four-Year")</f>
        <v>45922.971739449538</v>
      </c>
      <c r="I203" s="229">
        <f t="shared" si="17"/>
        <v>5</v>
      </c>
      <c r="J203" s="62">
        <f>+GETPIVOTDATA(" New Undesg. avg",'Averages Pivot Table'!$A$3,"State","SC","Category",3,"Category2","Four-Year")</f>
        <v>44082.768266666673</v>
      </c>
      <c r="K203" s="141">
        <f t="shared" si="18"/>
        <v>5</v>
      </c>
      <c r="L203" s="62">
        <f>+GETPIVOTDATA(" New All Ranks avg",'Averages Pivot Table'!$A$3,"State","SC","Category",3,"Category2","Four-Year")</f>
        <v>63308.715685356699</v>
      </c>
      <c r="M203" s="229">
        <f t="shared" si="19"/>
        <v>6</v>
      </c>
      <c r="N203" s="140"/>
      <c r="O203" s="229"/>
    </row>
    <row r="204" spans="1:15" ht="12.95" customHeight="1">
      <c r="A204" s="12"/>
      <c r="B204" s="62"/>
      <c r="C204" s="141">
        <f t="shared" si="16"/>
        <v>0</v>
      </c>
      <c r="D204" s="62"/>
      <c r="E204" s="141">
        <f t="shared" si="20"/>
        <v>0</v>
      </c>
      <c r="F204" s="62"/>
      <c r="G204" s="141">
        <f t="shared" si="20"/>
        <v>0</v>
      </c>
      <c r="H204" s="62"/>
      <c r="I204" s="229">
        <f t="shared" si="17"/>
        <v>0</v>
      </c>
      <c r="J204" s="62"/>
      <c r="K204" s="141">
        <f t="shared" si="18"/>
        <v>0</v>
      </c>
      <c r="L204" s="62"/>
      <c r="M204" s="229">
        <f t="shared" si="19"/>
        <v>0</v>
      </c>
      <c r="N204" s="140"/>
      <c r="O204" s="229"/>
    </row>
    <row r="205" spans="1:15" ht="12.95" customHeight="1">
      <c r="A205" s="12" t="s">
        <v>553</v>
      </c>
      <c r="B205" s="140">
        <f>+GETPIVOTDATA(" New Prof avg",'Averages Pivot Table'!$A$3,"State","TN","Category",3,"Category2","Four-Year")</f>
        <v>79499.874450075411</v>
      </c>
      <c r="C205" s="141">
        <f t="shared" si="16"/>
        <v>8</v>
      </c>
      <c r="D205" s="140">
        <f>+GETPIVOTDATA(" New Asc. avg",'Averages Pivot Table'!$A$3,"State","TN","Category",3,"Category2","Four-Year")</f>
        <v>62006.860892967416</v>
      </c>
      <c r="E205" s="141">
        <f t="shared" si="20"/>
        <v>12</v>
      </c>
      <c r="F205" s="140">
        <f>+GETPIVOTDATA(" New Ast. avg",'Averages Pivot Table'!$A$3,"State","TN","Category",3,"Category2","Four-Year")</f>
        <v>51513.669923652698</v>
      </c>
      <c r="G205" s="141">
        <f t="shared" si="20"/>
        <v>13</v>
      </c>
      <c r="H205" s="140">
        <f>+GETPIVOTDATA(" New Inst. avg",'Averages Pivot Table'!$A$3,"State","TN","Category",3,"Category2","Four-Year")</f>
        <v>37271.362081481486</v>
      </c>
      <c r="I205" s="229">
        <f t="shared" si="17"/>
        <v>13</v>
      </c>
      <c r="J205" s="140">
        <f>+GETPIVOTDATA(" New Undesg. avg",'Averages Pivot Table'!$A$3,"State","TN","Category",3,"Category2","Four-Year")</f>
        <v>35139.831666666665</v>
      </c>
      <c r="K205" s="141">
        <f t="shared" si="18"/>
        <v>10</v>
      </c>
      <c r="L205" s="140">
        <f>+GETPIVOTDATA(" New All Ranks avg",'Averages Pivot Table'!$A$3,"State","TN","Category",3,"Category2","Four-Year")</f>
        <v>60944.418794505487</v>
      </c>
      <c r="M205" s="229">
        <f t="shared" si="19"/>
        <v>7</v>
      </c>
      <c r="N205" s="140"/>
      <c r="O205" s="229"/>
    </row>
    <row r="206" spans="1:15" ht="12.95" customHeight="1">
      <c r="A206" s="12" t="s">
        <v>554</v>
      </c>
      <c r="B206" s="140">
        <f>+GETPIVOTDATA(" New Prof avg",'Averages Pivot Table'!$A$3,"State","TX","Category",3,"Category2","Four-Year")</f>
        <v>85892.857635893946</v>
      </c>
      <c r="C206" s="141">
        <f t="shared" si="16"/>
        <v>4</v>
      </c>
      <c r="D206" s="140">
        <f>+GETPIVOTDATA(" New Asc. avg",'Averages Pivot Table'!$A$3,"State","TX","Category",3,"Category2","Four-Year")</f>
        <v>68679.911059804552</v>
      </c>
      <c r="E206" s="141">
        <f t="shared" si="20"/>
        <v>4</v>
      </c>
      <c r="F206" s="140">
        <f>+GETPIVOTDATA(" New Ast. avg",'Averages Pivot Table'!$A$3,"State","TX","Category",3,"Category2","Four-Year")</f>
        <v>59014.437312981012</v>
      </c>
      <c r="G206" s="141">
        <f t="shared" si="20"/>
        <v>3</v>
      </c>
      <c r="H206" s="140">
        <f>+GETPIVOTDATA(" New Inst. avg",'Averages Pivot Table'!$A$3,"State","TX","Category",3,"Category2","Four-Year")</f>
        <v>44972.389301160096</v>
      </c>
      <c r="I206" s="229">
        <f t="shared" si="17"/>
        <v>6</v>
      </c>
      <c r="J206" s="140">
        <f>+GETPIVOTDATA(" New Undesg. avg",'Averages Pivot Table'!$A$3,"State","TX","Category",3,"Category2","Four-Year")</f>
        <v>46802.372322849485</v>
      </c>
      <c r="K206" s="141">
        <f t="shared" si="18"/>
        <v>3</v>
      </c>
      <c r="L206" s="140">
        <f>+GETPIVOTDATA(" New All Ranks avg",'Averages Pivot Table'!$A$3,"State","TX","Category",3,"Category2","Four-Year")</f>
        <v>63903.199337257873</v>
      </c>
      <c r="M206" s="229">
        <f t="shared" si="19"/>
        <v>5</v>
      </c>
      <c r="N206" s="140"/>
      <c r="O206" s="229"/>
    </row>
    <row r="207" spans="1:15" ht="12.95" customHeight="1">
      <c r="A207" s="12" t="s">
        <v>555</v>
      </c>
      <c r="B207" s="140">
        <f>+GETPIVOTDATA(" New Prof avg",'Averages Pivot Table'!$A$3,"State","VA","Category",3,"Category2","Four-Year")</f>
        <v>84373.082014141415</v>
      </c>
      <c r="C207" s="141">
        <f t="shared" si="16"/>
        <v>5</v>
      </c>
      <c r="D207" s="140">
        <f>+GETPIVOTDATA(" New Asc. avg",'Averages Pivot Table'!$A$3,"State","VA","Category",3,"Category2","Four-Year")</f>
        <v>68139.708424666678</v>
      </c>
      <c r="E207" s="141">
        <f t="shared" si="20"/>
        <v>5</v>
      </c>
      <c r="F207" s="140">
        <f>+GETPIVOTDATA(" New Ast. avg",'Averages Pivot Table'!$A$3,"State","VA","Category",3,"Category2","Four-Year")</f>
        <v>56508.650764164646</v>
      </c>
      <c r="G207" s="141">
        <f t="shared" si="20"/>
        <v>7</v>
      </c>
      <c r="H207" s="140">
        <f>+GETPIVOTDATA(" New Inst. avg",'Averages Pivot Table'!$A$3,"State","VA","Category",3,"Category2","Four-Year")</f>
        <v>48541.134729787234</v>
      </c>
      <c r="I207" s="229">
        <f t="shared" si="17"/>
        <v>3</v>
      </c>
      <c r="J207" s="140">
        <f>+GETPIVOTDATA(" New Undesg. avg",'Averages Pivot Table'!$A$3,"State","VA","Category",3,"Category2","Four-Year")</f>
        <v>0</v>
      </c>
      <c r="K207" s="141">
        <f t="shared" si="18"/>
        <v>0</v>
      </c>
      <c r="L207" s="140">
        <f>+GETPIVOTDATA(" New All Ranks avg",'Averages Pivot Table'!$A$3,"State","VA","Category",3,"Category2","Four-Year")</f>
        <v>66551.626137085579</v>
      </c>
      <c r="M207" s="229">
        <f t="shared" si="19"/>
        <v>2</v>
      </c>
      <c r="N207" s="140"/>
      <c r="O207" s="229"/>
    </row>
    <row r="208" spans="1:15" ht="12.95" customHeight="1">
      <c r="A208" s="11" t="s">
        <v>556</v>
      </c>
      <c r="B208" s="64">
        <f>+GETPIVOTDATA(" New Prof avg",'Averages Pivot Table'!$A$3,"State","WV","Category",3,"Category2","Four-Year")</f>
        <v>73653.358970854271</v>
      </c>
      <c r="C208" s="65">
        <f t="shared" si="16"/>
        <v>14</v>
      </c>
      <c r="D208" s="64">
        <f>+GETPIVOTDATA(" New Asc. avg",'Averages Pivot Table'!$A$3,"State","WV","Category",3,"Category2","Four-Year")</f>
        <v>58513.819269565218</v>
      </c>
      <c r="E208" s="65">
        <f t="shared" si="20"/>
        <v>14</v>
      </c>
      <c r="F208" s="64">
        <f>+GETPIVOTDATA(" New Ast. avg",'Averages Pivot Table'!$A$3,"State","WV","Category",3,"Category2","Four-Year")</f>
        <v>48586.149080000003</v>
      </c>
      <c r="G208" s="65">
        <f t="shared" si="20"/>
        <v>14</v>
      </c>
      <c r="H208" s="64">
        <f>+GETPIVOTDATA(" New Inst. avg",'Averages Pivot Table'!$A$3,"State","WV","Category",3,"Category2","Four-Year")</f>
        <v>31227</v>
      </c>
      <c r="I208" s="230">
        <f t="shared" si="17"/>
        <v>14</v>
      </c>
      <c r="J208" s="64">
        <f>+GETPIVOTDATA(" New Undesg. avg",'Averages Pivot Table'!$A$3,"State","WV","Category",3,"Category2","Four-Year")</f>
        <v>0</v>
      </c>
      <c r="K208" s="65">
        <f t="shared" si="18"/>
        <v>0</v>
      </c>
      <c r="L208" s="64">
        <f>+GETPIVOTDATA(" New All Ranks avg",'Averages Pivot Table'!$A$3,"State","WV","Category",3,"Category2","Four-Year")</f>
        <v>60802.600737662331</v>
      </c>
      <c r="M208" s="230">
        <f t="shared" si="19"/>
        <v>8</v>
      </c>
      <c r="N208" s="140"/>
      <c r="O208" s="229"/>
    </row>
    <row r="209" spans="1:19" ht="30" customHeight="1">
      <c r="A209" s="506" t="s">
        <v>425</v>
      </c>
      <c r="B209" s="509"/>
      <c r="C209" s="509"/>
      <c r="D209" s="509"/>
      <c r="E209" s="509"/>
      <c r="F209" s="509"/>
      <c r="G209" s="509"/>
      <c r="H209" s="509"/>
      <c r="I209" s="509"/>
      <c r="J209" s="509"/>
      <c r="K209" s="509"/>
      <c r="L209" s="509"/>
      <c r="M209" s="509"/>
      <c r="N209" s="12"/>
      <c r="O209" s="243"/>
    </row>
    <row r="210" spans="1:19">
      <c r="M210" s="487" t="s">
        <v>1003</v>
      </c>
      <c r="O210" s="242"/>
    </row>
    <row r="211" spans="1:19" ht="18">
      <c r="A211" s="504" t="s">
        <v>571</v>
      </c>
      <c r="B211" s="504"/>
      <c r="C211" s="504"/>
      <c r="D211" s="504"/>
      <c r="E211" s="504"/>
      <c r="F211" s="504"/>
      <c r="G211" s="504"/>
      <c r="H211" s="504"/>
      <c r="I211" s="504"/>
      <c r="J211" s="504"/>
      <c r="K211" s="504"/>
      <c r="L211" s="504"/>
      <c r="M211" s="504"/>
      <c r="N211" s="180"/>
      <c r="O211" s="179"/>
    </row>
    <row r="212" spans="1:19">
      <c r="A212" s="12"/>
      <c r="B212" s="5"/>
      <c r="C212" s="5"/>
      <c r="D212" s="5"/>
      <c r="E212" s="5"/>
      <c r="F212" s="5"/>
      <c r="G212" s="5"/>
      <c r="H212" s="5"/>
      <c r="I212" s="172"/>
      <c r="J212" s="5"/>
      <c r="K212" s="5"/>
      <c r="L212" s="5"/>
      <c r="M212" s="172"/>
      <c r="N212" s="5"/>
      <c r="O212" s="172"/>
    </row>
    <row r="213" spans="1:19">
      <c r="A213" s="505" t="s">
        <v>557</v>
      </c>
      <c r="B213" s="505"/>
      <c r="C213" s="505"/>
      <c r="D213" s="505"/>
      <c r="E213" s="505"/>
      <c r="F213" s="505"/>
      <c r="G213" s="505"/>
      <c r="H213" s="505"/>
      <c r="I213" s="505"/>
      <c r="J213" s="505"/>
      <c r="K213" s="505"/>
      <c r="L213" s="505"/>
      <c r="M213" s="505"/>
      <c r="N213" s="191"/>
      <c r="O213" s="239"/>
    </row>
    <row r="214" spans="1:19">
      <c r="A214" s="505" t="s">
        <v>34</v>
      </c>
      <c r="B214" s="505"/>
      <c r="C214" s="505"/>
      <c r="D214" s="505"/>
      <c r="E214" s="505"/>
      <c r="F214" s="505"/>
      <c r="G214" s="505"/>
      <c r="H214" s="505"/>
      <c r="I214" s="505"/>
      <c r="J214" s="505"/>
      <c r="K214" s="505"/>
      <c r="L214" s="505"/>
      <c r="M214" s="505"/>
      <c r="N214" s="191"/>
      <c r="O214" s="239"/>
    </row>
    <row r="215" spans="1:19">
      <c r="A215" s="5"/>
      <c r="B215" s="5"/>
      <c r="C215" s="5"/>
      <c r="D215" s="5"/>
      <c r="E215" s="5"/>
      <c r="F215" s="5"/>
      <c r="G215" s="5"/>
      <c r="H215" s="5"/>
      <c r="I215" s="172"/>
      <c r="J215" s="5"/>
      <c r="K215" s="5"/>
      <c r="L215" s="5"/>
      <c r="M215" s="172"/>
      <c r="N215" s="62"/>
      <c r="O215" s="237"/>
    </row>
    <row r="216" spans="1:19" ht="31.5" customHeight="1">
      <c r="A216" s="15"/>
      <c r="B216" s="21" t="s">
        <v>435</v>
      </c>
      <c r="C216" s="22"/>
      <c r="D216" s="152" t="s">
        <v>436</v>
      </c>
      <c r="E216" s="153"/>
      <c r="F216" s="152" t="s">
        <v>437</v>
      </c>
      <c r="G216" s="153"/>
      <c r="H216" s="21" t="s">
        <v>438</v>
      </c>
      <c r="I216" s="253"/>
      <c r="J216" s="152" t="s">
        <v>584</v>
      </c>
      <c r="K216" s="153"/>
      <c r="L216" s="22" t="s">
        <v>415</v>
      </c>
      <c r="M216" s="253"/>
      <c r="N216" s="63" t="s">
        <v>560</v>
      </c>
      <c r="O216" s="240"/>
    </row>
    <row r="217" spans="1:19">
      <c r="A217" s="16"/>
      <c r="B217" s="19" t="s">
        <v>439</v>
      </c>
      <c r="C217" s="18" t="s">
        <v>530</v>
      </c>
      <c r="D217" s="19" t="s">
        <v>439</v>
      </c>
      <c r="E217" s="18" t="s">
        <v>530</v>
      </c>
      <c r="F217" s="19" t="s">
        <v>439</v>
      </c>
      <c r="G217" s="18" t="s">
        <v>530</v>
      </c>
      <c r="H217" s="19" t="s">
        <v>439</v>
      </c>
      <c r="I217" s="254" t="s">
        <v>530</v>
      </c>
      <c r="J217" s="19" t="s">
        <v>439</v>
      </c>
      <c r="K217" s="18" t="s">
        <v>530</v>
      </c>
      <c r="L217" s="19" t="s">
        <v>439</v>
      </c>
      <c r="M217" s="254" t="s">
        <v>530</v>
      </c>
      <c r="N217" s="62" t="s">
        <v>560</v>
      </c>
      <c r="O217" s="237"/>
    </row>
    <row r="218" spans="1:19" s="168" customFormat="1" ht="18" customHeight="1">
      <c r="A218" s="181" t="s">
        <v>559</v>
      </c>
      <c r="B218" s="185">
        <f>+GETPIVOTDATA(" New Prof avg",'Averages Pivot Table'!$A$3,"Category",4,"Category2","Four-Year")</f>
        <v>79953.119825970629</v>
      </c>
      <c r="C218" s="185"/>
      <c r="D218" s="185">
        <f>+GETPIVOTDATA(" New Asc. avg",'Averages Pivot Table'!$A$3,"Category",4,"Category2","Four-Year")</f>
        <v>65678.246447792015</v>
      </c>
      <c r="E218" s="185"/>
      <c r="F218" s="185">
        <f>+GETPIVOTDATA(" New Ast. avg",'Averages Pivot Table'!$A$3,"Category",4,"Category2","Four-Year")</f>
        <v>55731.656692549972</v>
      </c>
      <c r="G218" s="185"/>
      <c r="H218" s="185">
        <f>+GETPIVOTDATA(" New Inst. avg",'Averages Pivot Table'!$A$3,"Category",4,"Category2","Four-Year")</f>
        <v>44275.590021446689</v>
      </c>
      <c r="I218" s="257"/>
      <c r="J218" s="185">
        <f>+GETPIVOTDATA(" New Undesg. avg",'Averages Pivot Table'!$A$3,"Category",4,"Category2","Four-Year")</f>
        <v>45534.669768913511</v>
      </c>
      <c r="K218" s="185"/>
      <c r="L218" s="185">
        <f>+GETPIVOTDATA(" New All Ranks avg",'Averages Pivot Table'!$A$3,"Category",4,"Category2","Four-Year")</f>
        <v>61354.811343531808</v>
      </c>
      <c r="M218" s="260"/>
      <c r="N218" s="189"/>
      <c r="O218" s="251"/>
      <c r="Q218" s="209"/>
      <c r="R218" s="209"/>
      <c r="S218" s="209"/>
    </row>
    <row r="219" spans="1:19" ht="12.95" customHeight="1">
      <c r="A219" s="12"/>
      <c r="B219" s="9"/>
      <c r="C219" s="17"/>
      <c r="D219" s="9"/>
      <c r="E219" s="17"/>
      <c r="F219" s="9"/>
      <c r="G219" s="17"/>
      <c r="H219" s="9"/>
      <c r="I219" s="261"/>
      <c r="J219" s="9"/>
      <c r="K219" s="17"/>
      <c r="L219" s="9"/>
      <c r="M219" s="261"/>
      <c r="N219" s="62"/>
      <c r="O219" s="237"/>
    </row>
    <row r="220" spans="1:19" ht="12.95" customHeight="1">
      <c r="A220" s="12" t="s">
        <v>542</v>
      </c>
      <c r="B220" s="62">
        <f>+GETPIVOTDATA(" New Prof avg",'Averages Pivot Table'!$A$3,"State","AL","Category",4,"Category2","Four-Year")</f>
        <v>78626.659158659211</v>
      </c>
      <c r="C220" s="141">
        <f>IF(B220&gt;0,(RANK(B220,B$220:B$238)),0)</f>
        <v>9</v>
      </c>
      <c r="D220" s="62">
        <f>+GETPIVOTDATA(" New Asc. avg",'Averages Pivot Table'!$A$3,"State","AL","Category",4,"Category2","Four-Year")</f>
        <v>66282.205999999991</v>
      </c>
      <c r="E220" s="141">
        <f>IF(D220&gt;0,(RANK(D220,D$220:D$238)),0)</f>
        <v>6</v>
      </c>
      <c r="F220" s="62">
        <f>+GETPIVOTDATA(" New Ast. avg",'Averages Pivot Table'!$A$3,"State","AL","Category",4,"Category2","Four-Year")</f>
        <v>52975.8541223301</v>
      </c>
      <c r="G220" s="141">
        <f t="shared" ref="G220:G238" si="21">IF(F220&gt;0,(RANK(F220,F$220:F$238)),0)</f>
        <v>10</v>
      </c>
      <c r="H220" s="62">
        <f>+GETPIVOTDATA(" New Inst. avg",'Averages Pivot Table'!$A$3,"State","AL","Category",4,"Category2","Four-Year")</f>
        <v>44533.951310476194</v>
      </c>
      <c r="I220" s="229">
        <f t="shared" ref="I220:I238" si="22">IF(H220&gt;0,(RANK(H220,H$220:H$238)),0)</f>
        <v>7</v>
      </c>
      <c r="J220" s="62">
        <f>+GETPIVOTDATA(" New Undesg. avg",'Averages Pivot Table'!$A$3,"State","AL","Category",4,"Category2","Four-Year")</f>
        <v>98553.007999999987</v>
      </c>
      <c r="K220" s="141">
        <f t="shared" ref="K220:K238" si="23">IF(J220&gt;0,(RANK(J220,J$220:J$238)),0)</f>
        <v>1</v>
      </c>
      <c r="L220" s="62">
        <f>+GETPIVOTDATA(" New All Ranks avg",'Averages Pivot Table'!$A$3,"State","AL","Category",4,"Category2","Four-Year")</f>
        <v>62169.943204538569</v>
      </c>
      <c r="M220" s="229">
        <f t="shared" ref="M220:M238" si="24">IF(L220&gt;0,(RANK(L220,L$220:L$238)),0)</f>
        <v>7</v>
      </c>
      <c r="N220" s="62"/>
      <c r="O220" s="237"/>
    </row>
    <row r="221" spans="1:19" ht="12.95" customHeight="1">
      <c r="A221" s="12" t="s">
        <v>543</v>
      </c>
      <c r="B221" s="62">
        <f>+GETPIVOTDATA(" New Prof avg",'Averages Pivot Table'!$A$3,"State","AR","Category",4,"Category2","Four-Year")</f>
        <v>66667.970143689323</v>
      </c>
      <c r="C221" s="141">
        <f t="shared" ref="C221:E238" si="25">IF(B221&gt;0,(RANK(B221,B$220:B$238)),0)</f>
        <v>13</v>
      </c>
      <c r="D221" s="62">
        <f>+GETPIVOTDATA(" New Asc. avg",'Averages Pivot Table'!$A$3,"State","AR","Category",4,"Category2","Four-Year")</f>
        <v>57118.248761904761</v>
      </c>
      <c r="E221" s="141">
        <f t="shared" si="25"/>
        <v>14</v>
      </c>
      <c r="F221" s="62">
        <f>+GETPIVOTDATA(" New Ast. avg",'Averages Pivot Table'!$A$3,"State","AR","Category",4,"Category2","Four-Year")</f>
        <v>48567.400139197758</v>
      </c>
      <c r="G221" s="141">
        <f t="shared" si="21"/>
        <v>13</v>
      </c>
      <c r="H221" s="62">
        <f>+GETPIVOTDATA(" New Inst. avg",'Averages Pivot Table'!$A$3,"State","AR","Category",4,"Category2","Four-Year")</f>
        <v>39008.065999999999</v>
      </c>
      <c r="I221" s="229">
        <f t="shared" si="22"/>
        <v>11</v>
      </c>
      <c r="J221" s="62">
        <f>+GETPIVOTDATA(" New Undesg. avg",'Averages Pivot Table'!$A$3,"State","AR","Category",4,"Category2","Four-Year")</f>
        <v>38450.652844444448</v>
      </c>
      <c r="K221" s="141">
        <f t="shared" si="23"/>
        <v>8</v>
      </c>
      <c r="L221" s="62">
        <f>+GETPIVOTDATA(" New All Ranks avg",'Averages Pivot Table'!$A$3,"State","AR","Category",4,"Category2","Four-Year")</f>
        <v>52446.526155053922</v>
      </c>
      <c r="M221" s="229">
        <f t="shared" si="24"/>
        <v>14</v>
      </c>
      <c r="N221" s="62"/>
      <c r="O221" s="237"/>
    </row>
    <row r="222" spans="1:19" ht="12.95" customHeight="1">
      <c r="A222" s="12" t="s">
        <v>558</v>
      </c>
      <c r="B222" s="62">
        <f>+GETPIVOTDATA(" New Prof avg",'Averages Pivot Table'!$A$3,"State","DE","Category",4,"Category2","Four-Year")</f>
        <v>80315.741107692316</v>
      </c>
      <c r="C222" s="141">
        <f t="shared" si="25"/>
        <v>7</v>
      </c>
      <c r="D222" s="62">
        <f>+GETPIVOTDATA(" New Asc. avg",'Averages Pivot Table'!$A$3,"State","DE","Category",4,"Category2","Four-Year")</f>
        <v>64013.429039999995</v>
      </c>
      <c r="E222" s="141">
        <f t="shared" si="25"/>
        <v>9</v>
      </c>
      <c r="F222" s="62">
        <f>+GETPIVOTDATA(" New Ast. avg",'Averages Pivot Table'!$A$3,"State","DE","Category",4,"Category2","Four-Year")</f>
        <v>57269.878688524594</v>
      </c>
      <c r="G222" s="141">
        <f t="shared" si="21"/>
        <v>7</v>
      </c>
      <c r="H222" s="62">
        <f>+GETPIVOTDATA(" New Inst. avg",'Averages Pivot Table'!$A$3,"State","DE","Category",4,"Category2","Four-Year")</f>
        <v>45150.257142857139</v>
      </c>
      <c r="I222" s="229">
        <f t="shared" si="22"/>
        <v>6</v>
      </c>
      <c r="J222" s="62">
        <f>+GETPIVOTDATA(" New Undesg. avg",'Averages Pivot Table'!$A$3,"State","DE","Category",4,"Category2","Four-Year")</f>
        <v>38786</v>
      </c>
      <c r="K222" s="141">
        <f t="shared" si="23"/>
        <v>7</v>
      </c>
      <c r="L222" s="62">
        <f>+GETPIVOTDATA(" New All Ranks avg",'Averages Pivot Table'!$A$3,"State","DE","Category",4,"Category2","Four-Year")</f>
        <v>64361.428868393785</v>
      </c>
      <c r="M222" s="229">
        <f t="shared" si="24"/>
        <v>6</v>
      </c>
      <c r="N222" s="62"/>
      <c r="O222" s="237"/>
    </row>
    <row r="223" spans="1:19" ht="12.95" customHeight="1">
      <c r="A223" s="12" t="s">
        <v>544</v>
      </c>
      <c r="B223" s="62">
        <f>+GETPIVOTDATA(" New Prof avg",'Averages Pivot Table'!$A$3,"State","FL","Category",4,"Category2","Four-Year")</f>
        <v>87935.656788244902</v>
      </c>
      <c r="C223" s="141">
        <f t="shared" si="25"/>
        <v>3</v>
      </c>
      <c r="D223" s="62">
        <f>+GETPIVOTDATA(" New Asc. avg",'Averages Pivot Table'!$A$3,"State","FL","Category",4,"Category2","Four-Year")</f>
        <v>71068.007021417725</v>
      </c>
      <c r="E223" s="141">
        <f t="shared" si="25"/>
        <v>3</v>
      </c>
      <c r="F223" s="62">
        <f>+GETPIVOTDATA(" New Ast. avg",'Averages Pivot Table'!$A$3,"State","FL","Category",4,"Category2","Four-Year")</f>
        <v>57658.258040382985</v>
      </c>
      <c r="G223" s="141">
        <f t="shared" si="21"/>
        <v>5</v>
      </c>
      <c r="H223" s="62">
        <f>+GETPIVOTDATA(" New Inst. avg",'Averages Pivot Table'!$A$3,"State","FL","Category",4,"Category2","Four-Year")</f>
        <v>61948.525063288129</v>
      </c>
      <c r="I223" s="229">
        <f t="shared" si="22"/>
        <v>1</v>
      </c>
      <c r="J223" s="62">
        <f>+GETPIVOTDATA(" New Undesg. avg",'Averages Pivot Table'!$A$3,"State","FL","Category",4,"Category2","Four-Year")</f>
        <v>0</v>
      </c>
      <c r="K223" s="141">
        <f t="shared" si="23"/>
        <v>0</v>
      </c>
      <c r="L223" s="62">
        <f>+GETPIVOTDATA(" New All Ranks avg",'Averages Pivot Table'!$A$3,"State","FL","Category",4,"Category2","Four-Year")</f>
        <v>67608.750789487531</v>
      </c>
      <c r="M223" s="229">
        <f t="shared" si="24"/>
        <v>3</v>
      </c>
      <c r="N223" s="62"/>
      <c r="O223" s="237"/>
    </row>
    <row r="224" spans="1:19" ht="12.95" customHeight="1">
      <c r="A224" s="12"/>
      <c r="B224" s="62"/>
      <c r="C224" s="141">
        <f t="shared" si="25"/>
        <v>0</v>
      </c>
      <c r="D224" s="62"/>
      <c r="E224" s="141">
        <f t="shared" si="25"/>
        <v>0</v>
      </c>
      <c r="F224" s="62"/>
      <c r="G224" s="141">
        <f t="shared" si="21"/>
        <v>0</v>
      </c>
      <c r="H224" s="62"/>
      <c r="I224" s="229">
        <f t="shared" si="22"/>
        <v>0</v>
      </c>
      <c r="J224" s="62"/>
      <c r="K224" s="141">
        <f t="shared" si="23"/>
        <v>0</v>
      </c>
      <c r="L224" s="62"/>
      <c r="M224" s="229">
        <f t="shared" si="24"/>
        <v>0</v>
      </c>
      <c r="N224" s="62"/>
      <c r="O224" s="237"/>
    </row>
    <row r="225" spans="1:15" ht="12.95" customHeight="1">
      <c r="A225" s="12" t="s">
        <v>545</v>
      </c>
      <c r="B225" s="62">
        <f>+GETPIVOTDATA(" New Prof avg",'Averages Pivot Table'!$A$3,"State","GA","Category",4,"Category2","Four-Year")</f>
        <v>77417.314869026552</v>
      </c>
      <c r="C225" s="141">
        <f t="shared" si="25"/>
        <v>10</v>
      </c>
      <c r="D225" s="62">
        <f>+GETPIVOTDATA(" New Asc. avg",'Averages Pivot Table'!$A$3,"State","GA","Category",4,"Category2","Four-Year")</f>
        <v>62786.035007216495</v>
      </c>
      <c r="E225" s="141">
        <f t="shared" si="25"/>
        <v>10</v>
      </c>
      <c r="F225" s="62">
        <f>+GETPIVOTDATA(" New Ast. avg",'Averages Pivot Table'!$A$3,"State","GA","Category",4,"Category2","Four-Year")</f>
        <v>53534.593130625006</v>
      </c>
      <c r="G225" s="141">
        <f t="shared" si="21"/>
        <v>9</v>
      </c>
      <c r="H225" s="62">
        <f>+GETPIVOTDATA(" New Inst. avg",'Averages Pivot Table'!$A$3,"State","GA","Category",4,"Category2","Four-Year")</f>
        <v>44019.401204819274</v>
      </c>
      <c r="I225" s="229">
        <f t="shared" si="22"/>
        <v>8</v>
      </c>
      <c r="J225" s="62">
        <f>+GETPIVOTDATA(" New Undesg. avg",'Averages Pivot Table'!$A$3,"State","GA","Category",4,"Category2","Four-Year")</f>
        <v>46801.294884210532</v>
      </c>
      <c r="K225" s="141">
        <f t="shared" si="23"/>
        <v>4</v>
      </c>
      <c r="L225" s="62">
        <f>+GETPIVOTDATA(" New All Ranks avg",'Averages Pivot Table'!$A$3,"State","GA","Category",4,"Category2","Four-Year")</f>
        <v>60173.025398705497</v>
      </c>
      <c r="M225" s="229">
        <f t="shared" si="24"/>
        <v>9</v>
      </c>
      <c r="N225" s="62"/>
      <c r="O225" s="237"/>
    </row>
    <row r="226" spans="1:15" ht="12.95" customHeight="1">
      <c r="A226" s="12" t="s">
        <v>546</v>
      </c>
      <c r="B226" s="62">
        <f>+GETPIVOTDATA(" New Prof avg",'Averages Pivot Table'!$A$3,"State","KY","Category",4,"Category2","Four-Year")</f>
        <v>84771.20482483659</v>
      </c>
      <c r="C226" s="141">
        <f t="shared" si="25"/>
        <v>4</v>
      </c>
      <c r="D226" s="62">
        <f>+GETPIVOTDATA(" New Asc. avg",'Averages Pivot Table'!$A$3,"State","KY","Category",4,"Category2","Four-Year")</f>
        <v>66232.796889843754</v>
      </c>
      <c r="E226" s="141">
        <f t="shared" si="25"/>
        <v>7</v>
      </c>
      <c r="F226" s="62">
        <f>+GETPIVOTDATA(" New Ast. avg",'Averages Pivot Table'!$A$3,"State","KY","Category",4,"Category2","Four-Year")</f>
        <v>57470.341595999998</v>
      </c>
      <c r="G226" s="141">
        <f t="shared" si="21"/>
        <v>6</v>
      </c>
      <c r="H226" s="62">
        <f>+GETPIVOTDATA(" New Inst. avg",'Averages Pivot Table'!$A$3,"State","KY","Category",4,"Category2","Four-Year")</f>
        <v>38298.313411111107</v>
      </c>
      <c r="I226" s="229">
        <f t="shared" si="22"/>
        <v>12</v>
      </c>
      <c r="J226" s="62">
        <f>+GETPIVOTDATA(" New Undesg. avg",'Averages Pivot Table'!$A$3,"State","KY","Category",4,"Category2","Four-Year")</f>
        <v>42766.947632369942</v>
      </c>
      <c r="K226" s="141">
        <f t="shared" si="23"/>
        <v>5</v>
      </c>
      <c r="L226" s="62">
        <f>+GETPIVOTDATA(" New All Ranks avg",'Averages Pivot Table'!$A$3,"State","KY","Category",4,"Category2","Four-Year")</f>
        <v>60231.566644911494</v>
      </c>
      <c r="M226" s="229">
        <f t="shared" si="24"/>
        <v>8</v>
      </c>
      <c r="N226" s="62"/>
      <c r="O226" s="237"/>
    </row>
    <row r="227" spans="1:15" ht="12.95" customHeight="1">
      <c r="A227" s="12" t="s">
        <v>547</v>
      </c>
      <c r="B227" s="62">
        <f>+GETPIVOTDATA(" New Prof avg",'Averages Pivot Table'!$A$3,"State","LA","Category",4,"Category2","Four-Year")</f>
        <v>74262.908658267712</v>
      </c>
      <c r="C227" s="141">
        <f t="shared" si="25"/>
        <v>11</v>
      </c>
      <c r="D227" s="62">
        <f>+GETPIVOTDATA(" New Asc. avg",'Averages Pivot Table'!$A$3,"State","LA","Category",4,"Category2","Four-Year")</f>
        <v>61359.649771111115</v>
      </c>
      <c r="E227" s="141">
        <f t="shared" si="25"/>
        <v>11</v>
      </c>
      <c r="F227" s="62">
        <f>+GETPIVOTDATA(" New Ast. avg",'Averages Pivot Table'!$A$3,"State","LA","Category",4,"Category2","Four-Year")</f>
        <v>52156.509433766238</v>
      </c>
      <c r="G227" s="141">
        <f t="shared" si="21"/>
        <v>11</v>
      </c>
      <c r="H227" s="62">
        <f>+GETPIVOTDATA(" New Inst. avg",'Averages Pivot Table'!$A$3,"State","LA","Category",4,"Category2","Four-Year")</f>
        <v>39987.554593357934</v>
      </c>
      <c r="I227" s="229">
        <f t="shared" si="22"/>
        <v>10</v>
      </c>
      <c r="J227" s="62">
        <f>+GETPIVOTDATA(" New Undesg. avg",'Averages Pivot Table'!$A$3,"State","LA","Category",4,"Category2","Four-Year")</f>
        <v>38448.831676190472</v>
      </c>
      <c r="K227" s="141">
        <f t="shared" si="23"/>
        <v>9</v>
      </c>
      <c r="L227" s="62">
        <f>+GETPIVOTDATA(" New All Ranks avg",'Averages Pivot Table'!$A$3,"State","LA","Category",4,"Category2","Four-Year")</f>
        <v>55488.041020073804</v>
      </c>
      <c r="M227" s="229">
        <f t="shared" si="24"/>
        <v>12</v>
      </c>
      <c r="N227" s="62"/>
      <c r="O227" s="237"/>
    </row>
    <row r="228" spans="1:15" ht="12.95" customHeight="1">
      <c r="A228" s="12" t="s">
        <v>548</v>
      </c>
      <c r="B228" s="62">
        <f>+GETPIVOTDATA(" New Prof avg",'Averages Pivot Table'!$A$3,"State","MD","Category",4,"Category2","Four-Year")</f>
        <v>93661.234535810814</v>
      </c>
      <c r="C228" s="141">
        <f t="shared" si="25"/>
        <v>1</v>
      </c>
      <c r="D228" s="62">
        <f>+GETPIVOTDATA(" New Asc. avg",'Averages Pivot Table'!$A$3,"State","MD","Category",4,"Category2","Four-Year")</f>
        <v>73803.185263291147</v>
      </c>
      <c r="E228" s="141">
        <f t="shared" si="25"/>
        <v>2</v>
      </c>
      <c r="F228" s="62">
        <f>+GETPIVOTDATA(" New Ast. avg",'Averages Pivot Table'!$A$3,"State","MD","Category",4,"Category2","Four-Year")</f>
        <v>64034.58174717833</v>
      </c>
      <c r="G228" s="141">
        <f t="shared" si="21"/>
        <v>2</v>
      </c>
      <c r="H228" s="62">
        <f>+GETPIVOTDATA(" New Inst. avg",'Averages Pivot Table'!$A$3,"State","MD","Category",4,"Category2","Four-Year")</f>
        <v>54450.272872222224</v>
      </c>
      <c r="I228" s="229">
        <f t="shared" si="22"/>
        <v>3</v>
      </c>
      <c r="J228" s="62">
        <f>+GETPIVOTDATA(" New Undesg. avg",'Averages Pivot Table'!$A$3,"State","MD","Category",4,"Category2","Four-Year")</f>
        <v>47973.41789527559</v>
      </c>
      <c r="K228" s="141">
        <f t="shared" si="23"/>
        <v>3</v>
      </c>
      <c r="L228" s="62">
        <f>+GETPIVOTDATA(" New All Ranks avg",'Averages Pivot Table'!$A$3,"State","MD","Category",4,"Category2","Four-Year")</f>
        <v>69560.081523122688</v>
      </c>
      <c r="M228" s="229">
        <f t="shared" si="24"/>
        <v>1</v>
      </c>
      <c r="N228" s="62"/>
      <c r="O228" s="237"/>
    </row>
    <row r="229" spans="1:15" ht="12.95" customHeight="1">
      <c r="A229" s="12"/>
      <c r="B229" s="62"/>
      <c r="C229" s="141">
        <f t="shared" si="25"/>
        <v>0</v>
      </c>
      <c r="D229" s="62"/>
      <c r="E229" s="141">
        <f t="shared" si="25"/>
        <v>0</v>
      </c>
      <c r="F229" s="62"/>
      <c r="G229" s="141">
        <f t="shared" si="21"/>
        <v>0</v>
      </c>
      <c r="H229" s="62"/>
      <c r="I229" s="229">
        <f t="shared" si="22"/>
        <v>0</v>
      </c>
      <c r="J229" s="62"/>
      <c r="K229" s="141">
        <f t="shared" si="23"/>
        <v>0</v>
      </c>
      <c r="L229" s="62"/>
      <c r="M229" s="229">
        <f t="shared" si="24"/>
        <v>0</v>
      </c>
      <c r="N229" s="62"/>
      <c r="O229" s="237"/>
    </row>
    <row r="230" spans="1:15" ht="12.95" customHeight="1">
      <c r="A230" s="12" t="s">
        <v>549</v>
      </c>
      <c r="B230" s="62">
        <f>+GETPIVOTDATA(" New Prof avg",'Averages Pivot Table'!$A$3,"State","MS","Category",4,"Category2","Four-Year")</f>
        <v>65021.727989473686</v>
      </c>
      <c r="C230" s="141">
        <f t="shared" si="25"/>
        <v>14</v>
      </c>
      <c r="D230" s="62">
        <f>+GETPIVOTDATA(" New Asc. avg",'Averages Pivot Table'!$A$3,"State","MS","Category",4,"Category2","Four-Year")</f>
        <v>58385.35254925373</v>
      </c>
      <c r="E230" s="141">
        <f t="shared" si="25"/>
        <v>13</v>
      </c>
      <c r="F230" s="62">
        <f>+GETPIVOTDATA(" New Ast. avg",'Averages Pivot Table'!$A$3,"State","MS","Category",4,"Category2","Four-Year")</f>
        <v>50289.838014062501</v>
      </c>
      <c r="G230" s="141">
        <f t="shared" si="21"/>
        <v>12</v>
      </c>
      <c r="H230" s="62">
        <f>+GETPIVOTDATA(" New Inst. avg",'Averages Pivot Table'!$A$3,"State","MS","Category",4,"Category2","Four-Year")</f>
        <v>42200.271745833335</v>
      </c>
      <c r="I230" s="229">
        <f t="shared" si="22"/>
        <v>9</v>
      </c>
      <c r="J230" s="62">
        <f>+GETPIVOTDATA(" New Undesg. avg",'Averages Pivot Table'!$A$3,"State","MS","Category",4,"Category2","Four-Year")</f>
        <v>0</v>
      </c>
      <c r="K230" s="141">
        <f t="shared" si="23"/>
        <v>0</v>
      </c>
      <c r="L230" s="62">
        <f>+GETPIVOTDATA(" New All Ranks avg",'Averages Pivot Table'!$A$3,"State","MS","Category",4,"Category2","Four-Year")</f>
        <v>52702.439513351492</v>
      </c>
      <c r="M230" s="229">
        <f t="shared" si="24"/>
        <v>13</v>
      </c>
      <c r="N230" s="62"/>
      <c r="O230" s="237"/>
    </row>
    <row r="231" spans="1:15" ht="12.95" customHeight="1">
      <c r="A231" s="12" t="s">
        <v>550</v>
      </c>
      <c r="B231" s="62">
        <f>+GETPIVOTDATA(" New Prof avg",'Averages Pivot Table'!$A$3,"State","NC","Category",4,"Category2","Four-Year")</f>
        <v>88588.413880000007</v>
      </c>
      <c r="C231" s="141">
        <f t="shared" si="25"/>
        <v>2</v>
      </c>
      <c r="D231" s="62">
        <f>+GETPIVOTDATA(" New Asc. avg",'Averages Pivot Table'!$A$3,"State","NC","Category",4,"Category2","Four-Year")</f>
        <v>74270.747780000005</v>
      </c>
      <c r="E231" s="141">
        <f t="shared" si="25"/>
        <v>1</v>
      </c>
      <c r="F231" s="62">
        <f>+GETPIVOTDATA(" New Ast. avg",'Averages Pivot Table'!$A$3,"State","NC","Category",4,"Category2","Four-Year")</f>
        <v>65381.286548965516</v>
      </c>
      <c r="G231" s="141">
        <f t="shared" si="21"/>
        <v>1</v>
      </c>
      <c r="H231" s="62">
        <f>+GETPIVOTDATA(" New Inst. avg",'Averages Pivot Table'!$A$3,"State","NC","Category",4,"Category2","Four-Year")</f>
        <v>55164.951650000003</v>
      </c>
      <c r="I231" s="229">
        <f t="shared" si="22"/>
        <v>2</v>
      </c>
      <c r="J231" s="62">
        <f>+GETPIVOTDATA(" New Undesg. avg",'Averages Pivot Table'!$A$3,"State","NC","Category",4,"Category2","Four-Year")</f>
        <v>52226.273513207547</v>
      </c>
      <c r="K231" s="141">
        <f t="shared" si="23"/>
        <v>2</v>
      </c>
      <c r="L231" s="62">
        <f>+GETPIVOTDATA(" New All Ranks avg",'Averages Pivot Table'!$A$3,"State","NC","Category",4,"Category2","Four-Year")</f>
        <v>67612.353205882348</v>
      </c>
      <c r="M231" s="229">
        <f t="shared" si="24"/>
        <v>2</v>
      </c>
      <c r="N231" s="62"/>
      <c r="O231" s="237"/>
    </row>
    <row r="232" spans="1:15" ht="12.95" customHeight="1">
      <c r="A232" s="12" t="s">
        <v>551</v>
      </c>
      <c r="B232" s="62">
        <f>+GETPIVOTDATA(" New Prof avg",'Averages Pivot Table'!$A$3,"State","OK","Category",4,"Category2","Four-Year")</f>
        <v>0</v>
      </c>
      <c r="C232" s="141">
        <f t="shared" si="25"/>
        <v>0</v>
      </c>
      <c r="D232" s="62">
        <f>+GETPIVOTDATA(" New Asc. avg",'Averages Pivot Table'!$A$3,"State","OK","Category",4,"Category2","Four-Year")</f>
        <v>0</v>
      </c>
      <c r="E232" s="141">
        <f t="shared" si="25"/>
        <v>0</v>
      </c>
      <c r="F232" s="62">
        <f>+GETPIVOTDATA(" New Ast. avg",'Averages Pivot Table'!$A$3,"State","OK","Category",4,"Category2","Four-Year")</f>
        <v>0</v>
      </c>
      <c r="G232" s="141">
        <f t="shared" si="21"/>
        <v>0</v>
      </c>
      <c r="H232" s="62">
        <f>+GETPIVOTDATA(" New Inst. avg",'Averages Pivot Table'!$A$3,"State","OK","Category",4,"Category2","Four-Year")</f>
        <v>0</v>
      </c>
      <c r="I232" s="229">
        <f t="shared" si="22"/>
        <v>0</v>
      </c>
      <c r="J232" s="62">
        <f>+GETPIVOTDATA(" New Undesg. avg",'Averages Pivot Table'!$A$3,"State","OK","Category",4,"Category2","Four-Year")</f>
        <v>0</v>
      </c>
      <c r="K232" s="141">
        <f t="shared" si="23"/>
        <v>0</v>
      </c>
      <c r="L232" s="62">
        <f>+GETPIVOTDATA(" New All Ranks avg",'Averages Pivot Table'!$A$3,"State","OK","Category",4,"Category2","Four-Year")</f>
        <v>0</v>
      </c>
      <c r="M232" s="229">
        <f t="shared" si="24"/>
        <v>0</v>
      </c>
      <c r="N232" s="62"/>
      <c r="O232" s="237"/>
    </row>
    <row r="233" spans="1:15" ht="12.95" customHeight="1">
      <c r="A233" s="12" t="s">
        <v>552</v>
      </c>
      <c r="B233" s="62">
        <f>+GETPIVOTDATA(" New Prof avg",'Averages Pivot Table'!$A$3,"State","SC","Category",4,"Category2","Four-Year")</f>
        <v>79906.973105084748</v>
      </c>
      <c r="C233" s="141">
        <f t="shared" si="25"/>
        <v>8</v>
      </c>
      <c r="D233" s="62">
        <f>+GETPIVOTDATA(" New Asc. avg",'Averages Pivot Table'!$A$3,"State","SC","Category",4,"Category2","Four-Year")</f>
        <v>67693.509415384615</v>
      </c>
      <c r="E233" s="141">
        <f t="shared" si="25"/>
        <v>5</v>
      </c>
      <c r="F233" s="62">
        <f>+GETPIVOTDATA(" New Ast. avg",'Averages Pivot Table'!$A$3,"State","SC","Category",4,"Category2","Four-Year")</f>
        <v>54036</v>
      </c>
      <c r="G233" s="141">
        <f t="shared" si="21"/>
        <v>8</v>
      </c>
      <c r="H233" s="62">
        <f>+GETPIVOTDATA(" New Inst. avg",'Averages Pivot Table'!$A$3,"State","SC","Category",4,"Category2","Four-Year")</f>
        <v>0</v>
      </c>
      <c r="I233" s="229">
        <f t="shared" si="22"/>
        <v>0</v>
      </c>
      <c r="J233" s="62">
        <f>+GETPIVOTDATA(" New Undesg. avg",'Averages Pivot Table'!$A$3,"State","SC","Category",4,"Category2","Four-Year")</f>
        <v>0</v>
      </c>
      <c r="K233" s="141">
        <f t="shared" si="23"/>
        <v>0</v>
      </c>
      <c r="L233" s="62">
        <f>+GETPIVOTDATA(" New All Ranks avg",'Averages Pivot Table'!$A$3,"State","SC","Category",4,"Category2","Four-Year")</f>
        <v>66964.1959699422</v>
      </c>
      <c r="M233" s="229">
        <f t="shared" si="24"/>
        <v>4</v>
      </c>
      <c r="N233" s="62"/>
      <c r="O233" s="237"/>
    </row>
    <row r="234" spans="1:15" ht="12.95" customHeight="1">
      <c r="A234" s="12"/>
      <c r="B234" s="62"/>
      <c r="C234" s="141">
        <f t="shared" si="25"/>
        <v>0</v>
      </c>
      <c r="D234" s="62"/>
      <c r="E234" s="141">
        <f t="shared" si="25"/>
        <v>0</v>
      </c>
      <c r="F234" s="62"/>
      <c r="G234" s="141">
        <f t="shared" si="21"/>
        <v>0</v>
      </c>
      <c r="H234" s="62"/>
      <c r="I234" s="229">
        <f t="shared" si="22"/>
        <v>0</v>
      </c>
      <c r="J234" s="62"/>
      <c r="K234" s="141">
        <f t="shared" si="23"/>
        <v>0</v>
      </c>
      <c r="L234" s="62"/>
      <c r="M234" s="229">
        <f t="shared" si="24"/>
        <v>0</v>
      </c>
      <c r="N234" s="62"/>
      <c r="O234" s="237"/>
    </row>
    <row r="235" spans="1:15" ht="12.95" customHeight="1">
      <c r="A235" s="12" t="s">
        <v>553</v>
      </c>
      <c r="B235" s="140">
        <f>+GETPIVOTDATA(" New Prof avg",'Averages Pivot Table'!$A$3,"State","TN","Category",4,"Category2","Four-Year")</f>
        <v>73857.477156451612</v>
      </c>
      <c r="C235" s="141">
        <f t="shared" si="25"/>
        <v>12</v>
      </c>
      <c r="D235" s="140">
        <f>+GETPIVOTDATA(" New Asc. avg",'Averages Pivot Table'!$A$3,"State","TN","Category",4,"Category2","Four-Year")</f>
        <v>60916.197036842103</v>
      </c>
      <c r="E235" s="141">
        <f t="shared" si="25"/>
        <v>12</v>
      </c>
      <c r="F235" s="140">
        <f>+GETPIVOTDATA(" New Ast. avg",'Averages Pivot Table'!$A$3,"State","TN","Category",4,"Category2","Four-Year")</f>
        <v>48524.570808080804</v>
      </c>
      <c r="G235" s="141">
        <f t="shared" si="21"/>
        <v>14</v>
      </c>
      <c r="H235" s="140">
        <f>+GETPIVOTDATA(" New Inst. avg",'Averages Pivot Table'!$A$3,"State","TN","Category",4,"Category2","Four-Year")</f>
        <v>37052.701492537315</v>
      </c>
      <c r="I235" s="229">
        <f t="shared" si="22"/>
        <v>13</v>
      </c>
      <c r="J235" s="140">
        <f>+GETPIVOTDATA(" New Undesg. avg",'Averages Pivot Table'!$A$3,"State","TN","Category",4,"Category2","Four-Year")</f>
        <v>33373.4</v>
      </c>
      <c r="K235" s="141">
        <f t="shared" si="23"/>
        <v>10</v>
      </c>
      <c r="L235" s="140">
        <f>+GETPIVOTDATA(" New All Ranks avg",'Averages Pivot Table'!$A$3,"State","TN","Category",4,"Category2","Four-Year")</f>
        <v>59452.506424477622</v>
      </c>
      <c r="M235" s="229">
        <f t="shared" si="24"/>
        <v>11</v>
      </c>
      <c r="N235" s="62"/>
      <c r="O235" s="237"/>
    </row>
    <row r="236" spans="1:15" ht="12.95" customHeight="1">
      <c r="A236" s="12" t="s">
        <v>554</v>
      </c>
      <c r="B236" s="140">
        <f>+GETPIVOTDATA(" New Prof avg",'Averages Pivot Table'!$A$3,"State","TX","Category",4,"Category2","Four-Year")</f>
        <v>82650.921798148163</v>
      </c>
      <c r="C236" s="141">
        <f t="shared" si="25"/>
        <v>6</v>
      </c>
      <c r="D236" s="140">
        <f>+GETPIVOTDATA(" New Asc. avg",'Averages Pivot Table'!$A$3,"State","TX","Category",4,"Category2","Four-Year")</f>
        <v>65237.920113829787</v>
      </c>
      <c r="E236" s="141">
        <f t="shared" si="25"/>
        <v>8</v>
      </c>
      <c r="F236" s="140">
        <f>+GETPIVOTDATA(" New Ast. avg",'Averages Pivot Table'!$A$3,"State","TX","Category",4,"Category2","Four-Year")</f>
        <v>58189.617312863069</v>
      </c>
      <c r="G236" s="141">
        <f t="shared" si="21"/>
        <v>4</v>
      </c>
      <c r="H236" s="140">
        <f>+GETPIVOTDATA(" New Inst. avg",'Averages Pivot Table'!$A$3,"State","TX","Category",4,"Category2","Four-Year")</f>
        <v>49945.158854054054</v>
      </c>
      <c r="I236" s="229">
        <f t="shared" si="22"/>
        <v>4</v>
      </c>
      <c r="J236" s="140">
        <f>+GETPIVOTDATA(" New Undesg. avg",'Averages Pivot Table'!$A$3,"State","TX","Category",4,"Category2","Four-Year")</f>
        <v>42646.257714375999</v>
      </c>
      <c r="K236" s="141">
        <f t="shared" si="23"/>
        <v>6</v>
      </c>
      <c r="L236" s="140">
        <f>+GETPIVOTDATA(" New All Ranks avg",'Averages Pivot Table'!$A$3,"State","TX","Category",4,"Category2","Four-Year")</f>
        <v>60075.027889521218</v>
      </c>
      <c r="M236" s="229">
        <f t="shared" si="24"/>
        <v>10</v>
      </c>
      <c r="N236" s="62"/>
      <c r="O236" s="237"/>
    </row>
    <row r="237" spans="1:15" ht="12.95" customHeight="1">
      <c r="A237" s="12" t="s">
        <v>555</v>
      </c>
      <c r="B237" s="140">
        <f>+GETPIVOTDATA(" New Prof avg",'Averages Pivot Table'!$A$3,"State","VA","Category",4,"Category2","Four-Year")</f>
        <v>84257.621829761905</v>
      </c>
      <c r="C237" s="141">
        <f t="shared" si="25"/>
        <v>5</v>
      </c>
      <c r="D237" s="140">
        <f>+GETPIVOTDATA(" New Asc. avg",'Averages Pivot Table'!$A$3,"State","VA","Category",4,"Category2","Four-Year")</f>
        <v>69195.216666055043</v>
      </c>
      <c r="E237" s="141">
        <f t="shared" si="25"/>
        <v>4</v>
      </c>
      <c r="F237" s="140">
        <f>+GETPIVOTDATA(" New Ast. avg",'Averages Pivot Table'!$A$3,"State","VA","Category",4,"Category2","Four-Year")</f>
        <v>58748.683915867157</v>
      </c>
      <c r="G237" s="141">
        <f t="shared" si="21"/>
        <v>3</v>
      </c>
      <c r="H237" s="140">
        <f>+GETPIVOTDATA(" New Inst. avg",'Averages Pivot Table'!$A$3,"State","VA","Category",4,"Category2","Four-Year")</f>
        <v>48725.209903703704</v>
      </c>
      <c r="I237" s="229">
        <f t="shared" si="22"/>
        <v>5</v>
      </c>
      <c r="J237" s="140">
        <f>+GETPIVOTDATA(" New Undesg. avg",'Averages Pivot Table'!$A$3,"State","VA","Category",4,"Category2","Four-Year")</f>
        <v>0</v>
      </c>
      <c r="K237" s="141">
        <f t="shared" si="23"/>
        <v>0</v>
      </c>
      <c r="L237" s="140">
        <f>+GETPIVOTDATA(" New All Ranks avg",'Averages Pivot Table'!$A$3,"State","VA","Category",4,"Category2","Four-Year")</f>
        <v>65912.488511633986</v>
      </c>
      <c r="M237" s="229">
        <f t="shared" si="24"/>
        <v>5</v>
      </c>
      <c r="N237" s="62"/>
      <c r="O237" s="237"/>
    </row>
    <row r="238" spans="1:15" ht="12.95" customHeight="1">
      <c r="A238" s="11" t="s">
        <v>556</v>
      </c>
      <c r="B238" s="64">
        <f>+GETPIVOTDATA(" New Prof avg",'Averages Pivot Table'!$A$3,"State","WV","Category",4,"Category2","Four-Year")</f>
        <v>0</v>
      </c>
      <c r="C238" s="65">
        <f t="shared" si="25"/>
        <v>0</v>
      </c>
      <c r="D238" s="64">
        <f>+GETPIVOTDATA(" New Asc. avg",'Averages Pivot Table'!$A$3,"State","WV","Category",4,"Category2","Four-Year")</f>
        <v>0</v>
      </c>
      <c r="E238" s="65">
        <f t="shared" si="25"/>
        <v>0</v>
      </c>
      <c r="F238" s="64">
        <f>+GETPIVOTDATA(" New Ast. avg",'Averages Pivot Table'!$A$3,"State","WV","Category",4,"Category2","Four-Year")</f>
        <v>0</v>
      </c>
      <c r="G238" s="65">
        <f t="shared" si="21"/>
        <v>0</v>
      </c>
      <c r="H238" s="64">
        <f>+GETPIVOTDATA(" New Inst. avg",'Averages Pivot Table'!$A$3,"State","WV","Category",4,"Category2","Four-Year")</f>
        <v>0</v>
      </c>
      <c r="I238" s="230">
        <f t="shared" si="22"/>
        <v>0</v>
      </c>
      <c r="J238" s="64">
        <f>+GETPIVOTDATA(" New Undesg. avg",'Averages Pivot Table'!$A$3,"State","WV","Category",4,"Category2","Four-Year")</f>
        <v>0</v>
      </c>
      <c r="K238" s="65">
        <f t="shared" si="23"/>
        <v>0</v>
      </c>
      <c r="L238" s="64">
        <f>+GETPIVOTDATA(" New All Ranks avg",'Averages Pivot Table'!$A$3,"State","WV","Category",4,"Category2","Four-Year")</f>
        <v>0</v>
      </c>
      <c r="M238" s="230">
        <f t="shared" si="24"/>
        <v>0</v>
      </c>
      <c r="N238" s="62"/>
      <c r="O238" s="237"/>
    </row>
    <row r="239" spans="1:15" ht="30" customHeight="1">
      <c r="A239" s="506" t="s">
        <v>425</v>
      </c>
      <c r="B239" s="509"/>
      <c r="C239" s="509"/>
      <c r="D239" s="509"/>
      <c r="E239" s="509"/>
      <c r="F239" s="509"/>
      <c r="G239" s="509"/>
      <c r="H239" s="509"/>
      <c r="I239" s="509"/>
      <c r="J239" s="509"/>
      <c r="K239" s="509"/>
      <c r="L239" s="509"/>
      <c r="M239" s="509"/>
      <c r="N239" s="12"/>
      <c r="O239" s="243"/>
    </row>
    <row r="240" spans="1:15">
      <c r="M240" s="487" t="s">
        <v>1002</v>
      </c>
      <c r="O240" s="242"/>
    </row>
    <row r="241" spans="1:19" ht="18">
      <c r="A241" s="504" t="s">
        <v>572</v>
      </c>
      <c r="B241" s="504"/>
      <c r="C241" s="504"/>
      <c r="D241" s="504"/>
      <c r="E241" s="504"/>
      <c r="F241" s="504"/>
      <c r="G241" s="504"/>
      <c r="H241" s="504"/>
      <c r="I241" s="504"/>
      <c r="J241" s="504"/>
      <c r="K241" s="504"/>
      <c r="L241" s="504"/>
      <c r="M241" s="504"/>
      <c r="N241" s="180"/>
      <c r="O241" s="179"/>
    </row>
    <row r="242" spans="1:19">
      <c r="A242" s="23"/>
      <c r="B242" s="5"/>
      <c r="C242" s="5"/>
      <c r="D242" s="5"/>
      <c r="E242" s="5"/>
      <c r="F242" s="5"/>
      <c r="G242" s="5"/>
      <c r="H242" s="5"/>
      <c r="I242" s="172"/>
      <c r="J242" s="5"/>
      <c r="K242" s="5"/>
      <c r="L242" s="5"/>
      <c r="M242" s="172"/>
      <c r="N242" s="5"/>
      <c r="O242" s="172"/>
    </row>
    <row r="243" spans="1:19">
      <c r="A243" s="505" t="s">
        <v>557</v>
      </c>
      <c r="B243" s="505"/>
      <c r="C243" s="505"/>
      <c r="D243" s="505"/>
      <c r="E243" s="505"/>
      <c r="F243" s="505"/>
      <c r="G243" s="505"/>
      <c r="H243" s="505"/>
      <c r="I243" s="505"/>
      <c r="J243" s="505"/>
      <c r="K243" s="505"/>
      <c r="L243" s="505"/>
      <c r="M243" s="505"/>
      <c r="N243" s="191"/>
      <c r="O243" s="239"/>
    </row>
    <row r="244" spans="1:19">
      <c r="A244" s="505" t="s">
        <v>35</v>
      </c>
      <c r="B244" s="505"/>
      <c r="C244" s="505"/>
      <c r="D244" s="505"/>
      <c r="E244" s="505"/>
      <c r="F244" s="505"/>
      <c r="G244" s="505"/>
      <c r="H244" s="505"/>
      <c r="I244" s="505"/>
      <c r="J244" s="505"/>
      <c r="K244" s="505"/>
      <c r="L244" s="505"/>
      <c r="M244" s="505"/>
      <c r="N244" s="191"/>
      <c r="O244" s="239"/>
    </row>
    <row r="245" spans="1:19">
      <c r="A245" s="5"/>
      <c r="B245" s="5"/>
      <c r="C245" s="5"/>
      <c r="D245" s="5"/>
      <c r="E245" s="5"/>
      <c r="F245" s="5"/>
      <c r="G245" s="5"/>
      <c r="H245" s="5"/>
      <c r="I245" s="172"/>
      <c r="J245" s="5"/>
      <c r="K245" s="5"/>
      <c r="L245" s="5"/>
      <c r="M245" s="172"/>
      <c r="N245" s="63" t="s">
        <v>560</v>
      </c>
      <c r="O245" s="240"/>
    </row>
    <row r="246" spans="1:19" ht="31.5" customHeight="1">
      <c r="A246" s="15"/>
      <c r="B246" s="21" t="s">
        <v>435</v>
      </c>
      <c r="C246" s="22"/>
      <c r="D246" s="152" t="s">
        <v>436</v>
      </c>
      <c r="E246" s="153"/>
      <c r="F246" s="152" t="s">
        <v>437</v>
      </c>
      <c r="G246" s="153"/>
      <c r="H246" s="21" t="s">
        <v>438</v>
      </c>
      <c r="I246" s="253"/>
      <c r="J246" s="152" t="s">
        <v>584</v>
      </c>
      <c r="K246" s="153"/>
      <c r="L246" s="22" t="s">
        <v>415</v>
      </c>
      <c r="M246" s="253"/>
      <c r="N246" s="63" t="s">
        <v>560</v>
      </c>
      <c r="O246" s="240"/>
    </row>
    <row r="247" spans="1:19">
      <c r="A247" s="16"/>
      <c r="B247" s="19" t="s">
        <v>439</v>
      </c>
      <c r="C247" s="18" t="s">
        <v>530</v>
      </c>
      <c r="D247" s="19" t="s">
        <v>439</v>
      </c>
      <c r="E247" s="18" t="s">
        <v>530</v>
      </c>
      <c r="F247" s="19" t="s">
        <v>439</v>
      </c>
      <c r="G247" s="18" t="s">
        <v>530</v>
      </c>
      <c r="H247" s="19" t="s">
        <v>439</v>
      </c>
      <c r="I247" s="254" t="s">
        <v>530</v>
      </c>
      <c r="J247" s="19" t="s">
        <v>439</v>
      </c>
      <c r="K247" s="18" t="s">
        <v>530</v>
      </c>
      <c r="L247" s="19" t="s">
        <v>439</v>
      </c>
      <c r="M247" s="254" t="s">
        <v>530</v>
      </c>
      <c r="N247" s="63" t="s">
        <v>560</v>
      </c>
      <c r="O247" s="240"/>
    </row>
    <row r="248" spans="1:19" s="168" customFormat="1" ht="18" customHeight="1">
      <c r="A248" s="181" t="s">
        <v>559</v>
      </c>
      <c r="B248" s="185">
        <f>+GETPIVOTDATA(" New Prof avg",'Averages Pivot Table'!$A$3,"Category",5,"Category2","Four-Year")</f>
        <v>74885.944676761908</v>
      </c>
      <c r="C248" s="185"/>
      <c r="D248" s="185">
        <f>+GETPIVOTDATA(" New Asc. avg",'Averages Pivot Table'!$A$3,"Category",5,"Category2","Four-Year")</f>
        <v>63382.205269537488</v>
      </c>
      <c r="E248" s="185"/>
      <c r="F248" s="185">
        <f>+GETPIVOTDATA(" New Ast. avg",'Averages Pivot Table'!$A$3,"Category",5,"Category2","Four-Year")</f>
        <v>53178.318540029293</v>
      </c>
      <c r="G248" s="185"/>
      <c r="H248" s="185">
        <f>+GETPIVOTDATA(" New Inst. avg",'Averages Pivot Table'!$A$3,"Category",5,"Category2","Four-Year")</f>
        <v>42646.203018523884</v>
      </c>
      <c r="I248" s="257"/>
      <c r="J248" s="185">
        <f>+GETPIVOTDATA(" New Undesg. avg",'Averages Pivot Table'!$A$3,"Category",5,"Category2","Four-Year")</f>
        <v>43751.059058725761</v>
      </c>
      <c r="K248" s="185"/>
      <c r="L248" s="185">
        <f>+GETPIVOTDATA(" New All Ranks avg",'Averages Pivot Table'!$A$3,"Category",5,"Category2","Four-Year")</f>
        <v>57874.349344080241</v>
      </c>
      <c r="M248" s="260"/>
      <c r="N248" s="190"/>
      <c r="O248" s="252"/>
      <c r="Q248" s="209"/>
      <c r="R248" s="209"/>
      <c r="S248" s="209"/>
    </row>
    <row r="249" spans="1:19" ht="12.95" customHeight="1">
      <c r="A249" s="12"/>
      <c r="B249" s="9"/>
      <c r="C249" s="17"/>
      <c r="D249" s="9"/>
      <c r="E249" s="17"/>
      <c r="F249" s="9"/>
      <c r="G249" s="17"/>
      <c r="H249" s="9"/>
      <c r="I249" s="261"/>
      <c r="J249" s="9"/>
      <c r="K249" s="17"/>
      <c r="L249" s="9"/>
      <c r="M249" s="261"/>
      <c r="N249" s="9"/>
      <c r="O249" s="245"/>
    </row>
    <row r="250" spans="1:19" ht="12.95" customHeight="1">
      <c r="A250" s="12" t="s">
        <v>542</v>
      </c>
      <c r="B250" s="62">
        <f>+GETPIVOTDATA(" New Prof avg",'Averages Pivot Table'!$A$3,"State","AL","Category",5,"Category2","Four-Year")</f>
        <v>75028.204081632648</v>
      </c>
      <c r="C250" s="141">
        <f>IF(B250&gt;0,(RANK(B250,B$250:B$268)),0)</f>
        <v>4</v>
      </c>
      <c r="D250" s="62">
        <f>+GETPIVOTDATA(" New Asc. avg",'Averages Pivot Table'!$A$3,"State","AL","Category",5,"Category2","Four-Year")</f>
        <v>63191.91525423729</v>
      </c>
      <c r="E250" s="141">
        <f>IF(D250&gt;0,(RANK(D250,D$250:D$268)),0)</f>
        <v>5</v>
      </c>
      <c r="F250" s="62">
        <f>+GETPIVOTDATA(" New Ast. avg",'Averages Pivot Table'!$A$3,"State","AL","Category",5,"Category2","Four-Year")</f>
        <v>51298.413043478264</v>
      </c>
      <c r="G250" s="141">
        <f t="shared" ref="G250:G268" si="26">IF(F250&gt;0,(RANK(F250,F$250:F$268)),0)</f>
        <v>7</v>
      </c>
      <c r="H250" s="62">
        <f>+GETPIVOTDATA(" New Inst. avg",'Averages Pivot Table'!$A$3,"State","AL","Category",5,"Category2","Four-Year")</f>
        <v>39325.571428571428</v>
      </c>
      <c r="I250" s="229">
        <f t="shared" ref="I250:I268" si="27">IF(H250&gt;0,(RANK(H250,H$250:H$268)),0)</f>
        <v>11</v>
      </c>
      <c r="J250" s="62">
        <f>+GETPIVOTDATA(" New Undesg. avg",'Averages Pivot Table'!$A$3,"State","AL","Category",5,"Category2","Four-Year")</f>
        <v>27526.90150769231</v>
      </c>
      <c r="K250" s="141">
        <f t="shared" ref="K250:K268" si="28">IF(J250&gt;0,(RANK(J250,J$250:J$268)),0)</f>
        <v>8</v>
      </c>
      <c r="L250" s="62">
        <f>+GETPIVOTDATA(" New All Ranks avg",'Averages Pivot Table'!$A$3,"State","AL","Category",5,"Category2","Four-Year")</f>
        <v>56361.513359336095</v>
      </c>
      <c r="M250" s="229">
        <f t="shared" ref="M250:M268" si="29">IF(L250&gt;0,(RANK(L250,L$250:L$268)),0)</f>
        <v>6</v>
      </c>
      <c r="N250" s="62"/>
      <c r="O250" s="240"/>
    </row>
    <row r="251" spans="1:19" ht="12.95" customHeight="1">
      <c r="A251" s="12" t="s">
        <v>543</v>
      </c>
      <c r="B251" s="62">
        <f>+GETPIVOTDATA(" New Prof avg",'Averages Pivot Table'!$A$3,"State","AR","Category",5,"Category2","Four-Year")</f>
        <v>67135.709972093027</v>
      </c>
      <c r="C251" s="141">
        <f t="shared" ref="C251:E268" si="30">IF(B251&gt;0,(RANK(B251,B$250:B$268)),0)</f>
        <v>11</v>
      </c>
      <c r="D251" s="62">
        <f>+GETPIVOTDATA(" New Asc. avg",'Averages Pivot Table'!$A$3,"State","AR","Category",5,"Category2","Four-Year")</f>
        <v>56838.95250491803</v>
      </c>
      <c r="E251" s="141">
        <f t="shared" si="30"/>
        <v>9</v>
      </c>
      <c r="F251" s="62">
        <f>+GETPIVOTDATA(" New Ast. avg",'Averages Pivot Table'!$A$3,"State","AR","Category",5,"Category2","Four-Year")</f>
        <v>46647.192229958608</v>
      </c>
      <c r="G251" s="141">
        <f t="shared" si="26"/>
        <v>12</v>
      </c>
      <c r="H251" s="62">
        <f>+GETPIVOTDATA(" New Inst. avg",'Averages Pivot Table'!$A$3,"State","AR","Category",5,"Category2","Four-Year")</f>
        <v>39482.253211111114</v>
      </c>
      <c r="I251" s="229">
        <f t="shared" si="27"/>
        <v>10</v>
      </c>
      <c r="J251" s="62">
        <f>+GETPIVOTDATA(" New Undesg. avg",'Averages Pivot Table'!$A$3,"State","AR","Category",5,"Category2","Four-Year")</f>
        <v>34561.010244444442</v>
      </c>
      <c r="K251" s="141">
        <f t="shared" si="28"/>
        <v>7</v>
      </c>
      <c r="L251" s="62">
        <f>+GETPIVOTDATA(" New All Ranks avg",'Averages Pivot Table'!$A$3,"State","AR","Category",5,"Category2","Four-Year")</f>
        <v>48834.279676994731</v>
      </c>
      <c r="M251" s="229">
        <f t="shared" si="29"/>
        <v>12</v>
      </c>
      <c r="N251" s="62"/>
      <c r="O251" s="240"/>
    </row>
    <row r="252" spans="1:19" ht="12.95" customHeight="1">
      <c r="A252" s="12" t="s">
        <v>558</v>
      </c>
      <c r="B252" s="62">
        <f>+GETPIVOTDATA(" New Prof avg",'Averages Pivot Table'!$A$3,"State","DE","Category",5,"Category2","Four-Year")</f>
        <v>0</v>
      </c>
      <c r="C252" s="141">
        <f t="shared" si="30"/>
        <v>0</v>
      </c>
      <c r="D252" s="62">
        <f>+GETPIVOTDATA(" New Asc. avg",'Averages Pivot Table'!$A$3,"State","DE","Category",5,"Category2","Four-Year")</f>
        <v>0</v>
      </c>
      <c r="E252" s="141">
        <f t="shared" si="30"/>
        <v>0</v>
      </c>
      <c r="F252" s="62">
        <f>+GETPIVOTDATA(" New Ast. avg",'Averages Pivot Table'!$A$3,"State","DE","Category",5,"Category2","Four-Year")</f>
        <v>0</v>
      </c>
      <c r="G252" s="141">
        <f t="shared" si="26"/>
        <v>0</v>
      </c>
      <c r="H252" s="62">
        <f>+GETPIVOTDATA(" New Inst. avg",'Averages Pivot Table'!$A$3,"State","DE","Category",5,"Category2","Four-Year")</f>
        <v>0</v>
      </c>
      <c r="I252" s="229">
        <f t="shared" si="27"/>
        <v>0</v>
      </c>
      <c r="J252" s="62">
        <f>+GETPIVOTDATA(" New Undesg. avg",'Averages Pivot Table'!$A$3,"State","DE","Category",5,"Category2","Four-Year")</f>
        <v>0</v>
      </c>
      <c r="K252" s="141">
        <f t="shared" si="28"/>
        <v>0</v>
      </c>
      <c r="L252" s="62">
        <f>+GETPIVOTDATA(" New All Ranks avg",'Averages Pivot Table'!$A$3,"State","DE","Category",5,"Category2","Four-Year")</f>
        <v>0</v>
      </c>
      <c r="M252" s="229">
        <f t="shared" si="29"/>
        <v>0</v>
      </c>
      <c r="N252" s="62"/>
      <c r="O252" s="240"/>
    </row>
    <row r="253" spans="1:19" ht="12.95" customHeight="1">
      <c r="A253" s="12" t="s">
        <v>544</v>
      </c>
      <c r="B253" s="62">
        <f>+GETPIVOTDATA(" New Prof avg",'Averages Pivot Table'!$A$3,"State","FL","Category",5,"Category2","Four-Year")</f>
        <v>0</v>
      </c>
      <c r="C253" s="141">
        <f t="shared" si="30"/>
        <v>0</v>
      </c>
      <c r="D253" s="62">
        <f>+GETPIVOTDATA(" New Asc. avg",'Averages Pivot Table'!$A$3,"State","FL","Category",5,"Category2","Four-Year")</f>
        <v>0</v>
      </c>
      <c r="E253" s="141">
        <f t="shared" si="30"/>
        <v>0</v>
      </c>
      <c r="F253" s="62">
        <f>+GETPIVOTDATA(" New Ast. avg",'Averages Pivot Table'!$A$3,"State","FL","Category",5,"Category2","Four-Year")</f>
        <v>0</v>
      </c>
      <c r="G253" s="141">
        <f t="shared" si="26"/>
        <v>0</v>
      </c>
      <c r="H253" s="62">
        <f>+GETPIVOTDATA(" New Inst. avg",'Averages Pivot Table'!$A$3,"State","FL","Category",5,"Category2","Four-Year")</f>
        <v>0</v>
      </c>
      <c r="I253" s="229">
        <f t="shared" si="27"/>
        <v>0</v>
      </c>
      <c r="J253" s="62">
        <f>+GETPIVOTDATA(" New Undesg. avg",'Averages Pivot Table'!$A$3,"State","FL","Category",5,"Category2","Four-Year")</f>
        <v>0</v>
      </c>
      <c r="K253" s="141">
        <f t="shared" si="28"/>
        <v>0</v>
      </c>
      <c r="L253" s="62">
        <f>+GETPIVOTDATA(" New All Ranks avg",'Averages Pivot Table'!$A$3,"State","FL","Category",5,"Category2","Four-Year")</f>
        <v>0</v>
      </c>
      <c r="M253" s="229">
        <f t="shared" si="29"/>
        <v>0</v>
      </c>
      <c r="N253" s="62"/>
      <c r="O253" s="240"/>
    </row>
    <row r="254" spans="1:19" ht="12.95" customHeight="1">
      <c r="A254" s="12"/>
      <c r="B254" s="62"/>
      <c r="C254" s="141">
        <f t="shared" si="30"/>
        <v>0</v>
      </c>
      <c r="D254" s="62"/>
      <c r="E254" s="141">
        <f t="shared" si="30"/>
        <v>0</v>
      </c>
      <c r="F254" s="62"/>
      <c r="G254" s="141">
        <f t="shared" si="26"/>
        <v>0</v>
      </c>
      <c r="H254" s="62"/>
      <c r="I254" s="229">
        <f t="shared" si="27"/>
        <v>0</v>
      </c>
      <c r="J254" s="62"/>
      <c r="K254" s="141">
        <f t="shared" si="28"/>
        <v>0</v>
      </c>
      <c r="L254" s="62"/>
      <c r="M254" s="229">
        <f t="shared" si="29"/>
        <v>0</v>
      </c>
      <c r="N254" s="62"/>
      <c r="O254" s="240"/>
    </row>
    <row r="255" spans="1:19" ht="12.95" customHeight="1">
      <c r="A255" s="12" t="s">
        <v>545</v>
      </c>
      <c r="B255" s="62">
        <f>+GETPIVOTDATA(" New Prof avg",'Averages Pivot Table'!$A$3,"State","GA","Category",5,"Category2","Four-Year")</f>
        <v>73542.792621656059</v>
      </c>
      <c r="C255" s="141">
        <f t="shared" si="30"/>
        <v>6</v>
      </c>
      <c r="D255" s="62">
        <f>+GETPIVOTDATA(" New Asc. avg",'Averages Pivot Table'!$A$3,"State","GA","Category",5,"Category2","Four-Year")</f>
        <v>61054.113419487185</v>
      </c>
      <c r="E255" s="141">
        <f t="shared" si="30"/>
        <v>6</v>
      </c>
      <c r="F255" s="62">
        <f>+GETPIVOTDATA(" New Ast. avg",'Averages Pivot Table'!$A$3,"State","GA","Category",5,"Category2","Four-Year")</f>
        <v>51471.190689361705</v>
      </c>
      <c r="G255" s="141">
        <f t="shared" si="26"/>
        <v>6</v>
      </c>
      <c r="H255" s="62">
        <f>+GETPIVOTDATA(" New Inst. avg",'Averages Pivot Table'!$A$3,"State","GA","Category",5,"Category2","Four-Year")</f>
        <v>41129.88574888889</v>
      </c>
      <c r="I255" s="229">
        <f t="shared" si="27"/>
        <v>7</v>
      </c>
      <c r="J255" s="62">
        <f>+GETPIVOTDATA(" New Undesg. avg",'Averages Pivot Table'!$A$3,"State","GA","Category",5,"Category2","Four-Year")</f>
        <v>42530.210526315786</v>
      </c>
      <c r="K255" s="141">
        <f t="shared" si="28"/>
        <v>4</v>
      </c>
      <c r="L255" s="62">
        <f>+GETPIVOTDATA(" New All Ranks avg",'Averages Pivot Table'!$A$3,"State","GA","Category",5,"Category2","Four-Year")</f>
        <v>56829.817737468358</v>
      </c>
      <c r="M255" s="229">
        <f t="shared" si="29"/>
        <v>5</v>
      </c>
      <c r="N255" s="62"/>
      <c r="O255" s="240"/>
    </row>
    <row r="256" spans="1:19" ht="12.95" customHeight="1">
      <c r="A256" s="12" t="s">
        <v>546</v>
      </c>
      <c r="B256" s="62">
        <f>+GETPIVOTDATA(" New Prof avg",'Averages Pivot Table'!$A$3,"State","KY","Category",5,"Category2","Four-Year")</f>
        <v>72140.797095999995</v>
      </c>
      <c r="C256" s="141">
        <f t="shared" si="30"/>
        <v>7</v>
      </c>
      <c r="D256" s="62">
        <f>+GETPIVOTDATA(" New Asc. avg",'Averages Pivot Table'!$A$3,"State","KY","Category",5,"Category2","Four-Year")</f>
        <v>60081.846426315788</v>
      </c>
      <c r="E256" s="141">
        <f t="shared" si="30"/>
        <v>7</v>
      </c>
      <c r="F256" s="62">
        <f>+GETPIVOTDATA(" New Ast. avg",'Averages Pivot Table'!$A$3,"State","KY","Category",5,"Category2","Four-Year")</f>
        <v>49795.379569230769</v>
      </c>
      <c r="G256" s="141">
        <f t="shared" si="26"/>
        <v>8</v>
      </c>
      <c r="H256" s="62">
        <f>+GETPIVOTDATA(" New Inst. avg",'Averages Pivot Table'!$A$3,"State","KY","Category",5,"Category2","Four-Year")</f>
        <v>40702.520649999999</v>
      </c>
      <c r="I256" s="229">
        <f t="shared" si="27"/>
        <v>9</v>
      </c>
      <c r="J256" s="62">
        <f>+GETPIVOTDATA(" New Undesg. avg",'Averages Pivot Table'!$A$3,"State","KY","Category",5,"Category2","Four-Year")</f>
        <v>0</v>
      </c>
      <c r="K256" s="141">
        <f t="shared" si="28"/>
        <v>0</v>
      </c>
      <c r="L256" s="62">
        <f>+GETPIVOTDATA(" New All Ranks avg",'Averages Pivot Table'!$A$3,"State","KY","Category",5,"Category2","Four-Year")</f>
        <v>55933.054653435123</v>
      </c>
      <c r="M256" s="229">
        <f t="shared" si="29"/>
        <v>7</v>
      </c>
      <c r="N256" s="62"/>
      <c r="O256" s="240"/>
    </row>
    <row r="257" spans="1:15" ht="12.95" customHeight="1">
      <c r="A257" s="12" t="s">
        <v>547</v>
      </c>
      <c r="B257" s="62">
        <f>+GETPIVOTDATA(" New Prof avg",'Averages Pivot Table'!$A$3,"State","LA","Category",5,"Category2","Four-Year")</f>
        <v>67678.065569230763</v>
      </c>
      <c r="C257" s="141">
        <f t="shared" si="30"/>
        <v>10</v>
      </c>
      <c r="D257" s="62">
        <f>+GETPIVOTDATA(" New Asc. avg",'Averages Pivot Table'!$A$3,"State","LA","Category",5,"Category2","Four-Year")</f>
        <v>54696.039999999994</v>
      </c>
      <c r="E257" s="141">
        <f t="shared" si="30"/>
        <v>11</v>
      </c>
      <c r="F257" s="62">
        <f>+GETPIVOTDATA(" New Ast. avg",'Averages Pivot Table'!$A$3,"State","LA","Category",5,"Category2","Four-Year")</f>
        <v>46978.299909433968</v>
      </c>
      <c r="G257" s="141">
        <f t="shared" si="26"/>
        <v>11</v>
      </c>
      <c r="H257" s="62">
        <f>+GETPIVOTDATA(" New Inst. avg",'Averages Pivot Table'!$A$3,"State","LA","Category",5,"Category2","Four-Year")</f>
        <v>35021.074999999997</v>
      </c>
      <c r="I257" s="229">
        <f t="shared" si="27"/>
        <v>12</v>
      </c>
      <c r="J257" s="62">
        <f>+GETPIVOTDATA(" New Undesg. avg",'Averages Pivot Table'!$A$3,"State","LA","Category",5,"Category2","Four-Year")</f>
        <v>0</v>
      </c>
      <c r="K257" s="141">
        <f t="shared" si="28"/>
        <v>0</v>
      </c>
      <c r="L257" s="62">
        <f>+GETPIVOTDATA(" New All Ranks avg",'Averages Pivot Table'!$A$3,"State","LA","Category",5,"Category2","Four-Year")</f>
        <v>51474.082905050505</v>
      </c>
      <c r="M257" s="229">
        <f t="shared" si="29"/>
        <v>10</v>
      </c>
      <c r="N257" s="62"/>
      <c r="O257" s="240"/>
    </row>
    <row r="258" spans="1:15" ht="12.95" customHeight="1">
      <c r="A258" s="12" t="s">
        <v>548</v>
      </c>
      <c r="B258" s="62">
        <f>+GETPIVOTDATA(" New Prof avg",'Averages Pivot Table'!$A$3,"State","MD","Category",5,"Category2","Four-Year")</f>
        <v>0</v>
      </c>
      <c r="C258" s="141">
        <f t="shared" si="30"/>
        <v>0</v>
      </c>
      <c r="D258" s="62">
        <f>+GETPIVOTDATA(" New Asc. avg",'Averages Pivot Table'!$A$3,"State","MD","Category",5,"Category2","Four-Year")</f>
        <v>0</v>
      </c>
      <c r="E258" s="141">
        <f t="shared" si="30"/>
        <v>0</v>
      </c>
      <c r="F258" s="62">
        <f>+GETPIVOTDATA(" New Ast. avg",'Averages Pivot Table'!$A$3,"State","MD","Category",5,"Category2","Four-Year")</f>
        <v>0</v>
      </c>
      <c r="G258" s="141">
        <f t="shared" si="26"/>
        <v>0</v>
      </c>
      <c r="H258" s="62">
        <f>+GETPIVOTDATA(" New Inst. avg",'Averages Pivot Table'!$A$3,"State","MD","Category",5,"Category2","Four-Year")</f>
        <v>0</v>
      </c>
      <c r="I258" s="229">
        <f t="shared" si="27"/>
        <v>0</v>
      </c>
      <c r="J258" s="62">
        <f>+GETPIVOTDATA(" New Undesg. avg",'Averages Pivot Table'!$A$3,"State","MD","Category",5,"Category2","Four-Year")</f>
        <v>0</v>
      </c>
      <c r="K258" s="141">
        <f t="shared" si="28"/>
        <v>0</v>
      </c>
      <c r="L258" s="62">
        <f>+GETPIVOTDATA(" New All Ranks avg",'Averages Pivot Table'!$A$3,"State","MD","Category",5,"Category2","Four-Year")</f>
        <v>0</v>
      </c>
      <c r="M258" s="229">
        <f t="shared" si="29"/>
        <v>0</v>
      </c>
      <c r="N258" s="62"/>
      <c r="O258" s="240"/>
    </row>
    <row r="259" spans="1:15" ht="12.95" customHeight="1">
      <c r="A259" s="12"/>
      <c r="B259" s="62"/>
      <c r="C259" s="141">
        <f t="shared" si="30"/>
        <v>0</v>
      </c>
      <c r="D259" s="62"/>
      <c r="E259" s="141">
        <f t="shared" si="30"/>
        <v>0</v>
      </c>
      <c r="F259" s="62"/>
      <c r="G259" s="141">
        <f t="shared" si="26"/>
        <v>0</v>
      </c>
      <c r="H259" s="62"/>
      <c r="I259" s="229">
        <f t="shared" si="27"/>
        <v>0</v>
      </c>
      <c r="J259" s="62"/>
      <c r="K259" s="141">
        <f t="shared" si="28"/>
        <v>0</v>
      </c>
      <c r="L259" s="62"/>
      <c r="M259" s="229">
        <f t="shared" si="29"/>
        <v>0</v>
      </c>
      <c r="N259" s="62"/>
      <c r="O259" s="240"/>
    </row>
    <row r="260" spans="1:15" ht="12.95" customHeight="1">
      <c r="A260" s="12" t="s">
        <v>549</v>
      </c>
      <c r="B260" s="62">
        <f>+GETPIVOTDATA(" New Prof avg",'Averages Pivot Table'!$A$3,"State","MS","Category",5,"Category2","Four-Year")</f>
        <v>58333.702468085103</v>
      </c>
      <c r="C260" s="141">
        <f t="shared" si="30"/>
        <v>12</v>
      </c>
      <c r="D260" s="62">
        <f>+GETPIVOTDATA(" New Asc. avg",'Averages Pivot Table'!$A$3,"State","MS","Category",5,"Category2","Four-Year")</f>
        <v>54928.940926315787</v>
      </c>
      <c r="E260" s="141">
        <f t="shared" si="30"/>
        <v>10</v>
      </c>
      <c r="F260" s="62">
        <f>+GETPIVOTDATA(" New Ast. avg",'Averages Pivot Table'!$A$3,"State","MS","Category",5,"Category2","Four-Year")</f>
        <v>48318.274491743119</v>
      </c>
      <c r="G260" s="141">
        <f t="shared" si="26"/>
        <v>10</v>
      </c>
      <c r="H260" s="62">
        <f>+GETPIVOTDATA(" New Inst. avg",'Averages Pivot Table'!$A$3,"State","MS","Category",5,"Category2","Four-Year")</f>
        <v>44966.408815189876</v>
      </c>
      <c r="I260" s="229">
        <f t="shared" si="27"/>
        <v>4</v>
      </c>
      <c r="J260" s="62">
        <f>+GETPIVOTDATA(" New Undesg. avg",'Averages Pivot Table'!$A$3,"State","MS","Category",5,"Category2","Four-Year")</f>
        <v>0</v>
      </c>
      <c r="K260" s="141">
        <f t="shared" si="28"/>
        <v>0</v>
      </c>
      <c r="L260" s="62">
        <f>+GETPIVOTDATA(" New All Ranks avg",'Averages Pivot Table'!$A$3,"State","MS","Category",5,"Category2","Four-Year")</f>
        <v>49992.754531868137</v>
      </c>
      <c r="M260" s="229">
        <f t="shared" si="29"/>
        <v>11</v>
      </c>
      <c r="N260" s="62"/>
      <c r="O260" s="240"/>
    </row>
    <row r="261" spans="1:15" ht="12.95" customHeight="1">
      <c r="A261" s="12" t="s">
        <v>550</v>
      </c>
      <c r="B261" s="62">
        <f>+GETPIVOTDATA(" New Prof avg",'Averages Pivot Table'!$A$3,"State","NC","Category",5,"Category2","Four-Year")</f>
        <v>86993.204086363636</v>
      </c>
      <c r="C261" s="141">
        <f t="shared" si="30"/>
        <v>1</v>
      </c>
      <c r="D261" s="62">
        <f>+GETPIVOTDATA(" New Asc. avg",'Averages Pivot Table'!$A$3,"State","NC","Category",5,"Category2","Four-Year")</f>
        <v>72953.373242937843</v>
      </c>
      <c r="E261" s="141">
        <f t="shared" si="30"/>
        <v>1</v>
      </c>
      <c r="F261" s="62">
        <f>+GETPIVOTDATA(" New Ast. avg",'Averages Pivot Table'!$A$3,"State","NC","Category",5,"Category2","Four-Year")</f>
        <v>63334.507606956526</v>
      </c>
      <c r="G261" s="141">
        <f t="shared" si="26"/>
        <v>1</v>
      </c>
      <c r="H261" s="62">
        <f>+GETPIVOTDATA(" New Inst. avg",'Averages Pivot Table'!$A$3,"State","NC","Category",5,"Category2","Four-Year")</f>
        <v>58533.43008888889</v>
      </c>
      <c r="I261" s="229">
        <f t="shared" si="27"/>
        <v>1</v>
      </c>
      <c r="J261" s="62">
        <f>+GETPIVOTDATA(" New Undesg. avg",'Averages Pivot Table'!$A$3,"State","NC","Category",5,"Category2","Four-Year")</f>
        <v>51539.64972653061</v>
      </c>
      <c r="K261" s="141">
        <f t="shared" si="28"/>
        <v>1</v>
      </c>
      <c r="L261" s="62">
        <f>+GETPIVOTDATA(" New All Ranks avg",'Averages Pivot Table'!$A$3,"State","NC","Category",5,"Category2","Four-Year")</f>
        <v>67238.751875357717</v>
      </c>
      <c r="M261" s="229">
        <f t="shared" si="29"/>
        <v>1</v>
      </c>
      <c r="N261" s="62"/>
      <c r="O261" s="240"/>
    </row>
    <row r="262" spans="1:15" ht="12.95" customHeight="1">
      <c r="A262" s="12" t="s">
        <v>551</v>
      </c>
      <c r="B262" s="62">
        <f>+GETPIVOTDATA(" New Prof avg",'Averages Pivot Table'!$A$3,"State","OK","Category",5,"Category2","Four-Year")</f>
        <v>71824.613230917879</v>
      </c>
      <c r="C262" s="141">
        <f t="shared" si="30"/>
        <v>9</v>
      </c>
      <c r="D262" s="62">
        <f>+GETPIVOTDATA(" New Asc. avg",'Averages Pivot Table'!$A$3,"State","OK","Category",5,"Category2","Four-Year")</f>
        <v>58988.472676646714</v>
      </c>
      <c r="E262" s="141">
        <f t="shared" si="30"/>
        <v>8</v>
      </c>
      <c r="F262" s="62">
        <f>+GETPIVOTDATA(" New Ast. avg",'Averages Pivot Table'!$A$3,"State","OK","Category",5,"Category2","Four-Year")</f>
        <v>48972.292287857141</v>
      </c>
      <c r="G262" s="141">
        <f t="shared" si="26"/>
        <v>9</v>
      </c>
      <c r="H262" s="62">
        <f>+GETPIVOTDATA(" New Inst. avg",'Averages Pivot Table'!$A$3,"State","OK","Category",5,"Category2","Four-Year")</f>
        <v>40933.408392340425</v>
      </c>
      <c r="I262" s="229">
        <f t="shared" si="27"/>
        <v>8</v>
      </c>
      <c r="J262" s="62">
        <f>+GETPIVOTDATA(" New Undesg. avg",'Averages Pivot Table'!$A$3,"State","OK","Category",5,"Category2","Four-Year")</f>
        <v>0</v>
      </c>
      <c r="K262" s="141">
        <f t="shared" si="28"/>
        <v>0</v>
      </c>
      <c r="L262" s="62">
        <f>+GETPIVOTDATA(" New All Ranks avg",'Averages Pivot Table'!$A$3,"State","OK","Category",5,"Category2","Four-Year")</f>
        <v>54049.901786951625</v>
      </c>
      <c r="M262" s="229">
        <f t="shared" si="29"/>
        <v>9</v>
      </c>
      <c r="N262" s="62"/>
      <c r="O262" s="240"/>
    </row>
    <row r="263" spans="1:15" ht="12.95" customHeight="1">
      <c r="A263" s="12" t="s">
        <v>552</v>
      </c>
      <c r="B263" s="62">
        <f>+GETPIVOTDATA(" New Prof avg",'Averages Pivot Table'!$A$3,"State","SC","Category",5,"Category2","Four-Year")</f>
        <v>74694.232409248565</v>
      </c>
      <c r="C263" s="141">
        <f t="shared" si="30"/>
        <v>5</v>
      </c>
      <c r="D263" s="62">
        <f>+GETPIVOTDATA(" New Asc. avg",'Averages Pivot Table'!$A$3,"State","SC","Category",5,"Category2","Four-Year")</f>
        <v>63251.123544791662</v>
      </c>
      <c r="E263" s="141">
        <f t="shared" si="30"/>
        <v>4</v>
      </c>
      <c r="F263" s="62">
        <f>+GETPIVOTDATA(" New Ast. avg",'Averages Pivot Table'!$A$3,"State","SC","Category",5,"Category2","Four-Year")</f>
        <v>54531.547295043725</v>
      </c>
      <c r="G263" s="141">
        <f t="shared" si="26"/>
        <v>3</v>
      </c>
      <c r="H263" s="62">
        <f>+GETPIVOTDATA(" New Inst. avg",'Averages Pivot Table'!$A$3,"State","SC","Category",5,"Category2","Four-Year")</f>
        <v>42877.150037777777</v>
      </c>
      <c r="I263" s="229">
        <f t="shared" si="27"/>
        <v>6</v>
      </c>
      <c r="J263" s="62">
        <f>+GETPIVOTDATA(" New Undesg. avg",'Averages Pivot Table'!$A$3,"State","SC","Category",5,"Category2","Four-Year")</f>
        <v>38707.568120689655</v>
      </c>
      <c r="K263" s="141">
        <f t="shared" si="28"/>
        <v>6</v>
      </c>
      <c r="L263" s="62">
        <f>+GETPIVOTDATA(" New All Ranks avg",'Averages Pivot Table'!$A$3,"State","SC","Category",5,"Category2","Four-Year")</f>
        <v>58264.744280373823</v>
      </c>
      <c r="M263" s="229">
        <f t="shared" si="29"/>
        <v>4</v>
      </c>
      <c r="N263" s="62"/>
      <c r="O263" s="240"/>
    </row>
    <row r="264" spans="1:15" ht="12.95" customHeight="1">
      <c r="A264" s="12"/>
      <c r="B264" s="62"/>
      <c r="C264" s="141">
        <f t="shared" si="30"/>
        <v>0</v>
      </c>
      <c r="D264" s="62"/>
      <c r="E264" s="141">
        <f t="shared" si="30"/>
        <v>0</v>
      </c>
      <c r="F264" s="62"/>
      <c r="G264" s="141">
        <f t="shared" si="26"/>
        <v>0</v>
      </c>
      <c r="H264" s="62"/>
      <c r="I264" s="229">
        <f t="shared" si="27"/>
        <v>0</v>
      </c>
      <c r="J264" s="62"/>
      <c r="K264" s="141">
        <f t="shared" si="28"/>
        <v>0</v>
      </c>
      <c r="L264" s="62"/>
      <c r="M264" s="229">
        <f t="shared" si="29"/>
        <v>0</v>
      </c>
      <c r="N264" s="62"/>
      <c r="O264" s="240"/>
    </row>
    <row r="265" spans="1:15" ht="12.95" customHeight="1">
      <c r="A265" s="12" t="s">
        <v>553</v>
      </c>
      <c r="B265" s="140">
        <f>+GETPIVOTDATA(" New Prof avg",'Averages Pivot Table'!$A$3,"State","TN","Category",5,"Category2","Four-Year")</f>
        <v>72108.984286486491</v>
      </c>
      <c r="C265" s="141">
        <f t="shared" si="30"/>
        <v>8</v>
      </c>
      <c r="D265" s="140">
        <f>+GETPIVOTDATA(" New Asc. avg",'Averages Pivot Table'!$A$3,"State","TN","Category",5,"Category2","Four-Year")</f>
        <v>54423.380512820506</v>
      </c>
      <c r="E265" s="141">
        <f t="shared" si="30"/>
        <v>12</v>
      </c>
      <c r="F265" s="140">
        <f>+GETPIVOTDATA(" New Ast. avg",'Averages Pivot Table'!$A$3,"State","TN","Category",5,"Category2","Four-Year")</f>
        <v>53194.083625287356</v>
      </c>
      <c r="G265" s="141">
        <f t="shared" si="26"/>
        <v>5</v>
      </c>
      <c r="H265" s="140">
        <f>+GETPIVOTDATA(" New Inst. avg",'Averages Pivot Table'!$A$3,"State","TN","Category",5,"Category2","Four-Year")</f>
        <v>43999.480041666662</v>
      </c>
      <c r="I265" s="229">
        <f t="shared" si="27"/>
        <v>5</v>
      </c>
      <c r="J265" s="140">
        <f>+GETPIVOTDATA(" New Undesg. avg",'Averages Pivot Table'!$A$3,"State","TN","Category",5,"Category2","Four-Year")</f>
        <v>39375</v>
      </c>
      <c r="K265" s="141">
        <f t="shared" si="28"/>
        <v>5</v>
      </c>
      <c r="L265" s="140">
        <f>+GETPIVOTDATA(" New All Ranks avg",'Averages Pivot Table'!$A$3,"State","TN","Category",5,"Category2","Four-Year")</f>
        <v>55503.5428119403</v>
      </c>
      <c r="M265" s="229">
        <f t="shared" si="29"/>
        <v>8</v>
      </c>
      <c r="N265" s="62"/>
      <c r="O265" s="240"/>
    </row>
    <row r="266" spans="1:15" ht="12.95" customHeight="1">
      <c r="A266" s="12" t="s">
        <v>554</v>
      </c>
      <c r="B266" s="140">
        <f>+GETPIVOTDATA(" New Prof avg",'Averages Pivot Table'!$A$3,"State","TX","Category",5,"Category2","Four-Year")</f>
        <v>85912.91413125</v>
      </c>
      <c r="C266" s="141">
        <f t="shared" si="30"/>
        <v>2</v>
      </c>
      <c r="D266" s="140">
        <f>+GETPIVOTDATA(" New Asc. avg",'Averages Pivot Table'!$A$3,"State","TX","Category",5,"Category2","Four-Year")</f>
        <v>70284.287859322023</v>
      </c>
      <c r="E266" s="141">
        <f t="shared" si="30"/>
        <v>2</v>
      </c>
      <c r="F266" s="140">
        <f>+GETPIVOTDATA(" New Ast. avg",'Averages Pivot Table'!$A$3,"State","TX","Category",5,"Category2","Four-Year")</f>
        <v>58873.796747967477</v>
      </c>
      <c r="G266" s="141">
        <f t="shared" si="26"/>
        <v>2</v>
      </c>
      <c r="H266" s="140">
        <f>+GETPIVOTDATA(" New Inst. avg",'Averages Pivot Table'!$A$3,"State","TX","Category",5,"Category2","Four-Year")</f>
        <v>48478.166666666664</v>
      </c>
      <c r="I266" s="229">
        <f t="shared" si="27"/>
        <v>3</v>
      </c>
      <c r="J266" s="140">
        <f>+GETPIVOTDATA(" New Undesg. avg",'Averages Pivot Table'!$A$3,"State","TX","Category",5,"Category2","Four-Year")</f>
        <v>45367.356893103446</v>
      </c>
      <c r="K266" s="141">
        <f t="shared" si="28"/>
        <v>3</v>
      </c>
      <c r="L266" s="140">
        <f>+GETPIVOTDATA(" New All Ranks avg",'Averages Pivot Table'!$A$3,"State","TX","Category",5,"Category2","Four-Year")</f>
        <v>64920.39341897019</v>
      </c>
      <c r="M266" s="229">
        <f t="shared" si="29"/>
        <v>2</v>
      </c>
      <c r="N266" s="62"/>
      <c r="O266" s="240"/>
    </row>
    <row r="267" spans="1:15" ht="12.95" customHeight="1">
      <c r="A267" s="12" t="s">
        <v>555</v>
      </c>
      <c r="B267" s="140">
        <f>+GETPIVOTDATA(" New Prof avg",'Averages Pivot Table'!$A$3,"State","VA","Category",5,"Category2","Four-Year")</f>
        <v>80146.333614545452</v>
      </c>
      <c r="C267" s="141">
        <f t="shared" si="30"/>
        <v>3</v>
      </c>
      <c r="D267" s="140">
        <f>+GETPIVOTDATA(" New Asc. avg",'Averages Pivot Table'!$A$3,"State","VA","Category",5,"Category2","Four-Year")</f>
        <v>64535.770070921986</v>
      </c>
      <c r="E267" s="141">
        <f t="shared" si="30"/>
        <v>3</v>
      </c>
      <c r="F267" s="140">
        <f>+GETPIVOTDATA(" New Ast. avg",'Averages Pivot Table'!$A$3,"State","VA","Category",5,"Category2","Four-Year")</f>
        <v>53781.825970860926</v>
      </c>
      <c r="G267" s="141">
        <f t="shared" si="26"/>
        <v>4</v>
      </c>
      <c r="H267" s="140">
        <f>+GETPIVOTDATA(" New Inst. avg",'Averages Pivot Table'!$A$3,"State","VA","Category",5,"Category2","Four-Year")</f>
        <v>49724.811872727281</v>
      </c>
      <c r="I267" s="229">
        <f t="shared" si="27"/>
        <v>2</v>
      </c>
      <c r="J267" s="140">
        <f>+GETPIVOTDATA(" New Undesg. avg",'Averages Pivot Table'!$A$3,"State","VA","Category",5,"Category2","Four-Year")</f>
        <v>46257.5</v>
      </c>
      <c r="K267" s="141">
        <f t="shared" si="28"/>
        <v>2</v>
      </c>
      <c r="L267" s="140">
        <f>+GETPIVOTDATA(" New All Ranks avg",'Averages Pivot Table'!$A$3,"State","VA","Category",5,"Category2","Four-Year")</f>
        <v>62623.630043326033</v>
      </c>
      <c r="M267" s="229">
        <f t="shared" si="29"/>
        <v>3</v>
      </c>
      <c r="N267" s="62"/>
      <c r="O267" s="237"/>
    </row>
    <row r="268" spans="1:15" ht="12.95" customHeight="1">
      <c r="A268" s="11" t="s">
        <v>556</v>
      </c>
      <c r="B268" s="64">
        <f>+GETPIVOTDATA(" New Prof avg",'Averages Pivot Table'!$A$3,"State","WV","Category",5,"Category2","Four-Year")</f>
        <v>0</v>
      </c>
      <c r="C268" s="65">
        <f t="shared" si="30"/>
        <v>0</v>
      </c>
      <c r="D268" s="64">
        <f>+GETPIVOTDATA(" New Asc. avg",'Averages Pivot Table'!$A$3,"State","WV","Category",5,"Category2","Four-Year")</f>
        <v>0</v>
      </c>
      <c r="E268" s="65">
        <f t="shared" si="30"/>
        <v>0</v>
      </c>
      <c r="F268" s="64">
        <f>+GETPIVOTDATA(" New Ast. avg",'Averages Pivot Table'!$A$3,"State","WV","Category",5,"Category2","Four-Year")</f>
        <v>0</v>
      </c>
      <c r="G268" s="65">
        <f t="shared" si="26"/>
        <v>0</v>
      </c>
      <c r="H268" s="64">
        <f>+GETPIVOTDATA(" New Inst. avg",'Averages Pivot Table'!$A$3,"State","WV","Category",5,"Category2","Four-Year")</f>
        <v>0</v>
      </c>
      <c r="I268" s="230">
        <f t="shared" si="27"/>
        <v>0</v>
      </c>
      <c r="J268" s="64">
        <f>+GETPIVOTDATA(" New Undesg. avg",'Averages Pivot Table'!$A$3,"State","WV","Category",5,"Category2","Four-Year")</f>
        <v>0</v>
      </c>
      <c r="K268" s="65">
        <f t="shared" si="28"/>
        <v>0</v>
      </c>
      <c r="L268" s="64">
        <f>+GETPIVOTDATA(" New All Ranks avg",'Averages Pivot Table'!$A$3,"State","WV","Category",5,"Category2","Four-Year")</f>
        <v>0</v>
      </c>
      <c r="M268" s="230">
        <f t="shared" si="29"/>
        <v>0</v>
      </c>
      <c r="N268" s="62"/>
      <c r="O268" s="237"/>
    </row>
    <row r="269" spans="1:15" ht="30" customHeight="1">
      <c r="A269" s="506" t="s">
        <v>425</v>
      </c>
      <c r="B269" s="509"/>
      <c r="C269" s="509"/>
      <c r="D269" s="509"/>
      <c r="E269" s="509"/>
      <c r="F269" s="509"/>
      <c r="G269" s="509"/>
      <c r="H269" s="509"/>
      <c r="I269" s="509"/>
      <c r="J269" s="509"/>
      <c r="K269" s="509"/>
      <c r="L269" s="509"/>
      <c r="M269" s="509"/>
      <c r="N269" s="12"/>
      <c r="O269" s="243"/>
    </row>
    <row r="270" spans="1:15">
      <c r="M270" s="487" t="s">
        <v>1000</v>
      </c>
      <c r="O270" s="242"/>
    </row>
    <row r="271" spans="1:15" ht="18">
      <c r="A271" s="504" t="s">
        <v>573</v>
      </c>
      <c r="B271" s="504"/>
      <c r="C271" s="504"/>
      <c r="D271" s="504"/>
      <c r="E271" s="504"/>
      <c r="F271" s="504"/>
      <c r="G271" s="504"/>
      <c r="H271" s="504"/>
      <c r="I271" s="504"/>
      <c r="J271" s="504"/>
      <c r="K271" s="504"/>
      <c r="L271" s="504"/>
      <c r="M271" s="504"/>
      <c r="N271" s="180"/>
      <c r="O271" s="179"/>
    </row>
    <row r="272" spans="1:15">
      <c r="A272" s="23"/>
      <c r="B272" s="5"/>
      <c r="C272" s="5"/>
      <c r="D272" s="5"/>
      <c r="E272" s="5"/>
      <c r="F272" s="5"/>
      <c r="G272" s="5"/>
      <c r="H272" s="5"/>
      <c r="I272" s="172"/>
      <c r="J272" s="5"/>
      <c r="K272" s="5"/>
      <c r="L272" s="5"/>
      <c r="M272" s="172"/>
      <c r="N272" s="5"/>
      <c r="O272" s="172"/>
    </row>
    <row r="273" spans="1:19">
      <c r="A273" s="505" t="s">
        <v>557</v>
      </c>
      <c r="B273" s="505"/>
      <c r="C273" s="505"/>
      <c r="D273" s="505"/>
      <c r="E273" s="505"/>
      <c r="F273" s="505"/>
      <c r="G273" s="505"/>
      <c r="H273" s="505"/>
      <c r="I273" s="505"/>
      <c r="J273" s="505"/>
      <c r="K273" s="505"/>
      <c r="L273" s="505"/>
      <c r="M273" s="505"/>
      <c r="N273" s="191"/>
      <c r="O273" s="239"/>
    </row>
    <row r="274" spans="1:19">
      <c r="A274" s="505" t="s">
        <v>36</v>
      </c>
      <c r="B274" s="505"/>
      <c r="C274" s="505"/>
      <c r="D274" s="505"/>
      <c r="E274" s="505"/>
      <c r="F274" s="505"/>
      <c r="G274" s="505"/>
      <c r="H274" s="505"/>
      <c r="I274" s="505"/>
      <c r="J274" s="505"/>
      <c r="K274" s="505"/>
      <c r="L274" s="505"/>
      <c r="M274" s="505"/>
      <c r="N274" s="191"/>
      <c r="O274" s="239"/>
    </row>
    <row r="275" spans="1:19">
      <c r="A275" s="12"/>
      <c r="B275" s="12"/>
      <c r="C275" s="12"/>
      <c r="D275" s="12"/>
      <c r="E275" s="12"/>
      <c r="F275" s="12"/>
      <c r="G275" s="12"/>
      <c r="H275" s="12"/>
      <c r="I275" s="243"/>
      <c r="J275" s="12"/>
      <c r="K275" s="12"/>
      <c r="L275" s="12"/>
      <c r="M275" s="243"/>
      <c r="N275" s="12"/>
      <c r="O275" s="243"/>
    </row>
    <row r="276" spans="1:19" ht="36" customHeight="1">
      <c r="A276" s="15"/>
      <c r="B276" s="21" t="s">
        <v>435</v>
      </c>
      <c r="C276" s="22"/>
      <c r="D276" s="152" t="s">
        <v>436</v>
      </c>
      <c r="E276" s="153"/>
      <c r="F276" s="152" t="s">
        <v>437</v>
      </c>
      <c r="G276" s="153"/>
      <c r="H276" s="21" t="s">
        <v>438</v>
      </c>
      <c r="I276" s="253"/>
      <c r="J276" s="152" t="s">
        <v>584</v>
      </c>
      <c r="K276" s="153"/>
      <c r="L276" s="22" t="s">
        <v>415</v>
      </c>
      <c r="M276" s="253"/>
      <c r="N276" s="63" t="s">
        <v>560</v>
      </c>
      <c r="O276" s="240"/>
    </row>
    <row r="277" spans="1:19">
      <c r="A277" s="16"/>
      <c r="B277" s="19" t="s">
        <v>439</v>
      </c>
      <c r="C277" s="18" t="s">
        <v>530</v>
      </c>
      <c r="D277" s="19" t="s">
        <v>439</v>
      </c>
      <c r="E277" s="18" t="s">
        <v>530</v>
      </c>
      <c r="F277" s="19" t="s">
        <v>439</v>
      </c>
      <c r="G277" s="18" t="s">
        <v>530</v>
      </c>
      <c r="H277" s="19" t="s">
        <v>439</v>
      </c>
      <c r="I277" s="254" t="s">
        <v>530</v>
      </c>
      <c r="J277" s="19" t="s">
        <v>439</v>
      </c>
      <c r="K277" s="18" t="s">
        <v>530</v>
      </c>
      <c r="L277" s="19" t="s">
        <v>439</v>
      </c>
      <c r="M277" s="254" t="s">
        <v>530</v>
      </c>
      <c r="N277" s="63" t="s">
        <v>560</v>
      </c>
      <c r="O277" s="240"/>
    </row>
    <row r="278" spans="1:19" s="168" customFormat="1" ht="18" customHeight="1">
      <c r="A278" s="181" t="s">
        <v>559</v>
      </c>
      <c r="B278" s="185">
        <f>+GETPIVOTDATA(" New Prof avg",'Averages Pivot Table'!$A$3,"Category",6,"Category2","Four-Year")</f>
        <v>75325.02144183006</v>
      </c>
      <c r="C278" s="185"/>
      <c r="D278" s="185">
        <f>+GETPIVOTDATA(" New Asc. avg",'Averages Pivot Table'!$A$3,"Category",6,"Category2","Four-Year")</f>
        <v>61720.689142465752</v>
      </c>
      <c r="E278" s="185"/>
      <c r="F278" s="185">
        <f>+GETPIVOTDATA(" New Ast. avg",'Averages Pivot Table'!$A$3,"Category",6,"Category2","Four-Year")</f>
        <v>51686.305743996098</v>
      </c>
      <c r="G278" s="185"/>
      <c r="H278" s="185">
        <f>+GETPIVOTDATA(" New Inst. avg",'Averages Pivot Table'!$A$3,"Category",6,"Category2","Four-Year")</f>
        <v>41545.692904672898</v>
      </c>
      <c r="I278" s="257"/>
      <c r="J278" s="185">
        <f>+GETPIVOTDATA(" New Undesg. avg",'Averages Pivot Table'!$A$3,"Category",6,"Category2","Four-Year")</f>
        <v>49168.592681111106</v>
      </c>
      <c r="K278" s="185"/>
      <c r="L278" s="185">
        <f>+GETPIVOTDATA(" New All Ranks avg",'Averages Pivot Table'!$A$3,"Category",6,"Category2","Four-Year")</f>
        <v>57307.543573748415</v>
      </c>
      <c r="M278" s="260"/>
      <c r="N278" s="190"/>
      <c r="O278" s="252"/>
      <c r="Q278" s="209"/>
      <c r="R278" s="209"/>
      <c r="S278" s="209"/>
    </row>
    <row r="279" spans="1:19" ht="12.95" customHeight="1">
      <c r="A279" s="12"/>
      <c r="B279" s="9"/>
      <c r="C279" s="17"/>
      <c r="D279" s="9"/>
      <c r="E279" s="17"/>
      <c r="F279" s="9"/>
      <c r="G279" s="17"/>
      <c r="H279" s="9"/>
      <c r="I279" s="261"/>
      <c r="J279" s="9"/>
      <c r="K279" s="17"/>
      <c r="L279" s="9"/>
      <c r="M279" s="261"/>
      <c r="N279" s="9"/>
      <c r="O279" s="245"/>
    </row>
    <row r="280" spans="1:19" ht="12.95" customHeight="1">
      <c r="A280" s="12" t="s">
        <v>542</v>
      </c>
      <c r="B280" s="62">
        <f>+GETPIVOTDATA(" New Prof avg",'Averages Pivot Table'!$A$3,"State","AL","Category",6,"Category2","Four-Year")</f>
        <v>83970.593695238102</v>
      </c>
      <c r="C280" s="141">
        <f>IF(B280&gt;0,(RANK(B280,B$280:B$298)),0)</f>
        <v>4</v>
      </c>
      <c r="D280" s="62">
        <f>+GETPIVOTDATA(" New Asc. avg",'Averages Pivot Table'!$A$3,"State","AL","Category",6,"Category2","Four-Year")</f>
        <v>72068</v>
      </c>
      <c r="E280" s="141">
        <f>IF(D280&gt;0,(RANK(D280,D$280:D$298)),0)</f>
        <v>1</v>
      </c>
      <c r="F280" s="62">
        <f>+GETPIVOTDATA(" New Ast. avg",'Averages Pivot Table'!$A$3,"State","AL","Category",6,"Category2","Four-Year")</f>
        <v>58922.166666666664</v>
      </c>
      <c r="G280" s="141">
        <f t="shared" ref="G280:G298" si="31">IF(F280&gt;0,(RANK(F280,F$280:F$298)),0)</f>
        <v>2</v>
      </c>
      <c r="H280" s="62">
        <f>+GETPIVOTDATA(" New Inst. avg",'Averages Pivot Table'!$A$3,"State","AL","Category",6,"Category2","Four-Year")</f>
        <v>39342.370266666665</v>
      </c>
      <c r="I280" s="229">
        <f t="shared" ref="I280:I298" si="32">IF(H280&gt;0,(RANK(H280,H$280:H$298)),0)</f>
        <v>8</v>
      </c>
      <c r="J280" s="62">
        <f>+GETPIVOTDATA(" New Undesg. avg",'Averages Pivot Table'!$A$3,"State","AL","Category",6,"Category2","Four-Year")</f>
        <v>65257.333333333336</v>
      </c>
      <c r="K280" s="141">
        <f t="shared" ref="K280:K298" si="33">IF(J280&gt;0,(RANK(J280,J$280:J$298)),0)</f>
        <v>1</v>
      </c>
      <c r="L280" s="62">
        <f>+GETPIVOTDATA(" New All Ranks avg",'Averages Pivot Table'!$A$3,"State","AL","Category",6,"Category2","Four-Year")</f>
        <v>67948.669619277105</v>
      </c>
      <c r="M280" s="229">
        <f t="shared" ref="M280:M298" si="34">IF(L280&gt;0,(RANK(L280,L$280:L$298)),0)</f>
        <v>2</v>
      </c>
      <c r="N280" s="62"/>
      <c r="O280" s="240"/>
    </row>
    <row r="281" spans="1:19" ht="12.95" customHeight="1">
      <c r="A281" s="12" t="s">
        <v>543</v>
      </c>
      <c r="B281" s="62">
        <f>+GETPIVOTDATA(" New Prof avg",'Averages Pivot Table'!$A$3,"State","AR","Category",6,"Category2","Four-Year")</f>
        <v>63479.43297142857</v>
      </c>
      <c r="C281" s="141">
        <f t="shared" ref="C281:E298" si="35">IF(B281&gt;0,(RANK(B281,B$280:B$298)),0)</f>
        <v>10</v>
      </c>
      <c r="D281" s="62">
        <f>+GETPIVOTDATA(" New Asc. avg",'Averages Pivot Table'!$A$3,"State","AR","Category",6,"Category2","Four-Year")</f>
        <v>60350.628899999996</v>
      </c>
      <c r="E281" s="141">
        <f t="shared" si="35"/>
        <v>8</v>
      </c>
      <c r="F281" s="62">
        <f>+GETPIVOTDATA(" New Ast. avg",'Averages Pivot Table'!$A$3,"State","AR","Category",6,"Category2","Four-Year")</f>
        <v>52018.595604332237</v>
      </c>
      <c r="G281" s="141">
        <f t="shared" si="31"/>
        <v>7</v>
      </c>
      <c r="H281" s="62">
        <f>+GETPIVOTDATA(" New Inst. avg",'Averages Pivot Table'!$A$3,"State","AR","Category",6,"Category2","Four-Year")</f>
        <v>41586.225056363641</v>
      </c>
      <c r="I281" s="229">
        <f t="shared" si="32"/>
        <v>5</v>
      </c>
      <c r="J281" s="62">
        <f>+GETPIVOTDATA(" New Undesg. avg",'Averages Pivot Table'!$A$3,"State","AR","Category",6,"Category2","Four-Year")</f>
        <v>40973.832363636364</v>
      </c>
      <c r="K281" s="141">
        <f t="shared" si="33"/>
        <v>6</v>
      </c>
      <c r="L281" s="62">
        <f>+GETPIVOTDATA(" New All Ranks avg",'Averages Pivot Table'!$A$3,"State","AR","Category",6,"Category2","Four-Year")</f>
        <v>51526.994595564189</v>
      </c>
      <c r="M281" s="229">
        <f t="shared" si="34"/>
        <v>10</v>
      </c>
      <c r="N281" s="62"/>
      <c r="O281" s="240"/>
    </row>
    <row r="282" spans="1:19" ht="12.95" customHeight="1">
      <c r="A282" s="12" t="s">
        <v>558</v>
      </c>
      <c r="B282" s="62">
        <f>+GETPIVOTDATA(" New Prof avg",'Averages Pivot Table'!$A$3,"State","DE","Category",6,"Category2","Four-Year")</f>
        <v>0</v>
      </c>
      <c r="C282" s="141">
        <f t="shared" si="35"/>
        <v>0</v>
      </c>
      <c r="D282" s="62">
        <f>+GETPIVOTDATA(" New Asc. avg",'Averages Pivot Table'!$A$3,"State","DE","Category",6,"Category2","Four-Year")</f>
        <v>0</v>
      </c>
      <c r="E282" s="141">
        <f t="shared" si="35"/>
        <v>0</v>
      </c>
      <c r="F282" s="62">
        <f>+GETPIVOTDATA(" New Ast. avg",'Averages Pivot Table'!$A$3,"State","DE","Category",6,"Category2","Four-Year")</f>
        <v>0</v>
      </c>
      <c r="G282" s="141">
        <f t="shared" si="31"/>
        <v>0</v>
      </c>
      <c r="H282" s="62">
        <f>+GETPIVOTDATA(" New Inst. avg",'Averages Pivot Table'!$A$3,"State","DE","Category",6,"Category2","Four-Year")</f>
        <v>0</v>
      </c>
      <c r="I282" s="229">
        <f t="shared" si="32"/>
        <v>0</v>
      </c>
      <c r="J282" s="62">
        <f>+GETPIVOTDATA(" New Undesg. avg",'Averages Pivot Table'!$A$3,"State","DE","Category",6,"Category2","Four-Year")</f>
        <v>0</v>
      </c>
      <c r="K282" s="141">
        <f t="shared" si="33"/>
        <v>0</v>
      </c>
      <c r="L282" s="62">
        <f>+GETPIVOTDATA(" New All Ranks avg",'Averages Pivot Table'!$A$3,"State","DE","Category",6,"Category2","Four-Year")</f>
        <v>0</v>
      </c>
      <c r="M282" s="229">
        <f t="shared" si="34"/>
        <v>0</v>
      </c>
      <c r="N282" s="62"/>
      <c r="O282" s="240"/>
    </row>
    <row r="283" spans="1:19" ht="12.95" customHeight="1">
      <c r="A283" s="12" t="s">
        <v>544</v>
      </c>
      <c r="B283" s="62">
        <f>+GETPIVOTDATA(" New Prof avg",'Averages Pivot Table'!$A$3,"State","FL","Category",6,"Category2","Four-Year")</f>
        <v>83075.095263157898</v>
      </c>
      <c r="C283" s="141">
        <f t="shared" si="35"/>
        <v>5</v>
      </c>
      <c r="D283" s="62">
        <f>+GETPIVOTDATA(" New Asc. avg",'Averages Pivot Table'!$A$3,"State","FL","Category",6,"Category2","Four-Year")</f>
        <v>66688.202857142853</v>
      </c>
      <c r="E283" s="141">
        <f t="shared" si="35"/>
        <v>3</v>
      </c>
      <c r="F283" s="62">
        <f>+GETPIVOTDATA(" New Ast. avg",'Averages Pivot Table'!$A$3,"State","FL","Category",6,"Category2","Four-Year")</f>
        <v>53879.287199999999</v>
      </c>
      <c r="G283" s="141">
        <f t="shared" si="31"/>
        <v>5</v>
      </c>
      <c r="H283" s="62">
        <f>+GETPIVOTDATA(" New Inst. avg",'Averages Pivot Table'!$A$3,"State","FL","Category",6,"Category2","Four-Year")</f>
        <v>40709.129999999997</v>
      </c>
      <c r="I283" s="229">
        <f t="shared" si="32"/>
        <v>6</v>
      </c>
      <c r="J283" s="62">
        <f>+GETPIVOTDATA(" New Undesg. avg",'Averages Pivot Table'!$A$3,"State","FL","Category",6,"Category2","Four-Year")</f>
        <v>0</v>
      </c>
      <c r="K283" s="141">
        <f t="shared" si="33"/>
        <v>0</v>
      </c>
      <c r="L283" s="62">
        <f>+GETPIVOTDATA(" New All Ranks avg",'Averages Pivot Table'!$A$3,"State","FL","Category",6,"Category2","Four-Year")</f>
        <v>66210.791780821921</v>
      </c>
      <c r="M283" s="229">
        <f t="shared" si="34"/>
        <v>3</v>
      </c>
      <c r="N283" s="62"/>
      <c r="O283" s="240"/>
    </row>
    <row r="284" spans="1:19" ht="12.95" customHeight="1">
      <c r="A284" s="12"/>
      <c r="B284" s="62"/>
      <c r="C284" s="141">
        <f t="shared" si="35"/>
        <v>0</v>
      </c>
      <c r="D284" s="62"/>
      <c r="E284" s="141">
        <f t="shared" si="35"/>
        <v>0</v>
      </c>
      <c r="F284" s="62"/>
      <c r="G284" s="141">
        <f t="shared" si="31"/>
        <v>0</v>
      </c>
      <c r="H284" s="62"/>
      <c r="I284" s="229">
        <f t="shared" si="32"/>
        <v>0</v>
      </c>
      <c r="J284" s="62"/>
      <c r="K284" s="141">
        <f t="shared" si="33"/>
        <v>0</v>
      </c>
      <c r="L284" s="62"/>
      <c r="M284" s="229">
        <f t="shared" si="34"/>
        <v>0</v>
      </c>
      <c r="N284" s="62"/>
      <c r="O284" s="240"/>
    </row>
    <row r="285" spans="1:19" ht="12.95" customHeight="1">
      <c r="A285" s="12" t="s">
        <v>545</v>
      </c>
      <c r="B285" s="62">
        <f>+GETPIVOTDATA(" New Prof avg",'Averages Pivot Table'!$A$3,"State","GA","Category",6,"Category2","Four-Year")</f>
        <v>76219.136783333335</v>
      </c>
      <c r="C285" s="141">
        <f t="shared" si="35"/>
        <v>7</v>
      </c>
      <c r="D285" s="62">
        <f>+GETPIVOTDATA(" New Asc. avg",'Averages Pivot Table'!$A$3,"State","GA","Category",6,"Category2","Four-Year")</f>
        <v>62101.569652525257</v>
      </c>
      <c r="E285" s="141">
        <f t="shared" si="35"/>
        <v>6</v>
      </c>
      <c r="F285" s="62">
        <f>+GETPIVOTDATA(" New Ast. avg",'Averages Pivot Table'!$A$3,"State","GA","Category",6,"Category2","Four-Year")</f>
        <v>49923.209365686271</v>
      </c>
      <c r="G285" s="141">
        <f t="shared" si="31"/>
        <v>9</v>
      </c>
      <c r="H285" s="62">
        <f>+GETPIVOTDATA(" New Inst. avg",'Averages Pivot Table'!$A$3,"State","GA","Category",6,"Category2","Four-Year")</f>
        <v>42435</v>
      </c>
      <c r="I285" s="229">
        <f t="shared" si="32"/>
        <v>4</v>
      </c>
      <c r="J285" s="62">
        <f>+GETPIVOTDATA(" New Undesg. avg",'Averages Pivot Table'!$A$3,"State","GA","Category",6,"Category2","Four-Year")</f>
        <v>45514</v>
      </c>
      <c r="K285" s="141">
        <f t="shared" si="33"/>
        <v>4</v>
      </c>
      <c r="L285" s="62">
        <f>+GETPIVOTDATA(" New All Ranks avg",'Averages Pivot Table'!$A$3,"State","GA","Category",6,"Category2","Four-Year")</f>
        <v>55824.260920942404</v>
      </c>
      <c r="M285" s="229">
        <f t="shared" si="34"/>
        <v>7</v>
      </c>
      <c r="N285" s="62"/>
      <c r="O285" s="240"/>
    </row>
    <row r="286" spans="1:19" ht="12.95" customHeight="1">
      <c r="A286" s="12" t="s">
        <v>546</v>
      </c>
      <c r="B286" s="62">
        <f>+GETPIVOTDATA(" New Prof avg",'Averages Pivot Table'!$A$3,"State","KY","Category",6,"Category2","Four-Year")</f>
        <v>0</v>
      </c>
      <c r="C286" s="141">
        <f t="shared" si="35"/>
        <v>0</v>
      </c>
      <c r="D286" s="62">
        <f>+GETPIVOTDATA(" New Asc. avg",'Averages Pivot Table'!$A$3,"State","KY","Category",6,"Category2","Four-Year")</f>
        <v>0</v>
      </c>
      <c r="E286" s="141">
        <f t="shared" si="35"/>
        <v>0</v>
      </c>
      <c r="F286" s="62">
        <f>+GETPIVOTDATA(" New Ast. avg",'Averages Pivot Table'!$A$3,"State","KY","Category",6,"Category2","Four-Year")</f>
        <v>0</v>
      </c>
      <c r="G286" s="141">
        <f t="shared" si="31"/>
        <v>0</v>
      </c>
      <c r="H286" s="62">
        <f>+GETPIVOTDATA(" New Inst. avg",'Averages Pivot Table'!$A$3,"State","KY","Category",6,"Category2","Four-Year")</f>
        <v>0</v>
      </c>
      <c r="I286" s="229">
        <f t="shared" si="32"/>
        <v>0</v>
      </c>
      <c r="J286" s="62">
        <f>+GETPIVOTDATA(" New Undesg. avg",'Averages Pivot Table'!$A$3,"State","KY","Category",6,"Category2","Four-Year")</f>
        <v>0</v>
      </c>
      <c r="K286" s="141">
        <f t="shared" si="33"/>
        <v>0</v>
      </c>
      <c r="L286" s="62">
        <f>+GETPIVOTDATA(" New All Ranks avg",'Averages Pivot Table'!$A$3,"State","KY","Category",6,"Category2","Four-Year")</f>
        <v>0</v>
      </c>
      <c r="M286" s="229">
        <f t="shared" si="34"/>
        <v>0</v>
      </c>
      <c r="N286" s="62"/>
      <c r="O286" s="240"/>
    </row>
    <row r="287" spans="1:19" ht="12.95" customHeight="1">
      <c r="A287" s="12" t="s">
        <v>547</v>
      </c>
      <c r="B287" s="62">
        <f>+GETPIVOTDATA(" New Prof avg",'Averages Pivot Table'!$A$3,"State","LA","Category",6,"Category2","Four-Year")</f>
        <v>0</v>
      </c>
      <c r="C287" s="141">
        <f t="shared" si="35"/>
        <v>0</v>
      </c>
      <c r="D287" s="62">
        <f>+GETPIVOTDATA(" New Asc. avg",'Averages Pivot Table'!$A$3,"State","LA","Category",6,"Category2","Four-Year")</f>
        <v>0</v>
      </c>
      <c r="E287" s="141">
        <f t="shared" si="35"/>
        <v>0</v>
      </c>
      <c r="F287" s="62">
        <f>+GETPIVOTDATA(" New Ast. avg",'Averages Pivot Table'!$A$3,"State","LA","Category",6,"Category2","Four-Year")</f>
        <v>0</v>
      </c>
      <c r="G287" s="141">
        <f t="shared" si="31"/>
        <v>0</v>
      </c>
      <c r="H287" s="62">
        <f>+GETPIVOTDATA(" New Inst. avg",'Averages Pivot Table'!$A$3,"State","LA","Category",6,"Category2","Four-Year")</f>
        <v>0</v>
      </c>
      <c r="I287" s="229">
        <f t="shared" si="32"/>
        <v>0</v>
      </c>
      <c r="J287" s="62">
        <f>+GETPIVOTDATA(" New Undesg. avg",'Averages Pivot Table'!$A$3,"State","LA","Category",6,"Category2","Four-Year")</f>
        <v>0</v>
      </c>
      <c r="K287" s="141">
        <f t="shared" si="33"/>
        <v>0</v>
      </c>
      <c r="L287" s="62">
        <f>+GETPIVOTDATA(" New All Ranks avg",'Averages Pivot Table'!$A$3,"State","LA","Category",6,"Category2","Four-Year")</f>
        <v>0</v>
      </c>
      <c r="M287" s="229">
        <f t="shared" si="34"/>
        <v>0</v>
      </c>
      <c r="N287" s="62"/>
      <c r="O287" s="240"/>
    </row>
    <row r="288" spans="1:19" ht="12.95" customHeight="1">
      <c r="A288" s="12" t="s">
        <v>548</v>
      </c>
      <c r="B288" s="62">
        <f>+GETPIVOTDATA(" New Prof avg",'Averages Pivot Table'!$A$3,"State","MD","Category",6,"Category2","Four-Year")</f>
        <v>85009</v>
      </c>
      <c r="C288" s="141">
        <f t="shared" si="35"/>
        <v>3</v>
      </c>
      <c r="D288" s="62">
        <f>+GETPIVOTDATA(" New Asc. avg",'Averages Pivot Table'!$A$3,"State","MD","Category",6,"Category2","Four-Year")</f>
        <v>65083.325581395351</v>
      </c>
      <c r="E288" s="141">
        <f t="shared" si="35"/>
        <v>4</v>
      </c>
      <c r="F288" s="62">
        <f>+GETPIVOTDATA(" New Ast. avg",'Averages Pivot Table'!$A$3,"State","MD","Category",6,"Category2","Four-Year")</f>
        <v>52263.245901639348</v>
      </c>
      <c r="G288" s="141">
        <f t="shared" si="31"/>
        <v>6</v>
      </c>
      <c r="H288" s="62">
        <f>+GETPIVOTDATA(" New Inst. avg",'Averages Pivot Table'!$A$3,"State","MD","Category",6,"Category2","Four-Year")</f>
        <v>29489.444444444445</v>
      </c>
      <c r="I288" s="229">
        <f t="shared" si="32"/>
        <v>10</v>
      </c>
      <c r="J288" s="62">
        <f>+GETPIVOTDATA(" New Undesg. avg",'Averages Pivot Table'!$A$3,"State","MD","Category",6,"Category2","Four-Year")</f>
        <v>0</v>
      </c>
      <c r="K288" s="141">
        <f t="shared" si="33"/>
        <v>0</v>
      </c>
      <c r="L288" s="62">
        <f>+GETPIVOTDATA(" New All Ranks avg",'Averages Pivot Table'!$A$3,"State","MD","Category",6,"Category2","Four-Year")</f>
        <v>63229.967532467534</v>
      </c>
      <c r="M288" s="229">
        <f t="shared" si="34"/>
        <v>4</v>
      </c>
      <c r="N288" s="62"/>
      <c r="O288" s="240"/>
    </row>
    <row r="289" spans="1:15" ht="12.95" customHeight="1">
      <c r="A289" s="12"/>
      <c r="B289" s="62"/>
      <c r="C289" s="141">
        <f t="shared" si="35"/>
        <v>0</v>
      </c>
      <c r="D289" s="62"/>
      <c r="E289" s="141">
        <f t="shared" si="35"/>
        <v>0</v>
      </c>
      <c r="F289" s="62"/>
      <c r="G289" s="141">
        <f t="shared" si="31"/>
        <v>0</v>
      </c>
      <c r="H289" s="62"/>
      <c r="I289" s="229">
        <f t="shared" si="32"/>
        <v>0</v>
      </c>
      <c r="J289" s="62"/>
      <c r="K289" s="141">
        <f t="shared" si="33"/>
        <v>0</v>
      </c>
      <c r="L289" s="62"/>
      <c r="M289" s="229">
        <f t="shared" si="34"/>
        <v>0</v>
      </c>
      <c r="N289" s="62"/>
      <c r="O289" s="240"/>
    </row>
    <row r="290" spans="1:15" ht="12.95" customHeight="1">
      <c r="A290" s="12" t="s">
        <v>549</v>
      </c>
      <c r="B290" s="62">
        <f>+GETPIVOTDATA(" New Prof avg",'Averages Pivot Table'!$A$3,"State","MS","Category",6,"Category2","Four-Year")</f>
        <v>0</v>
      </c>
      <c r="C290" s="141">
        <f t="shared" si="35"/>
        <v>0</v>
      </c>
      <c r="D290" s="62">
        <f>+GETPIVOTDATA(" New Asc. avg",'Averages Pivot Table'!$A$3,"State","MS","Category",6,"Category2","Four-Year")</f>
        <v>0</v>
      </c>
      <c r="E290" s="141">
        <f t="shared" si="35"/>
        <v>0</v>
      </c>
      <c r="F290" s="62">
        <f>+GETPIVOTDATA(" New Ast. avg",'Averages Pivot Table'!$A$3,"State","MS","Category",6,"Category2","Four-Year")</f>
        <v>0</v>
      </c>
      <c r="G290" s="141">
        <f t="shared" si="31"/>
        <v>0</v>
      </c>
      <c r="H290" s="62">
        <f>+GETPIVOTDATA(" New Inst. avg",'Averages Pivot Table'!$A$3,"State","MS","Category",6,"Category2","Four-Year")</f>
        <v>0</v>
      </c>
      <c r="I290" s="229">
        <f t="shared" si="32"/>
        <v>0</v>
      </c>
      <c r="J290" s="62">
        <f>+GETPIVOTDATA(" New Undesg. avg",'Averages Pivot Table'!$A$3,"State","MS","Category",6,"Category2","Four-Year")</f>
        <v>0</v>
      </c>
      <c r="K290" s="141">
        <f t="shared" si="33"/>
        <v>0</v>
      </c>
      <c r="L290" s="62">
        <f>+GETPIVOTDATA(" New All Ranks avg",'Averages Pivot Table'!$A$3,"State","MS","Category",6,"Category2","Four-Year")</f>
        <v>0</v>
      </c>
      <c r="M290" s="229">
        <f t="shared" si="34"/>
        <v>0</v>
      </c>
      <c r="N290" s="62"/>
      <c r="O290" s="240"/>
    </row>
    <row r="291" spans="1:15" ht="12.95" customHeight="1">
      <c r="A291" s="12" t="s">
        <v>550</v>
      </c>
      <c r="B291" s="62">
        <f>+GETPIVOTDATA(" New Prof avg",'Averages Pivot Table'!$A$3,"State","NC","Category",6,"Category2","Four-Year")</f>
        <v>86292.804347826081</v>
      </c>
      <c r="C291" s="141">
        <f t="shared" si="35"/>
        <v>2</v>
      </c>
      <c r="D291" s="62">
        <f>+GETPIVOTDATA(" New Asc. avg",'Averages Pivot Table'!$A$3,"State","NC","Category",6,"Category2","Four-Year")</f>
        <v>69765.053191489365</v>
      </c>
      <c r="E291" s="141">
        <f t="shared" si="35"/>
        <v>2</v>
      </c>
      <c r="F291" s="62">
        <f>+GETPIVOTDATA(" New Ast. avg",'Averages Pivot Table'!$A$3,"State","NC","Category",6,"Category2","Four-Year")</f>
        <v>62110.628312087916</v>
      </c>
      <c r="G291" s="141">
        <f t="shared" si="31"/>
        <v>1</v>
      </c>
      <c r="H291" s="62">
        <f>+GETPIVOTDATA(" New Inst. avg",'Averages Pivot Table'!$A$3,"State","NC","Category",6,"Category2","Four-Year")</f>
        <v>53386</v>
      </c>
      <c r="I291" s="229">
        <f t="shared" si="32"/>
        <v>1</v>
      </c>
      <c r="J291" s="62">
        <f>+GETPIVOTDATA(" New Undesg. avg",'Averages Pivot Table'!$A$3,"State","NC","Category",6,"Category2","Four-Year")</f>
        <v>54355.419889655168</v>
      </c>
      <c r="K291" s="141">
        <f t="shared" si="33"/>
        <v>2</v>
      </c>
      <c r="L291" s="62">
        <f>+GETPIVOTDATA(" New All Ranks avg",'Averages Pivot Table'!$A$3,"State","NC","Category",6,"Category2","Four-Year")</f>
        <v>68183.113333695655</v>
      </c>
      <c r="M291" s="229">
        <f t="shared" si="34"/>
        <v>1</v>
      </c>
      <c r="N291" s="62"/>
      <c r="O291" s="240"/>
    </row>
    <row r="292" spans="1:15" ht="12.95" customHeight="1">
      <c r="A292" s="12" t="s">
        <v>551</v>
      </c>
      <c r="B292" s="62">
        <f>+GETPIVOTDATA(" New Prof avg",'Averages Pivot Table'!$A$3,"State","OK","Category",6,"Category2","Four-Year")</f>
        <v>63132.598250000003</v>
      </c>
      <c r="C292" s="141">
        <f t="shared" si="35"/>
        <v>11</v>
      </c>
      <c r="D292" s="62">
        <f>+GETPIVOTDATA(" New Asc. avg",'Averages Pivot Table'!$A$3,"State","OK","Category",6,"Category2","Four-Year")</f>
        <v>54685.088431818178</v>
      </c>
      <c r="E292" s="141">
        <f t="shared" si="35"/>
        <v>11</v>
      </c>
      <c r="F292" s="62">
        <f>+GETPIVOTDATA(" New Ast. avg",'Averages Pivot Table'!$A$3,"State","OK","Category",6,"Category2","Four-Year")</f>
        <v>46376.827958823531</v>
      </c>
      <c r="G292" s="141">
        <f t="shared" si="31"/>
        <v>11</v>
      </c>
      <c r="H292" s="62">
        <f>+GETPIVOTDATA(" New Inst. avg",'Averages Pivot Table'!$A$3,"State","OK","Category",6,"Category2","Four-Year")</f>
        <v>37234.516474509801</v>
      </c>
      <c r="I292" s="229">
        <f t="shared" si="32"/>
        <v>9</v>
      </c>
      <c r="J292" s="62">
        <f>+GETPIVOTDATA(" New Undesg. avg",'Averages Pivot Table'!$A$3,"State","OK","Category",6,"Category2","Four-Year")</f>
        <v>0</v>
      </c>
      <c r="K292" s="141">
        <f t="shared" si="33"/>
        <v>0</v>
      </c>
      <c r="L292" s="62">
        <f>+GETPIVOTDATA(" New All Ranks avg",'Averages Pivot Table'!$A$3,"State","OK","Category",6,"Category2","Four-Year")</f>
        <v>48610.111161025641</v>
      </c>
      <c r="M292" s="229">
        <f t="shared" si="34"/>
        <v>11</v>
      </c>
      <c r="N292" s="62"/>
      <c r="O292" s="240"/>
    </row>
    <row r="293" spans="1:15" ht="12.95" customHeight="1">
      <c r="A293" s="12" t="s">
        <v>552</v>
      </c>
      <c r="B293" s="62">
        <f>+GETPIVOTDATA(" New Prof avg",'Averages Pivot Table'!$A$3,"State","SC","Category",6,"Category2","Four-Year")</f>
        <v>74213.070300000007</v>
      </c>
      <c r="C293" s="141">
        <f t="shared" si="35"/>
        <v>8</v>
      </c>
      <c r="D293" s="62">
        <f>+GETPIVOTDATA(" New Asc. avg",'Averages Pivot Table'!$A$3,"State","SC","Category",6,"Category2","Four-Year")</f>
        <v>60118.080517333336</v>
      </c>
      <c r="E293" s="141">
        <f t="shared" si="35"/>
        <v>9</v>
      </c>
      <c r="F293" s="62">
        <f>+GETPIVOTDATA(" New Ast. avg",'Averages Pivot Table'!$A$3,"State","SC","Category",6,"Category2","Four-Year")</f>
        <v>51041.128166666669</v>
      </c>
      <c r="G293" s="141">
        <f t="shared" si="31"/>
        <v>8</v>
      </c>
      <c r="H293" s="62">
        <f>+GETPIVOTDATA(" New Inst. avg",'Averages Pivot Table'!$A$3,"State","SC","Category",6,"Category2","Four-Year")</f>
        <v>44614.760714035088</v>
      </c>
      <c r="I293" s="229">
        <f t="shared" si="32"/>
        <v>2</v>
      </c>
      <c r="J293" s="62">
        <f>+GETPIVOTDATA(" New Undesg. avg",'Averages Pivot Table'!$A$3,"State","SC","Category",6,"Category2","Four-Year")</f>
        <v>0</v>
      </c>
      <c r="K293" s="141">
        <f t="shared" si="33"/>
        <v>0</v>
      </c>
      <c r="L293" s="62">
        <f>+GETPIVOTDATA(" New All Ranks avg",'Averages Pivot Table'!$A$3,"State","SC","Category",6,"Category2","Four-Year")</f>
        <v>55216.08050027398</v>
      </c>
      <c r="M293" s="229">
        <f t="shared" si="34"/>
        <v>9</v>
      </c>
      <c r="N293" s="62"/>
      <c r="O293" s="240"/>
    </row>
    <row r="294" spans="1:15" ht="12.95" customHeight="1">
      <c r="A294" s="12"/>
      <c r="B294" s="62"/>
      <c r="C294" s="141">
        <f t="shared" si="35"/>
        <v>0</v>
      </c>
      <c r="D294" s="62"/>
      <c r="E294" s="141">
        <f t="shared" si="35"/>
        <v>0</v>
      </c>
      <c r="F294" s="62"/>
      <c r="G294" s="141">
        <f t="shared" si="31"/>
        <v>0</v>
      </c>
      <c r="H294" s="62"/>
      <c r="I294" s="229">
        <f t="shared" si="32"/>
        <v>0</v>
      </c>
      <c r="J294" s="62"/>
      <c r="K294" s="141">
        <f t="shared" si="33"/>
        <v>0</v>
      </c>
      <c r="L294" s="62"/>
      <c r="M294" s="229">
        <f t="shared" si="34"/>
        <v>0</v>
      </c>
      <c r="N294" s="62"/>
      <c r="O294" s="240"/>
    </row>
    <row r="295" spans="1:15" ht="12.95" customHeight="1">
      <c r="A295" s="12" t="s">
        <v>553</v>
      </c>
      <c r="B295" s="140">
        <f>+GETPIVOTDATA(" New Prof avg",'Averages Pivot Table'!$A$3,"State","TN","Category",6,"Category2","Four-Year")</f>
        <v>0</v>
      </c>
      <c r="C295" s="141">
        <f t="shared" si="35"/>
        <v>0</v>
      </c>
      <c r="D295" s="140">
        <f>+GETPIVOTDATA(" New Asc. avg",'Averages Pivot Table'!$A$3,"State","TN","Category",6,"Category2","Four-Year")</f>
        <v>0</v>
      </c>
      <c r="E295" s="141">
        <f t="shared" si="35"/>
        <v>0</v>
      </c>
      <c r="F295" s="140">
        <f>+GETPIVOTDATA(" New Ast. avg",'Averages Pivot Table'!$A$3,"State","TN","Category",6,"Category2","Four-Year")</f>
        <v>0</v>
      </c>
      <c r="G295" s="141">
        <f t="shared" si="31"/>
        <v>0</v>
      </c>
      <c r="H295" s="140">
        <f>+GETPIVOTDATA(" New Inst. avg",'Averages Pivot Table'!$A$3,"State","TN","Category",6,"Category2","Four-Year")</f>
        <v>0</v>
      </c>
      <c r="I295" s="229">
        <f t="shared" si="32"/>
        <v>0</v>
      </c>
      <c r="J295" s="140">
        <f>+GETPIVOTDATA(" New Undesg. avg",'Averages Pivot Table'!$A$3,"State","TN","Category",6,"Category2","Four-Year")</f>
        <v>0</v>
      </c>
      <c r="K295" s="141">
        <f t="shared" si="33"/>
        <v>0</v>
      </c>
      <c r="L295" s="140">
        <f>+GETPIVOTDATA(" New All Ranks avg",'Averages Pivot Table'!$A$3,"State","TN","Category",6,"Category2","Four-Year")</f>
        <v>0</v>
      </c>
      <c r="M295" s="229">
        <f t="shared" si="34"/>
        <v>0</v>
      </c>
      <c r="N295" s="62"/>
      <c r="O295" s="240"/>
    </row>
    <row r="296" spans="1:15" ht="12.95" customHeight="1">
      <c r="A296" s="12" t="s">
        <v>554</v>
      </c>
      <c r="B296" s="140">
        <f>+GETPIVOTDATA(" New Prof avg",'Averages Pivot Table'!$A$3,"State","TX","Category",6,"Category2","Four-Year")</f>
        <v>93389.66406086956</v>
      </c>
      <c r="C296" s="141">
        <f t="shared" si="35"/>
        <v>1</v>
      </c>
      <c r="D296" s="140">
        <f>+GETPIVOTDATA(" New Asc. avg",'Averages Pivot Table'!$A$3,"State","TX","Category",6,"Category2","Four-Year")</f>
        <v>62401.466666666667</v>
      </c>
      <c r="E296" s="141">
        <f t="shared" si="35"/>
        <v>5</v>
      </c>
      <c r="F296" s="140">
        <f>+GETPIVOTDATA(" New Ast. avg",'Averages Pivot Table'!$A$3,"State","TX","Category",6,"Category2","Four-Year")</f>
        <v>57889.769230769234</v>
      </c>
      <c r="G296" s="141">
        <f t="shared" si="31"/>
        <v>3</v>
      </c>
      <c r="H296" s="140">
        <f>+GETPIVOTDATA(" New Inst. avg",'Averages Pivot Table'!$A$3,"State","TX","Category",6,"Category2","Four-Year")</f>
        <v>0</v>
      </c>
      <c r="I296" s="229">
        <f t="shared" si="32"/>
        <v>0</v>
      </c>
      <c r="J296" s="140">
        <f>+GETPIVOTDATA(" New Undesg. avg",'Averages Pivot Table'!$A$3,"State","TX","Category",6,"Category2","Four-Year")</f>
        <v>45539.678500000002</v>
      </c>
      <c r="K296" s="141">
        <f t="shared" si="33"/>
        <v>3</v>
      </c>
      <c r="L296" s="140">
        <f>+GETPIVOTDATA(" New All Ranks avg",'Averages Pivot Table'!$A$3,"State","TX","Category",6,"Category2","Four-Year")</f>
        <v>61819.545918279575</v>
      </c>
      <c r="M296" s="229">
        <f t="shared" si="34"/>
        <v>5</v>
      </c>
      <c r="N296" s="62"/>
      <c r="O296" s="240"/>
    </row>
    <row r="297" spans="1:15" ht="12.95" customHeight="1">
      <c r="A297" s="12" t="s">
        <v>555</v>
      </c>
      <c r="B297" s="140">
        <f>+GETPIVOTDATA(" New Prof avg",'Averages Pivot Table'!$A$3,"State","VA","Category",6,"Category2","Four-Year")</f>
        <v>76972</v>
      </c>
      <c r="C297" s="141">
        <f t="shared" si="35"/>
        <v>6</v>
      </c>
      <c r="D297" s="140">
        <f>+GETPIVOTDATA(" New Asc. avg",'Averages Pivot Table'!$A$3,"State","VA","Category",6,"Category2","Four-Year")</f>
        <v>61236</v>
      </c>
      <c r="E297" s="141">
        <f t="shared" si="35"/>
        <v>7</v>
      </c>
      <c r="F297" s="140">
        <f>+GETPIVOTDATA(" New Ast. avg",'Averages Pivot Table'!$A$3,"State","VA","Category",6,"Category2","Four-Year")</f>
        <v>54744</v>
      </c>
      <c r="G297" s="141">
        <f t="shared" si="31"/>
        <v>4</v>
      </c>
      <c r="H297" s="140">
        <f>+GETPIVOTDATA(" New Inst. avg",'Averages Pivot Table'!$A$3,"State","VA","Category",6,"Category2","Four-Year")</f>
        <v>42830</v>
      </c>
      <c r="I297" s="229">
        <f t="shared" si="32"/>
        <v>3</v>
      </c>
      <c r="J297" s="140">
        <f>+GETPIVOTDATA(" New Undesg. avg",'Averages Pivot Table'!$A$3,"State","VA","Category",6,"Category2","Four-Year")</f>
        <v>38600</v>
      </c>
      <c r="K297" s="141">
        <f t="shared" si="33"/>
        <v>7</v>
      </c>
      <c r="L297" s="140">
        <f>+GETPIVOTDATA(" New All Ranks avg",'Averages Pivot Table'!$A$3,"State","VA","Category",6,"Category2","Four-Year")</f>
        <v>57640.148936170212</v>
      </c>
      <c r="M297" s="229">
        <f t="shared" si="34"/>
        <v>6</v>
      </c>
      <c r="N297" s="62"/>
      <c r="O297" s="237"/>
    </row>
    <row r="298" spans="1:15" ht="12.95" customHeight="1">
      <c r="A298" s="24" t="s">
        <v>556</v>
      </c>
      <c r="B298" s="64">
        <f>+GETPIVOTDATA(" New Prof avg",'Averages Pivot Table'!$A$3,"State","WV","Category",6,"Category2","Four-Year")</f>
        <v>69268.999502884617</v>
      </c>
      <c r="C298" s="65">
        <f t="shared" si="35"/>
        <v>9</v>
      </c>
      <c r="D298" s="64">
        <f>+GETPIVOTDATA(" New Asc. avg",'Averages Pivot Table'!$A$3,"State","WV","Category",6,"Category2","Four-Year")</f>
        <v>58212.803664186045</v>
      </c>
      <c r="E298" s="65">
        <f t="shared" si="35"/>
        <v>10</v>
      </c>
      <c r="F298" s="64">
        <f>+GETPIVOTDATA(" New Ast. avg",'Averages Pivot Table'!$A$3,"State","WV","Category",6,"Category2","Four-Year")</f>
        <v>49234.68572244898</v>
      </c>
      <c r="G298" s="65">
        <f t="shared" si="31"/>
        <v>10</v>
      </c>
      <c r="H298" s="64">
        <f>+GETPIVOTDATA(" New Inst. avg",'Averages Pivot Table'!$A$3,"State","WV","Category",6,"Category2","Four-Year")</f>
        <v>40208.846643181816</v>
      </c>
      <c r="I298" s="230">
        <f t="shared" si="32"/>
        <v>7</v>
      </c>
      <c r="J298" s="64">
        <f>+GETPIVOTDATA(" New Undesg. avg",'Averages Pivot Table'!$A$3,"State","WV","Category",6,"Category2","Four-Year")</f>
        <v>41686.34997333333</v>
      </c>
      <c r="K298" s="65">
        <f t="shared" si="33"/>
        <v>5</v>
      </c>
      <c r="L298" s="64">
        <f>+GETPIVOTDATA(" New All Ranks avg",'Averages Pivot Table'!$A$3,"State","WV","Category",6,"Category2","Four-Year")</f>
        <v>55314.576395928147</v>
      </c>
      <c r="M298" s="230">
        <f t="shared" si="34"/>
        <v>8</v>
      </c>
      <c r="N298" s="62"/>
      <c r="O298" s="237"/>
    </row>
    <row r="299" spans="1:15" ht="30" customHeight="1">
      <c r="A299" s="506" t="s">
        <v>425</v>
      </c>
      <c r="B299" s="509"/>
      <c r="C299" s="509"/>
      <c r="D299" s="509"/>
      <c r="E299" s="509"/>
      <c r="F299" s="509"/>
      <c r="G299" s="509"/>
      <c r="H299" s="509"/>
      <c r="I299" s="509"/>
      <c r="J299" s="509"/>
      <c r="K299" s="509"/>
      <c r="L299" s="509"/>
      <c r="M299" s="509"/>
      <c r="N299" s="12"/>
      <c r="O299" s="243"/>
    </row>
    <row r="300" spans="1:15">
      <c r="M300" s="487" t="s">
        <v>1000</v>
      </c>
      <c r="O300" s="242"/>
    </row>
    <row r="301" spans="1:15" ht="18">
      <c r="A301" s="504" t="s">
        <v>574</v>
      </c>
      <c r="B301" s="504"/>
      <c r="C301" s="504"/>
      <c r="D301" s="504"/>
      <c r="E301" s="504"/>
      <c r="F301" s="504"/>
      <c r="G301" s="504"/>
      <c r="H301" s="504"/>
      <c r="I301" s="504"/>
      <c r="J301" s="504"/>
      <c r="K301" s="504"/>
      <c r="L301" s="504"/>
      <c r="M301" s="504"/>
      <c r="N301" s="504"/>
      <c r="O301" s="504"/>
    </row>
    <row r="302" spans="1:15">
      <c r="A302" s="23"/>
      <c r="B302" s="5"/>
      <c r="C302" s="5"/>
      <c r="D302" s="5"/>
      <c r="E302" s="5"/>
      <c r="F302" s="5"/>
      <c r="G302" s="5"/>
      <c r="H302" s="5"/>
      <c r="I302" s="172"/>
      <c r="J302" s="5"/>
      <c r="K302" s="5"/>
      <c r="L302" s="5"/>
      <c r="M302" s="172"/>
      <c r="N302" s="5"/>
      <c r="O302" s="172"/>
    </row>
    <row r="303" spans="1:15">
      <c r="A303" s="505" t="s">
        <v>557</v>
      </c>
      <c r="B303" s="505"/>
      <c r="C303" s="505"/>
      <c r="D303" s="505"/>
      <c r="E303" s="505"/>
      <c r="F303" s="505"/>
      <c r="G303" s="505"/>
      <c r="H303" s="505"/>
      <c r="I303" s="505"/>
      <c r="J303" s="505"/>
      <c r="K303" s="505"/>
      <c r="L303" s="505"/>
      <c r="M303" s="505"/>
      <c r="N303" s="505"/>
      <c r="O303" s="505"/>
    </row>
    <row r="304" spans="1:15">
      <c r="A304" s="505" t="s">
        <v>37</v>
      </c>
      <c r="B304" s="505"/>
      <c r="C304" s="505"/>
      <c r="D304" s="505"/>
      <c r="E304" s="505"/>
      <c r="F304" s="505"/>
      <c r="G304" s="505"/>
      <c r="H304" s="505"/>
      <c r="I304" s="505"/>
      <c r="J304" s="505"/>
      <c r="K304" s="505"/>
      <c r="L304" s="505"/>
      <c r="M304" s="505"/>
      <c r="N304" s="505"/>
      <c r="O304" s="505"/>
    </row>
    <row r="305" spans="1:19">
      <c r="A305" s="12"/>
      <c r="B305" s="12"/>
      <c r="C305" s="12"/>
      <c r="D305" s="12"/>
      <c r="E305" s="12"/>
      <c r="F305" s="12"/>
      <c r="G305" s="12"/>
      <c r="H305" s="12"/>
      <c r="I305" s="243"/>
      <c r="J305" s="12"/>
      <c r="K305" s="12"/>
      <c r="L305" s="12"/>
      <c r="M305" s="243"/>
      <c r="N305" s="12"/>
      <c r="O305" s="243"/>
    </row>
    <row r="306" spans="1:19" ht="33" customHeight="1">
      <c r="A306" s="15"/>
      <c r="B306" s="21" t="s">
        <v>435</v>
      </c>
      <c r="C306" s="22"/>
      <c r="D306" s="152" t="s">
        <v>436</v>
      </c>
      <c r="E306" s="153"/>
      <c r="F306" s="152" t="s">
        <v>437</v>
      </c>
      <c r="G306" s="153"/>
      <c r="H306" s="21" t="s">
        <v>438</v>
      </c>
      <c r="I306" s="253"/>
      <c r="J306" s="152" t="s">
        <v>584</v>
      </c>
      <c r="K306" s="153"/>
      <c r="L306" s="22" t="s">
        <v>413</v>
      </c>
      <c r="M306" s="253"/>
      <c r="N306" s="22" t="s">
        <v>415</v>
      </c>
      <c r="O306" s="253"/>
    </row>
    <row r="307" spans="1:19">
      <c r="A307" s="16"/>
      <c r="B307" s="19" t="s">
        <v>439</v>
      </c>
      <c r="C307" s="18" t="s">
        <v>530</v>
      </c>
      <c r="D307" s="19" t="s">
        <v>439</v>
      </c>
      <c r="E307" s="18" t="s">
        <v>530</v>
      </c>
      <c r="F307" s="19" t="s">
        <v>439</v>
      </c>
      <c r="G307" s="18" t="s">
        <v>530</v>
      </c>
      <c r="H307" s="19" t="s">
        <v>439</v>
      </c>
      <c r="I307" s="254" t="s">
        <v>530</v>
      </c>
      <c r="J307" s="19" t="s">
        <v>439</v>
      </c>
      <c r="K307" s="18" t="s">
        <v>530</v>
      </c>
      <c r="L307" s="19" t="s">
        <v>439</v>
      </c>
      <c r="M307" s="254" t="s">
        <v>530</v>
      </c>
      <c r="N307" s="19" t="s">
        <v>439</v>
      </c>
      <c r="O307" s="254" t="s">
        <v>530</v>
      </c>
    </row>
    <row r="308" spans="1:19" s="168" customFormat="1" ht="18" customHeight="1">
      <c r="A308" s="181" t="s">
        <v>559</v>
      </c>
      <c r="B308" s="185">
        <f>+GETPIVOTDATA(" New Prof avg",'Averages Pivot Table'!$A$3,"Category2","Two-Year")</f>
        <v>66340.837792689941</v>
      </c>
      <c r="C308" s="185"/>
      <c r="D308" s="185">
        <f>+GETPIVOTDATA(" New Asc. avg",'Averages Pivot Table'!$A$3,"Category2","Two-Year")</f>
        <v>55655.11513281145</v>
      </c>
      <c r="E308" s="185"/>
      <c r="F308" s="185">
        <f>+GETPIVOTDATA(" New Ast. avg",'Averages Pivot Table'!$A$3,"Category2","Two-Year")</f>
        <v>49965.63131539349</v>
      </c>
      <c r="G308" s="185"/>
      <c r="H308" s="185">
        <f>+GETPIVOTDATA(" New Inst. avg",'Averages Pivot Table'!$A$3,"Category2","Two-Year")</f>
        <v>45487.87791622588</v>
      </c>
      <c r="I308" s="257"/>
      <c r="J308" s="185">
        <f>+GETPIVOTDATA(" New Undesg. avg",'Averages Pivot Table'!$A$3,"Category2","Two-Year")</f>
        <v>43117.61258039216</v>
      </c>
      <c r="K308" s="185"/>
      <c r="L308" s="185">
        <f>+GETPIVOTDATA(" New Single Rnk avg",'Averages Pivot Table'!$A$3,"Category2","Two-Year")</f>
        <v>50445.942151370662</v>
      </c>
      <c r="M308" s="257"/>
      <c r="N308" s="185">
        <f>+GETPIVOTDATA(" New All Ranks avg",'Averages Pivot Table'!$A$3,"Category2","Two-Year")</f>
        <v>51451.692097044201</v>
      </c>
      <c r="O308" s="244"/>
      <c r="Q308" s="209"/>
      <c r="R308" s="209"/>
      <c r="S308" s="209"/>
    </row>
    <row r="309" spans="1:19" ht="12.95" customHeight="1">
      <c r="A309" s="12"/>
      <c r="B309" s="9"/>
      <c r="C309" s="17"/>
      <c r="D309" s="9"/>
      <c r="E309" s="17"/>
      <c r="F309" s="9"/>
      <c r="G309" s="17"/>
      <c r="H309" s="9"/>
      <c r="I309" s="261"/>
      <c r="J309" s="9"/>
      <c r="K309" s="17"/>
      <c r="L309" s="9"/>
      <c r="M309" s="261"/>
      <c r="N309" s="9"/>
      <c r="O309" s="245"/>
    </row>
    <row r="310" spans="1:19" ht="12.95" customHeight="1">
      <c r="A310" s="12" t="s">
        <v>542</v>
      </c>
      <c r="B310" s="62">
        <f>+GETPIVOTDATA(" New Prof avg",'Averages Pivot Table'!$A$3,"State","AL","Category2","Two-Year")</f>
        <v>0</v>
      </c>
      <c r="C310" s="141">
        <f>IF(B310&gt;0,(RANK(B310,B$310:B$328)),0)</f>
        <v>0</v>
      </c>
      <c r="D310" s="62">
        <f>+GETPIVOTDATA(" New Asc. avg",'Averages Pivot Table'!$A$3,"State","AL","Category2","Two-Year")</f>
        <v>0</v>
      </c>
      <c r="E310" s="141">
        <f>IF(D310&gt;0,(RANK(D310,D$310:D$328)),0)</f>
        <v>0</v>
      </c>
      <c r="F310" s="62">
        <f>+GETPIVOTDATA(" New Ast. avg",'Averages Pivot Table'!$A$3,"State","AL","Category2","Two-Year")</f>
        <v>0</v>
      </c>
      <c r="G310" s="141">
        <f t="shared" ref="G310:G328" si="36">IF(F310&gt;0,(RANK(F310,F$310:F$328)),0)</f>
        <v>0</v>
      </c>
      <c r="H310" s="62">
        <f>+GETPIVOTDATA(" New Inst. avg",'Averages Pivot Table'!$A$3,"State","AL","Category2","Two-Year")</f>
        <v>0</v>
      </c>
      <c r="I310" s="229">
        <f t="shared" ref="I310:I328" si="37">IF(H310&gt;0,(RANK(H310,H$310:H$328)),0)</f>
        <v>0</v>
      </c>
      <c r="J310" s="62">
        <f>+GETPIVOTDATA(" New Undesg. avg",'Averages Pivot Table'!$A$3,"State","AL","Category2","Two-Year")</f>
        <v>0</v>
      </c>
      <c r="K310" s="141">
        <f t="shared" ref="K310:K328" si="38">IF(J310&gt;0,(RANK(J310,J$310:J$328)),0)</f>
        <v>0</v>
      </c>
      <c r="L310" s="62">
        <f>+GETPIVOTDATA(" New Single Rnk avg",'Averages Pivot Table'!$A$3,"State","AL","Category2","Two-Year")</f>
        <v>53081.219350737803</v>
      </c>
      <c r="M310" s="229">
        <f t="shared" ref="M310:M328" si="39">IF(L310&gt;0,(RANK(L310,L$310:L$328)),0)</f>
        <v>4</v>
      </c>
      <c r="N310" s="62">
        <f>+GETPIVOTDATA(" New All Ranks avg",'Averages Pivot Table'!$A$3,"State","AL","Category2","Two-Year")</f>
        <v>53081.219350737803</v>
      </c>
      <c r="O310" s="229">
        <f t="shared" ref="O310:O328" si="40">IF(N310&gt;0,(RANK(N310,N$310:N$328)),0)</f>
        <v>5</v>
      </c>
    </row>
    <row r="311" spans="1:19" ht="12.95" customHeight="1">
      <c r="A311" s="12" t="s">
        <v>543</v>
      </c>
      <c r="B311" s="62">
        <f>+GETPIVOTDATA(" New Prof avg",'Averages Pivot Table'!$A$3,"State","AR","Category2","Two-Year")</f>
        <v>62645.824399999998</v>
      </c>
      <c r="C311" s="141">
        <f t="shared" ref="C311:E328" si="41">IF(B311&gt;0,(RANK(B311,B$310:B$328)),0)</f>
        <v>7</v>
      </c>
      <c r="D311" s="62">
        <f>+GETPIVOTDATA(" New Asc. avg",'Averages Pivot Table'!$A$3,"State","AR","Category2","Two-Year")</f>
        <v>51673.68736363636</v>
      </c>
      <c r="E311" s="141">
        <f t="shared" si="41"/>
        <v>8</v>
      </c>
      <c r="F311" s="62">
        <f>+GETPIVOTDATA(" New Ast. avg",'Averages Pivot Table'!$A$3,"State","AR","Category2","Two-Year")</f>
        <v>44378.945150339947</v>
      </c>
      <c r="G311" s="141">
        <f t="shared" si="36"/>
        <v>7</v>
      </c>
      <c r="H311" s="62">
        <f>+GETPIVOTDATA(" New Inst. avg",'Averages Pivot Table'!$A$3,"State","AR","Category2","Two-Year")</f>
        <v>34450.934210526313</v>
      </c>
      <c r="I311" s="229">
        <f t="shared" si="37"/>
        <v>10</v>
      </c>
      <c r="J311" s="62">
        <f>+GETPIVOTDATA(" New Undesg. avg",'Averages Pivot Table'!$A$3,"State","AR","Category2","Two-Year")</f>
        <v>43479.288297560975</v>
      </c>
      <c r="K311" s="141">
        <f t="shared" si="38"/>
        <v>4</v>
      </c>
      <c r="L311" s="62">
        <f>+GETPIVOTDATA(" New Single Rnk avg",'Averages Pivot Table'!$A$3,"State","AR","Category2","Two-Year")</f>
        <v>42964.835029715767</v>
      </c>
      <c r="M311" s="229">
        <f t="shared" si="39"/>
        <v>8</v>
      </c>
      <c r="N311" s="62">
        <f>+GETPIVOTDATA(" New All Ranks avg",'Averages Pivot Table'!$A$3,"State","AR","Category2","Two-Year")</f>
        <v>42374.611796969337</v>
      </c>
      <c r="O311" s="229">
        <f t="shared" si="40"/>
        <v>16</v>
      </c>
    </row>
    <row r="312" spans="1:19" ht="12.95" customHeight="1">
      <c r="A312" s="12" t="s">
        <v>558</v>
      </c>
      <c r="B312" s="62">
        <f>+GETPIVOTDATA(" New Prof avg",'Averages Pivot Table'!$A$3,"State","DE","Category2","Two-Year")</f>
        <v>0</v>
      </c>
      <c r="C312" s="141">
        <f t="shared" si="41"/>
        <v>0</v>
      </c>
      <c r="D312" s="62">
        <f>+GETPIVOTDATA(" New Asc. avg",'Averages Pivot Table'!$A$3,"State","DE","Category2","Two-Year")</f>
        <v>0</v>
      </c>
      <c r="E312" s="141">
        <f t="shared" si="41"/>
        <v>0</v>
      </c>
      <c r="F312" s="62">
        <f>+GETPIVOTDATA(" New Ast. avg",'Averages Pivot Table'!$A$3,"State","DE","Category2","Two-Year")</f>
        <v>0</v>
      </c>
      <c r="G312" s="141">
        <f t="shared" si="36"/>
        <v>0</v>
      </c>
      <c r="H312" s="62">
        <f>+GETPIVOTDATA(" New Inst. avg",'Averages Pivot Table'!$A$3,"State","DE","Category2","Two-Year")</f>
        <v>0</v>
      </c>
      <c r="I312" s="229">
        <f t="shared" si="37"/>
        <v>0</v>
      </c>
      <c r="J312" s="62">
        <f>+GETPIVOTDATA(" New Undesg. avg",'Averages Pivot Table'!$A$3,"State","DE","Category2","Two-Year")</f>
        <v>0</v>
      </c>
      <c r="K312" s="141">
        <f t="shared" si="38"/>
        <v>0</v>
      </c>
      <c r="L312" s="62">
        <f>+GETPIVOTDATA(" New Single Rnk avg",'Averages Pivot Table'!$A$3,"State","DE","Category2","Two-Year")</f>
        <v>63827.992744235926</v>
      </c>
      <c r="M312" s="229">
        <f t="shared" si="39"/>
        <v>1</v>
      </c>
      <c r="N312" s="62">
        <f>+GETPIVOTDATA(" New All Ranks avg",'Averages Pivot Table'!$A$3,"State","DE","Category2","Two-Year")</f>
        <v>63827.992744235926</v>
      </c>
      <c r="O312" s="229">
        <f t="shared" si="40"/>
        <v>2</v>
      </c>
    </row>
    <row r="313" spans="1:19" ht="12.95" customHeight="1">
      <c r="A313" s="12" t="s">
        <v>544</v>
      </c>
      <c r="B313" s="62">
        <f>+GETPIVOTDATA(" New Prof avg",'Averages Pivot Table'!$A$3,"State","FL","Category2","Two-Year")</f>
        <v>0</v>
      </c>
      <c r="C313" s="141">
        <f t="shared" si="41"/>
        <v>0</v>
      </c>
      <c r="D313" s="62">
        <f>+GETPIVOTDATA(" New Asc. avg",'Averages Pivot Table'!$A$3,"State","FL","Category2","Two-Year")</f>
        <v>0</v>
      </c>
      <c r="E313" s="141">
        <f t="shared" si="41"/>
        <v>0</v>
      </c>
      <c r="F313" s="62">
        <f>+GETPIVOTDATA(" New Ast. avg",'Averages Pivot Table'!$A$3,"State","FL","Category2","Two-Year")</f>
        <v>0</v>
      </c>
      <c r="G313" s="141">
        <f t="shared" si="36"/>
        <v>0</v>
      </c>
      <c r="H313" s="62">
        <f>+GETPIVOTDATA(" New Inst. avg",'Averages Pivot Table'!$A$3,"State","FL","Category2","Two-Year")</f>
        <v>0</v>
      </c>
      <c r="I313" s="229">
        <f t="shared" si="37"/>
        <v>0</v>
      </c>
      <c r="J313" s="62">
        <f>+GETPIVOTDATA(" New Undesg. avg",'Averages Pivot Table'!$A$3,"State","FL","Category2","Two-Year")</f>
        <v>0</v>
      </c>
      <c r="K313" s="141">
        <f t="shared" si="38"/>
        <v>0</v>
      </c>
      <c r="L313" s="62">
        <f>+GETPIVOTDATA(" New Single Rnk avg",'Averages Pivot Table'!$A$3,"State","FL","Category2","Two-Year")</f>
        <v>53533.000938438439</v>
      </c>
      <c r="M313" s="229">
        <f t="shared" si="39"/>
        <v>2</v>
      </c>
      <c r="N313" s="62">
        <f>+GETPIVOTDATA(" New All Ranks avg",'Averages Pivot Table'!$A$3,"State","FL","Category2","Two-Year")</f>
        <v>53533.000938438439</v>
      </c>
      <c r="O313" s="229">
        <f t="shared" si="40"/>
        <v>4</v>
      </c>
    </row>
    <row r="314" spans="1:19" ht="12.95" customHeight="1">
      <c r="A314" s="12"/>
      <c r="B314" s="62"/>
      <c r="C314" s="141">
        <f t="shared" si="41"/>
        <v>0</v>
      </c>
      <c r="D314" s="62"/>
      <c r="E314" s="141">
        <f t="shared" si="41"/>
        <v>0</v>
      </c>
      <c r="F314" s="62"/>
      <c r="G314" s="141">
        <f t="shared" si="36"/>
        <v>0</v>
      </c>
      <c r="H314" s="62"/>
      <c r="I314" s="229">
        <f t="shared" si="37"/>
        <v>0</v>
      </c>
      <c r="J314" s="62"/>
      <c r="K314" s="141">
        <f t="shared" si="38"/>
        <v>0</v>
      </c>
      <c r="L314" s="62"/>
      <c r="M314" s="229">
        <f t="shared" si="39"/>
        <v>0</v>
      </c>
      <c r="N314" s="62"/>
      <c r="O314" s="229">
        <f t="shared" si="40"/>
        <v>0</v>
      </c>
    </row>
    <row r="315" spans="1:19" ht="12.95" customHeight="1">
      <c r="A315" s="12" t="s">
        <v>545</v>
      </c>
      <c r="B315" s="62">
        <f>+GETPIVOTDATA(" New Prof avg",'Averages Pivot Table'!$A$3,"State","GA","Category2","Two-Year")</f>
        <v>62652.464912820513</v>
      </c>
      <c r="C315" s="141">
        <f t="shared" si="41"/>
        <v>6</v>
      </c>
      <c r="D315" s="62">
        <f>+GETPIVOTDATA(" New Asc. avg",'Averages Pivot Table'!$A$3,"State","GA","Category2","Two-Year")</f>
        <v>53857.083024154592</v>
      </c>
      <c r="E315" s="141">
        <f t="shared" si="41"/>
        <v>6</v>
      </c>
      <c r="F315" s="62">
        <f>+GETPIVOTDATA(" New Ast. avg",'Averages Pivot Table'!$A$3,"State","GA","Category2","Two-Year")</f>
        <v>44783.737115384618</v>
      </c>
      <c r="G315" s="141">
        <f t="shared" si="36"/>
        <v>6</v>
      </c>
      <c r="H315" s="62">
        <f>+GETPIVOTDATA(" New Inst. avg",'Averages Pivot Table'!$A$3,"State","GA","Category2","Two-Year")</f>
        <v>39412.168814253899</v>
      </c>
      <c r="I315" s="229">
        <f t="shared" si="37"/>
        <v>6</v>
      </c>
      <c r="J315" s="62">
        <f>+GETPIVOTDATA(" New Undesg. avg",'Averages Pivot Table'!$A$3,"State","GA","Category2","Two-Year")</f>
        <v>0</v>
      </c>
      <c r="K315" s="141">
        <f t="shared" si="38"/>
        <v>0</v>
      </c>
      <c r="L315" s="62">
        <f>+GETPIVOTDATA(" New Single Rnk avg",'Averages Pivot Table'!$A$3,"State","GA","Category2","Two-Year")</f>
        <v>0</v>
      </c>
      <c r="M315" s="229">
        <f t="shared" si="39"/>
        <v>0</v>
      </c>
      <c r="N315" s="62">
        <f>+GETPIVOTDATA(" New All Ranks avg",'Averages Pivot Table'!$A$3,"State","GA","Category2","Two-Year")</f>
        <v>47794.293823316701</v>
      </c>
      <c r="O315" s="229">
        <f t="shared" si="40"/>
        <v>10</v>
      </c>
    </row>
    <row r="316" spans="1:19" ht="12.95" customHeight="1">
      <c r="A316" s="12" t="s">
        <v>546</v>
      </c>
      <c r="B316" s="62">
        <f>+GETPIVOTDATA(" New Prof avg",'Averages Pivot Table'!$A$3,"State","KY","Category2","Two-Year")</f>
        <v>58793.435256164383</v>
      </c>
      <c r="C316" s="141">
        <f t="shared" si="41"/>
        <v>10</v>
      </c>
      <c r="D316" s="62">
        <f>+GETPIVOTDATA(" New Asc. avg",'Averages Pivot Table'!$A$3,"State","KY","Category2","Two-Year")</f>
        <v>48790.100804102571</v>
      </c>
      <c r="E316" s="141">
        <f t="shared" si="41"/>
        <v>10</v>
      </c>
      <c r="F316" s="62">
        <f>+GETPIVOTDATA(" New Ast. avg",'Averages Pivot Table'!$A$3,"State","KY","Category2","Two-Year")</f>
        <v>41833.297475167783</v>
      </c>
      <c r="G316" s="141">
        <f t="shared" si="36"/>
        <v>10</v>
      </c>
      <c r="H316" s="62">
        <f>+GETPIVOTDATA(" New Inst. avg",'Averages Pivot Table'!$A$3,"State","KY","Category2","Two-Year")</f>
        <v>37295.215419787986</v>
      </c>
      <c r="I316" s="229">
        <f t="shared" si="37"/>
        <v>9</v>
      </c>
      <c r="J316" s="62">
        <f>+GETPIVOTDATA(" New Undesg. avg",'Averages Pivot Table'!$A$3,"State","KY","Category2","Two-Year")</f>
        <v>0</v>
      </c>
      <c r="K316" s="141">
        <f t="shared" si="38"/>
        <v>0</v>
      </c>
      <c r="L316" s="62">
        <f>+GETPIVOTDATA(" New Single Rnk avg",'Averages Pivot Table'!$A$3,"State","KY","Category2","Two-Year")</f>
        <v>0</v>
      </c>
      <c r="M316" s="229">
        <f t="shared" si="39"/>
        <v>0</v>
      </c>
      <c r="N316" s="62">
        <f>+GETPIVOTDATA(" New All Ranks avg",'Averages Pivot Table'!$A$3,"State","KY","Category2","Two-Year")</f>
        <v>49084.825012228575</v>
      </c>
      <c r="O316" s="229">
        <f t="shared" si="40"/>
        <v>8</v>
      </c>
    </row>
    <row r="317" spans="1:19" ht="12.95" customHeight="1">
      <c r="A317" s="12" t="s">
        <v>547</v>
      </c>
      <c r="B317" s="62">
        <f>+GETPIVOTDATA(" New Prof avg",'Averages Pivot Table'!$A$3,"State","LA","Category2","Two-Year")</f>
        <v>72246.050458646612</v>
      </c>
      <c r="C317" s="141">
        <f t="shared" si="41"/>
        <v>2</v>
      </c>
      <c r="D317" s="62">
        <f>+GETPIVOTDATA(" New Asc. avg",'Averages Pivot Table'!$A$3,"State","LA","Category2","Two-Year")</f>
        <v>56716.09088820513</v>
      </c>
      <c r="E317" s="141">
        <f t="shared" si="41"/>
        <v>4</v>
      </c>
      <c r="F317" s="62">
        <f>+GETPIVOTDATA(" New Ast. avg",'Averages Pivot Table'!$A$3,"State","LA","Category2","Two-Year")</f>
        <v>51349.508998449608</v>
      </c>
      <c r="G317" s="141">
        <f t="shared" si="36"/>
        <v>4</v>
      </c>
      <c r="H317" s="62">
        <f>+GETPIVOTDATA(" New Inst. avg",'Averages Pivot Table'!$A$3,"State","LA","Category2","Two-Year")</f>
        <v>44430.764483290484</v>
      </c>
      <c r="I317" s="229">
        <f t="shared" si="37"/>
        <v>4</v>
      </c>
      <c r="J317" s="62">
        <f>+GETPIVOTDATA(" New Undesg. avg",'Averages Pivot Table'!$A$3,"State","LA","Category2","Two-Year")</f>
        <v>39935.561892800004</v>
      </c>
      <c r="K317" s="141">
        <f t="shared" si="38"/>
        <v>6</v>
      </c>
      <c r="L317" s="62">
        <f>+GETPIVOTDATA(" New Single Rnk avg",'Averages Pivot Table'!$A$3,"State","LA","Category2","Two-Year")</f>
        <v>0</v>
      </c>
      <c r="M317" s="229">
        <f t="shared" si="39"/>
        <v>0</v>
      </c>
      <c r="N317" s="62">
        <f>+GETPIVOTDATA(" New All Ranks avg",'Averages Pivot Table'!$A$3,"State","LA","Category2","Two-Year")</f>
        <v>51083.680342181819</v>
      </c>
      <c r="O317" s="229">
        <f t="shared" si="40"/>
        <v>7</v>
      </c>
    </row>
    <row r="318" spans="1:19" ht="12.95" customHeight="1">
      <c r="A318" s="12" t="s">
        <v>548</v>
      </c>
      <c r="B318" s="62">
        <f>+GETPIVOTDATA(" New Prof avg",'Averages Pivot Table'!$A$3,"State","MD","Category2","Two-Year")</f>
        <v>79619.437739205954</v>
      </c>
      <c r="C318" s="141">
        <f t="shared" si="41"/>
        <v>1</v>
      </c>
      <c r="D318" s="62">
        <f>+GETPIVOTDATA(" New Asc. avg",'Averages Pivot Table'!$A$3,"State","MD","Category2","Two-Year")</f>
        <v>64021.549936392403</v>
      </c>
      <c r="E318" s="141">
        <f t="shared" si="41"/>
        <v>1</v>
      </c>
      <c r="F318" s="62">
        <f>+GETPIVOTDATA(" New Ast. avg",'Averages Pivot Table'!$A$3,"State","MD","Category2","Two-Year")</f>
        <v>54553.639880434785</v>
      </c>
      <c r="G318" s="141">
        <f t="shared" si="36"/>
        <v>1</v>
      </c>
      <c r="H318" s="62">
        <f>+GETPIVOTDATA(" New Inst. avg",'Averages Pivot Table'!$A$3,"State","MD","Category2","Two-Year")</f>
        <v>47189.557498979593</v>
      </c>
      <c r="I318" s="229">
        <f t="shared" si="37"/>
        <v>3</v>
      </c>
      <c r="J318" s="62">
        <f>+GETPIVOTDATA(" New Undesg. avg",'Averages Pivot Table'!$A$3,"State","MD","Category2","Two-Year")</f>
        <v>50617.183360000003</v>
      </c>
      <c r="K318" s="141">
        <f t="shared" si="38"/>
        <v>1</v>
      </c>
      <c r="L318" s="62">
        <f>+GETPIVOTDATA(" New Single Rnk avg",'Averages Pivot Table'!$A$3,"State","MD","Category2","Two-Year")</f>
        <v>0</v>
      </c>
      <c r="M318" s="229">
        <f t="shared" si="39"/>
        <v>0</v>
      </c>
      <c r="N318" s="62">
        <f>+GETPIVOTDATA(" New All Ranks avg",'Averages Pivot Table'!$A$3,"State","MD","Category2","Two-Year")</f>
        <v>64963.622954189465</v>
      </c>
      <c r="O318" s="229">
        <f t="shared" si="40"/>
        <v>1</v>
      </c>
    </row>
    <row r="319" spans="1:19" ht="12.95" customHeight="1">
      <c r="A319" s="12"/>
      <c r="B319" s="62"/>
      <c r="C319" s="141">
        <f t="shared" si="41"/>
        <v>0</v>
      </c>
      <c r="D319" s="62"/>
      <c r="E319" s="141">
        <f t="shared" si="41"/>
        <v>0</v>
      </c>
      <c r="F319" s="62"/>
      <c r="G319" s="141">
        <f t="shared" si="36"/>
        <v>0</v>
      </c>
      <c r="H319" s="62"/>
      <c r="I319" s="229">
        <f t="shared" si="37"/>
        <v>0</v>
      </c>
      <c r="J319" s="62"/>
      <c r="K319" s="141">
        <f t="shared" si="38"/>
        <v>0</v>
      </c>
      <c r="L319" s="62"/>
      <c r="M319" s="229">
        <f t="shared" si="39"/>
        <v>0</v>
      </c>
      <c r="N319" s="62"/>
      <c r="O319" s="229">
        <f t="shared" si="40"/>
        <v>0</v>
      </c>
    </row>
    <row r="320" spans="1:19" ht="12.95" customHeight="1">
      <c r="A320" s="12" t="s">
        <v>549</v>
      </c>
      <c r="B320" s="62">
        <f>+GETPIVOTDATA(" New Prof avg",'Averages Pivot Table'!$A$3,"State","MS","Category2","Two-Year")</f>
        <v>0</v>
      </c>
      <c r="C320" s="141">
        <f t="shared" si="41"/>
        <v>0</v>
      </c>
      <c r="D320" s="62">
        <f>+GETPIVOTDATA(" New Asc. avg",'Averages Pivot Table'!$A$3,"State","MS","Category2","Two-Year")</f>
        <v>0</v>
      </c>
      <c r="E320" s="141">
        <f t="shared" si="41"/>
        <v>0</v>
      </c>
      <c r="F320" s="62">
        <f>+GETPIVOTDATA(" New Ast. avg",'Averages Pivot Table'!$A$3,"State","MS","Category2","Two-Year")</f>
        <v>0</v>
      </c>
      <c r="G320" s="141">
        <f t="shared" si="36"/>
        <v>0</v>
      </c>
      <c r="H320" s="62">
        <f>+GETPIVOTDATA(" New Inst. avg",'Averages Pivot Table'!$A$3,"State","MS","Category2","Two-Year")</f>
        <v>0</v>
      </c>
      <c r="I320" s="229">
        <f t="shared" si="37"/>
        <v>0</v>
      </c>
      <c r="J320" s="62">
        <f>+GETPIVOTDATA(" New Undesg. avg",'Averages Pivot Table'!$A$3,"State","MS","Category2","Two-Year")</f>
        <v>0</v>
      </c>
      <c r="K320" s="141">
        <f t="shared" si="38"/>
        <v>0</v>
      </c>
      <c r="L320" s="62">
        <f>+GETPIVOTDATA(" New Single Rnk avg",'Averages Pivot Table'!$A$3,"State","MS","Category2","Two-Year")</f>
        <v>47867.382526692323</v>
      </c>
      <c r="M320" s="229">
        <f t="shared" si="39"/>
        <v>5</v>
      </c>
      <c r="N320" s="62">
        <f>+GETPIVOTDATA(" New All Ranks avg",'Averages Pivot Table'!$A$3,"State","MS","Category2","Two-Year")</f>
        <v>47867.382526692323</v>
      </c>
      <c r="O320" s="229">
        <f t="shared" si="40"/>
        <v>9</v>
      </c>
    </row>
    <row r="321" spans="1:15" ht="12.95" customHeight="1">
      <c r="A321" s="12" t="s">
        <v>550</v>
      </c>
      <c r="B321" s="62">
        <f>+GETPIVOTDATA(" New Prof avg",'Averages Pivot Table'!$A$3,"State","NC","Category2","Two-Year")</f>
        <v>0</v>
      </c>
      <c r="C321" s="141">
        <f t="shared" si="41"/>
        <v>0</v>
      </c>
      <c r="D321" s="62">
        <f>+GETPIVOTDATA(" New Asc. avg",'Averages Pivot Table'!$A$3,"State","NC","Category2","Two-Year")</f>
        <v>0</v>
      </c>
      <c r="E321" s="141">
        <f t="shared" si="41"/>
        <v>0</v>
      </c>
      <c r="F321" s="62">
        <f>+GETPIVOTDATA(" New Ast. avg",'Averages Pivot Table'!$A$3,"State","NC","Category2","Two-Year")</f>
        <v>0</v>
      </c>
      <c r="G321" s="141">
        <f t="shared" si="36"/>
        <v>0</v>
      </c>
      <c r="H321" s="62">
        <f>+GETPIVOTDATA(" New Inst. avg",'Averages Pivot Table'!$A$3,"State","NC","Category2","Two-Year")</f>
        <v>0</v>
      </c>
      <c r="I321" s="229">
        <f t="shared" si="37"/>
        <v>0</v>
      </c>
      <c r="J321" s="62">
        <f>+GETPIVOTDATA(" New Undesg. avg",'Averages Pivot Table'!$A$3,"State","NC","Category2","Two-Year")</f>
        <v>0</v>
      </c>
      <c r="K321" s="141">
        <f t="shared" si="38"/>
        <v>0</v>
      </c>
      <c r="L321" s="62">
        <f>+GETPIVOTDATA(" New Single Rnk avg",'Averages Pivot Table'!$A$3,"State","NC","Category2","Two-Year")</f>
        <v>47593.521649484537</v>
      </c>
      <c r="M321" s="229">
        <f t="shared" si="39"/>
        <v>6</v>
      </c>
      <c r="N321" s="62">
        <f>+GETPIVOTDATA(" New All Ranks avg",'Averages Pivot Table'!$A$3,"State","NC","Category2","Two-Year")</f>
        <v>47593.521649484537</v>
      </c>
      <c r="O321" s="229">
        <f t="shared" si="40"/>
        <v>11</v>
      </c>
    </row>
    <row r="322" spans="1:15" ht="12.95" customHeight="1">
      <c r="A322" s="12" t="s">
        <v>551</v>
      </c>
      <c r="B322" s="62">
        <f>+GETPIVOTDATA(" New Prof avg",'Averages Pivot Table'!$A$3,"State","OK","Category2","Two-Year")</f>
        <v>0</v>
      </c>
      <c r="C322" s="141">
        <f t="shared" si="41"/>
        <v>0</v>
      </c>
      <c r="D322" s="62">
        <f>+GETPIVOTDATA(" New Asc. avg",'Averages Pivot Table'!$A$3,"State","OK","Category2","Two-Year")</f>
        <v>0</v>
      </c>
      <c r="E322" s="141">
        <f t="shared" si="41"/>
        <v>0</v>
      </c>
      <c r="F322" s="62">
        <f>+GETPIVOTDATA(" New Ast. avg",'Averages Pivot Table'!$A$3,"State","OK","Category2","Two-Year")</f>
        <v>0</v>
      </c>
      <c r="G322" s="141">
        <f t="shared" si="36"/>
        <v>0</v>
      </c>
      <c r="H322" s="62">
        <f>+GETPIVOTDATA(" New Inst. avg",'Averages Pivot Table'!$A$3,"State","OK","Category2","Two-Year")</f>
        <v>0</v>
      </c>
      <c r="I322" s="229">
        <f t="shared" si="37"/>
        <v>0</v>
      </c>
      <c r="J322" s="62">
        <f>+GETPIVOTDATA(" New Undesg. avg",'Averages Pivot Table'!$A$3,"State","OK","Category2","Two-Year")</f>
        <v>0</v>
      </c>
      <c r="K322" s="141">
        <f t="shared" si="38"/>
        <v>0</v>
      </c>
      <c r="L322" s="62">
        <f>+GETPIVOTDATA(" New Single Rnk avg",'Averages Pivot Table'!$A$3,"State","OK","Category2","Two-Year")</f>
        <v>45887.667158904114</v>
      </c>
      <c r="M322" s="229">
        <f t="shared" si="39"/>
        <v>7</v>
      </c>
      <c r="N322" s="62">
        <f>+GETPIVOTDATA(" New All Ranks avg",'Averages Pivot Table'!$A$3,"State","OK","Category2","Two-Year")</f>
        <v>45887.667158904114</v>
      </c>
      <c r="O322" s="229">
        <f t="shared" si="40"/>
        <v>15</v>
      </c>
    </row>
    <row r="323" spans="1:15" ht="12.95" customHeight="1">
      <c r="A323" s="12" t="s">
        <v>552</v>
      </c>
      <c r="B323" s="62">
        <f>+GETPIVOTDATA(" New Prof avg",'Averages Pivot Table'!$A$3,"State","SC","Category2","Two-Year")</f>
        <v>66715.937208333329</v>
      </c>
      <c r="C323" s="141">
        <f t="shared" si="41"/>
        <v>4</v>
      </c>
      <c r="D323" s="62">
        <f>+GETPIVOTDATA(" New Asc. avg",'Averages Pivot Table'!$A$3,"State","SC","Category2","Two-Year")</f>
        <v>58613.594825</v>
      </c>
      <c r="E323" s="141">
        <f t="shared" si="41"/>
        <v>3</v>
      </c>
      <c r="F323" s="62">
        <f>+GETPIVOTDATA(" New Ast. avg",'Averages Pivot Table'!$A$3,"State","SC","Category2","Two-Year")</f>
        <v>47797.524429629622</v>
      </c>
      <c r="G323" s="141">
        <f t="shared" si="36"/>
        <v>5</v>
      </c>
      <c r="H323" s="62">
        <f>+GETPIVOTDATA(" New Inst. avg",'Averages Pivot Table'!$A$3,"State","SC","Category2","Two-Year")</f>
        <v>41917.928580327869</v>
      </c>
      <c r="I323" s="229">
        <f t="shared" si="37"/>
        <v>5</v>
      </c>
      <c r="J323" s="62">
        <f>+GETPIVOTDATA(" New Undesg. avg",'Averages Pivot Table'!$A$3,"State","SC","Category2","Two-Year")</f>
        <v>46064.99857707139</v>
      </c>
      <c r="K323" s="141">
        <f t="shared" si="38"/>
        <v>3</v>
      </c>
      <c r="L323" s="62">
        <f>+GETPIVOTDATA(" New Single Rnk avg",'Averages Pivot Table'!$A$3,"State","SC","Category2","Two-Year")</f>
        <v>0</v>
      </c>
      <c r="M323" s="229">
        <f t="shared" si="39"/>
        <v>0</v>
      </c>
      <c r="N323" s="62">
        <f>+GETPIVOTDATA(" New All Ranks avg",'Averages Pivot Table'!$A$3,"State","SC","Category2","Two-Year")</f>
        <v>46464.498816968538</v>
      </c>
      <c r="O323" s="229">
        <f t="shared" si="40"/>
        <v>14</v>
      </c>
    </row>
    <row r="324" spans="1:15" ht="12.95" customHeight="1">
      <c r="A324" s="12"/>
      <c r="B324" s="62"/>
      <c r="C324" s="141">
        <f t="shared" si="41"/>
        <v>0</v>
      </c>
      <c r="D324" s="62"/>
      <c r="E324" s="141">
        <f t="shared" si="41"/>
        <v>0</v>
      </c>
      <c r="F324" s="62"/>
      <c r="G324" s="141">
        <f t="shared" si="36"/>
        <v>0</v>
      </c>
      <c r="H324" s="62"/>
      <c r="I324" s="229">
        <f t="shared" si="37"/>
        <v>0</v>
      </c>
      <c r="J324" s="62"/>
      <c r="K324" s="141">
        <f t="shared" si="38"/>
        <v>0</v>
      </c>
      <c r="L324" s="62"/>
      <c r="M324" s="229">
        <f t="shared" si="39"/>
        <v>0</v>
      </c>
      <c r="N324" s="62"/>
      <c r="O324" s="229">
        <f t="shared" si="40"/>
        <v>0</v>
      </c>
    </row>
    <row r="325" spans="1:15" ht="12.95" customHeight="1">
      <c r="A325" s="12" t="s">
        <v>553</v>
      </c>
      <c r="B325" s="140">
        <f>+GETPIVOTDATA(" New Prof avg",'Averages Pivot Table'!$A$3,"State","TN","Category2","Two-Year")</f>
        <v>60502.123031481482</v>
      </c>
      <c r="C325" s="141">
        <f t="shared" si="41"/>
        <v>8</v>
      </c>
      <c r="D325" s="140">
        <f>+GETPIVOTDATA(" New Asc. avg",'Averages Pivot Table'!$A$3,"State","TN","Category2","Two-Year")</f>
        <v>50698.321663197974</v>
      </c>
      <c r="E325" s="141">
        <f t="shared" si="41"/>
        <v>9</v>
      </c>
      <c r="F325" s="140">
        <f>+GETPIVOTDATA(" New Ast. avg",'Averages Pivot Table'!$A$3,"State","TN","Category2","Two-Year")</f>
        <v>41969.399986301374</v>
      </c>
      <c r="G325" s="141">
        <f t="shared" si="36"/>
        <v>9</v>
      </c>
      <c r="H325" s="140">
        <f>+GETPIVOTDATA(" New Inst. avg",'Averages Pivot Table'!$A$3,"State","TN","Category2","Two-Year")</f>
        <v>37790.794245405406</v>
      </c>
      <c r="I325" s="229">
        <f t="shared" si="37"/>
        <v>8</v>
      </c>
      <c r="J325" s="140">
        <f>+GETPIVOTDATA(" New Undesg. avg",'Averages Pivot Table'!$A$3,"State","TN","Category2","Two-Year")</f>
        <v>46535</v>
      </c>
      <c r="K325" s="141">
        <f t="shared" si="38"/>
        <v>2</v>
      </c>
      <c r="L325" s="140">
        <f>+GETPIVOTDATA(" New Single Rnk avg",'Averages Pivot Table'!$A$3,"State","TN","Category2","Two-Year")</f>
        <v>0</v>
      </c>
      <c r="M325" s="229">
        <f t="shared" si="39"/>
        <v>0</v>
      </c>
      <c r="N325" s="62">
        <f>+GETPIVOTDATA(" New All Ranks avg",'Averages Pivot Table'!$A$3,"State","TN","Category2","Two-Year")</f>
        <v>47337.181558160919</v>
      </c>
      <c r="O325" s="229">
        <f t="shared" si="40"/>
        <v>12</v>
      </c>
    </row>
    <row r="326" spans="1:15" ht="12.95" customHeight="1">
      <c r="A326" s="12" t="s">
        <v>554</v>
      </c>
      <c r="B326" s="140">
        <f>+GETPIVOTDATA(" New Prof avg",'Averages Pivot Table'!$A$3,"State","TX","Category2","Two-Year")</f>
        <v>64215.868297269626</v>
      </c>
      <c r="C326" s="141">
        <f t="shared" si="41"/>
        <v>5</v>
      </c>
      <c r="D326" s="140">
        <f>+GETPIVOTDATA(" New Asc. avg",'Averages Pivot Table'!$A$3,"State","TX","Category2","Two-Year")</f>
        <v>56289.258403888889</v>
      </c>
      <c r="E326" s="141">
        <f t="shared" si="41"/>
        <v>5</v>
      </c>
      <c r="F326" s="140">
        <f>+GETPIVOTDATA(" New Ast. avg",'Averages Pivot Table'!$A$3,"State","TX","Category2","Two-Year")</f>
        <v>52482.089789917503</v>
      </c>
      <c r="G326" s="141">
        <f t="shared" si="36"/>
        <v>3</v>
      </c>
      <c r="H326" s="140">
        <f>+GETPIVOTDATA(" New Inst. avg",'Averages Pivot Table'!$A$3,"State","TX","Category2","Two-Year")</f>
        <v>47768.813433821575</v>
      </c>
      <c r="I326" s="229">
        <f t="shared" si="37"/>
        <v>1</v>
      </c>
      <c r="J326" s="140">
        <f>+GETPIVOTDATA(" New Undesg. avg",'Averages Pivot Table'!$A$3,"State","TX","Category2","Two-Year")</f>
        <v>22155.278557031252</v>
      </c>
      <c r="K326" s="141">
        <f t="shared" si="38"/>
        <v>7</v>
      </c>
      <c r="L326" s="140">
        <f>+GETPIVOTDATA(" New Single Rnk avg",'Averages Pivot Table'!$A$3,"State","TX","Category2","Two-Year")</f>
        <v>53529.64677245338</v>
      </c>
      <c r="M326" s="229">
        <f t="shared" si="39"/>
        <v>3</v>
      </c>
      <c r="N326" s="62">
        <f>+GETPIVOTDATA(" New All Ranks avg",'Averages Pivot Table'!$A$3,"State","TX","Category2","Two-Year")</f>
        <v>52940.823387550772</v>
      </c>
      <c r="O326" s="229">
        <f t="shared" si="40"/>
        <v>6</v>
      </c>
    </row>
    <row r="327" spans="1:15" ht="12.95" customHeight="1">
      <c r="A327" s="12" t="s">
        <v>555</v>
      </c>
      <c r="B327" s="140">
        <f>+GETPIVOTDATA(" New Prof avg",'Averages Pivot Table'!$A$3,"State","VA","Category2","Two-Year")</f>
        <v>67926.024875454532</v>
      </c>
      <c r="C327" s="141">
        <f t="shared" si="41"/>
        <v>3</v>
      </c>
      <c r="D327" s="140">
        <f>+GETPIVOTDATA(" New Asc. avg",'Averages Pivot Table'!$A$3,"State","VA","Category2","Two-Year")</f>
        <v>59729.546933740457</v>
      </c>
      <c r="E327" s="141">
        <f t="shared" si="41"/>
        <v>2</v>
      </c>
      <c r="F327" s="140">
        <f>+GETPIVOTDATA(" New Ast. avg",'Averages Pivot Table'!$A$3,"State","VA","Category2","Two-Year")</f>
        <v>54098.392395689654</v>
      </c>
      <c r="G327" s="141">
        <f t="shared" si="36"/>
        <v>2</v>
      </c>
      <c r="H327" s="140">
        <f>+GETPIVOTDATA(" New Inst. avg",'Averages Pivot Table'!$A$3,"State","VA","Category2","Two-Year")</f>
        <v>47726.916471497585</v>
      </c>
      <c r="I327" s="229">
        <f t="shared" si="37"/>
        <v>2</v>
      </c>
      <c r="J327" s="140">
        <f>+GETPIVOTDATA(" New Undesg. avg",'Averages Pivot Table'!$A$3,"State","VA","Category2","Two-Year")</f>
        <v>0</v>
      </c>
      <c r="K327" s="141">
        <f t="shared" si="38"/>
        <v>0</v>
      </c>
      <c r="L327" s="140">
        <f>+GETPIVOTDATA(" New Single Rnk avg",'Averages Pivot Table'!$A$3,"State","VA","Category2","Two-Year")</f>
        <v>0</v>
      </c>
      <c r="M327" s="229">
        <f t="shared" si="39"/>
        <v>0</v>
      </c>
      <c r="N327" s="62">
        <f>+GETPIVOTDATA(" New All Ranks avg",'Averages Pivot Table'!$A$3,"State","VA","Category2","Two-Year")</f>
        <v>57334.117330340137</v>
      </c>
      <c r="O327" s="229">
        <f t="shared" si="40"/>
        <v>3</v>
      </c>
    </row>
    <row r="328" spans="1:15" ht="12.95" customHeight="1">
      <c r="A328" s="11" t="s">
        <v>556</v>
      </c>
      <c r="B328" s="64">
        <f>+GETPIVOTDATA(" New Prof avg",'Averages Pivot Table'!$A$3,"State","WV","Category2","Two-Year")</f>
        <v>59780.286586991868</v>
      </c>
      <c r="C328" s="65">
        <f t="shared" si="41"/>
        <v>9</v>
      </c>
      <c r="D328" s="64">
        <f>+GETPIVOTDATA(" New Asc. avg",'Averages Pivot Table'!$A$3,"State","WV","Category2","Two-Year")</f>
        <v>52045.59142253521</v>
      </c>
      <c r="E328" s="65">
        <f t="shared" si="41"/>
        <v>7</v>
      </c>
      <c r="F328" s="64">
        <f>+GETPIVOTDATA(" New Ast. avg",'Averages Pivot Table'!$A$3,"State","WV","Category2","Two-Year")</f>
        <v>44040.407055172414</v>
      </c>
      <c r="G328" s="65">
        <f t="shared" si="36"/>
        <v>8</v>
      </c>
      <c r="H328" s="64">
        <f>+GETPIVOTDATA(" New Inst. avg",'Averages Pivot Table'!$A$3,"State","WV","Category2","Two-Year")</f>
        <v>37845.881957714286</v>
      </c>
      <c r="I328" s="230">
        <f t="shared" si="37"/>
        <v>7</v>
      </c>
      <c r="J328" s="64">
        <f>+GETPIVOTDATA(" New Undesg. avg",'Averages Pivot Table'!$A$3,"State","WV","Category2","Two-Year")</f>
        <v>40749.988914285721</v>
      </c>
      <c r="K328" s="65">
        <f t="shared" si="38"/>
        <v>5</v>
      </c>
      <c r="L328" s="64">
        <f>+GETPIVOTDATA(" New Single Rnk avg",'Averages Pivot Table'!$A$3,"State","WV","Category2","Two-Year")</f>
        <v>0</v>
      </c>
      <c r="M328" s="230">
        <f t="shared" si="39"/>
        <v>0</v>
      </c>
      <c r="N328" s="64">
        <f>+GETPIVOTDATA(" New All Ranks avg",'Averages Pivot Table'!$A$3,"State","WV","Category2","Two-Year")</f>
        <v>46629.4902374269</v>
      </c>
      <c r="O328" s="230">
        <f t="shared" si="40"/>
        <v>13</v>
      </c>
    </row>
    <row r="329" spans="1:15" ht="30" customHeight="1">
      <c r="A329" s="508" t="s">
        <v>425</v>
      </c>
      <c r="B329" s="508"/>
      <c r="C329" s="508"/>
      <c r="D329" s="508"/>
      <c r="E329" s="508"/>
      <c r="F329" s="508"/>
      <c r="G329" s="508"/>
      <c r="H329" s="508"/>
      <c r="I329" s="508"/>
      <c r="J329" s="508"/>
      <c r="K329" s="508"/>
      <c r="L329" s="508"/>
      <c r="M329" s="508"/>
      <c r="N329" s="508"/>
      <c r="O329" s="508"/>
    </row>
    <row r="330" spans="1:15">
      <c r="O330" s="487" t="s">
        <v>1000</v>
      </c>
    </row>
    <row r="331" spans="1:15" ht="18">
      <c r="A331" s="504" t="s">
        <v>575</v>
      </c>
      <c r="B331" s="504"/>
      <c r="C331" s="504"/>
      <c r="D331" s="504"/>
      <c r="E331" s="504"/>
      <c r="F331" s="504"/>
      <c r="G331" s="504"/>
      <c r="H331" s="504"/>
      <c r="I331" s="504"/>
      <c r="J331" s="504"/>
      <c r="K331" s="504"/>
      <c r="L331" s="504"/>
      <c r="M331" s="504"/>
      <c r="N331" s="504"/>
      <c r="O331" s="504"/>
    </row>
    <row r="332" spans="1:15">
      <c r="A332" s="23"/>
      <c r="B332" s="5"/>
      <c r="C332" s="5"/>
      <c r="D332" s="5"/>
      <c r="E332" s="5"/>
      <c r="F332" s="5"/>
      <c r="G332" s="5"/>
      <c r="H332" s="5"/>
      <c r="I332" s="172"/>
      <c r="J332" s="5"/>
      <c r="K332" s="5"/>
      <c r="L332" s="5"/>
      <c r="M332" s="172"/>
      <c r="N332" s="5"/>
      <c r="O332" s="172"/>
    </row>
    <row r="333" spans="1:15">
      <c r="A333" s="505" t="s">
        <v>557</v>
      </c>
      <c r="B333" s="505"/>
      <c r="C333" s="505"/>
      <c r="D333" s="505"/>
      <c r="E333" s="505"/>
      <c r="F333" s="505"/>
      <c r="G333" s="505"/>
      <c r="H333" s="505"/>
      <c r="I333" s="505"/>
      <c r="J333" s="505"/>
      <c r="K333" s="505"/>
      <c r="L333" s="505"/>
      <c r="M333" s="505"/>
      <c r="N333" s="505"/>
      <c r="O333" s="505"/>
    </row>
    <row r="334" spans="1:15">
      <c r="A334" s="505" t="s">
        <v>38</v>
      </c>
      <c r="B334" s="505"/>
      <c r="C334" s="505"/>
      <c r="D334" s="505"/>
      <c r="E334" s="505"/>
      <c r="F334" s="505"/>
      <c r="G334" s="505"/>
      <c r="H334" s="505"/>
      <c r="I334" s="505"/>
      <c r="J334" s="505"/>
      <c r="K334" s="505"/>
      <c r="L334" s="505"/>
      <c r="M334" s="505"/>
      <c r="N334" s="505"/>
      <c r="O334" s="505"/>
    </row>
    <row r="335" spans="1:15">
      <c r="A335" s="12"/>
      <c r="B335" s="12"/>
      <c r="C335" s="12"/>
      <c r="D335" s="12"/>
      <c r="E335" s="12"/>
      <c r="F335" s="12"/>
      <c r="G335" s="12"/>
      <c r="H335" s="12"/>
      <c r="I335" s="243"/>
      <c r="J335" s="12"/>
      <c r="K335" s="12"/>
      <c r="L335" s="12"/>
      <c r="M335" s="243"/>
      <c r="N335" s="12"/>
      <c r="O335" s="243"/>
    </row>
    <row r="336" spans="1:15" ht="33" customHeight="1">
      <c r="A336" s="15"/>
      <c r="B336" s="21" t="s">
        <v>435</v>
      </c>
      <c r="C336" s="22"/>
      <c r="D336" s="152" t="s">
        <v>436</v>
      </c>
      <c r="E336" s="153"/>
      <c r="F336" s="152" t="s">
        <v>437</v>
      </c>
      <c r="G336" s="153"/>
      <c r="H336" s="21" t="s">
        <v>438</v>
      </c>
      <c r="I336" s="253"/>
      <c r="J336" s="152" t="s">
        <v>584</v>
      </c>
      <c r="K336" s="153"/>
      <c r="L336" s="22" t="s">
        <v>413</v>
      </c>
      <c r="M336" s="253"/>
      <c r="N336" s="22" t="s">
        <v>415</v>
      </c>
      <c r="O336" s="253"/>
    </row>
    <row r="337" spans="1:19">
      <c r="A337" s="16"/>
      <c r="B337" s="19" t="s">
        <v>439</v>
      </c>
      <c r="C337" s="18" t="s">
        <v>530</v>
      </c>
      <c r="D337" s="19" t="s">
        <v>439</v>
      </c>
      <c r="E337" s="18" t="s">
        <v>530</v>
      </c>
      <c r="F337" s="19" t="s">
        <v>439</v>
      </c>
      <c r="G337" s="18" t="s">
        <v>530</v>
      </c>
      <c r="H337" s="19" t="s">
        <v>439</v>
      </c>
      <c r="I337" s="254" t="s">
        <v>530</v>
      </c>
      <c r="J337" s="19" t="s">
        <v>439</v>
      </c>
      <c r="K337" s="18" t="s">
        <v>530</v>
      </c>
      <c r="L337" s="19" t="s">
        <v>439</v>
      </c>
      <c r="M337" s="254" t="s">
        <v>530</v>
      </c>
      <c r="N337" s="19" t="s">
        <v>439</v>
      </c>
      <c r="O337" s="254" t="s">
        <v>530</v>
      </c>
    </row>
    <row r="338" spans="1:19" s="168" customFormat="1" ht="18" customHeight="1">
      <c r="A338" s="181" t="s">
        <v>559</v>
      </c>
      <c r="B338" s="185">
        <f>+GETPIVOTDATA(" New Prof avg",'Averages Pivot Table'!$A$3,"Category",7,"Category2","Two-Year")</f>
        <v>62807.086692500001</v>
      </c>
      <c r="C338" s="185"/>
      <c r="D338" s="185">
        <f>+GETPIVOTDATA(" New Asc. avg",'Averages Pivot Table'!$A$3,"Category",7,"Category2","Two-Year")</f>
        <v>55450.755145283023</v>
      </c>
      <c r="E338" s="185"/>
      <c r="F338" s="185">
        <f>+GETPIVOTDATA(" New Ast. avg",'Averages Pivot Table'!$A$3,"Category",7,"Category2","Two-Year")</f>
        <v>46359.8908944</v>
      </c>
      <c r="G338" s="185"/>
      <c r="H338" s="185">
        <f>+GETPIVOTDATA(" New Inst. avg",'Averages Pivot Table'!$A$3,"Category",7,"Category2","Two-Year")</f>
        <v>39551.1905425</v>
      </c>
      <c r="I338" s="257"/>
      <c r="J338" s="185">
        <f>+GETPIVOTDATA(" New Undesg. avg",'Averages Pivot Table'!$A$3,"Category",7,"Category2","Two-Year")</f>
        <v>0</v>
      </c>
      <c r="K338" s="185"/>
      <c r="L338" s="185">
        <f>+GETPIVOTDATA(" New Single Rnk avg",'Averages Pivot Table'!$A$3,"Category",7,"Category2","Two-Year")</f>
        <v>56286.968463758923</v>
      </c>
      <c r="M338" s="257"/>
      <c r="N338" s="185">
        <f>+GETPIVOTDATA(" New All Ranks avg",'Averages Pivot Table'!$A$3,"Category",7,"Category2","Two-Year")</f>
        <v>54987.467202663429</v>
      </c>
      <c r="O338" s="244"/>
      <c r="Q338" s="209"/>
      <c r="R338" s="209"/>
      <c r="S338" s="209"/>
    </row>
    <row r="339" spans="1:19" ht="12.95" customHeight="1">
      <c r="A339" s="12"/>
      <c r="B339" s="9"/>
      <c r="C339" s="17"/>
      <c r="D339" s="9"/>
      <c r="E339" s="17"/>
      <c r="F339" s="9"/>
      <c r="G339" s="17"/>
      <c r="H339" s="9"/>
      <c r="I339" s="261"/>
      <c r="J339" s="9"/>
      <c r="K339" s="17"/>
      <c r="L339" s="9"/>
      <c r="M339" s="261"/>
      <c r="N339" s="9"/>
      <c r="O339" s="245"/>
    </row>
    <row r="340" spans="1:19" ht="12.95" customHeight="1">
      <c r="A340" s="12" t="s">
        <v>542</v>
      </c>
      <c r="B340" s="62">
        <f>+GETPIVOTDATA(" New Prof avg",'Averages Pivot Table'!$A$3,"State","AL","Category",7,"Category2","Two-Year")</f>
        <v>0</v>
      </c>
      <c r="C340" s="141">
        <f>IF(B340&gt;0,(RANK(B340,B$340:B$358)),0)</f>
        <v>0</v>
      </c>
      <c r="D340" s="62">
        <f>+GETPIVOTDATA(" New Asc. avg",'Averages Pivot Table'!$A$3,"State","AL","Category",7,"Category2","Two-Year")</f>
        <v>0</v>
      </c>
      <c r="E340" s="141">
        <f>IF(D340&gt;0,(RANK(D340,D$340:D$358)),0)</f>
        <v>0</v>
      </c>
      <c r="F340" s="62">
        <f>+GETPIVOTDATA(" New Ast. avg",'Averages Pivot Table'!$A$3,"State","AL","Category",7,"Category2","Two-Year")</f>
        <v>0</v>
      </c>
      <c r="G340" s="141">
        <f t="shared" ref="G340:G358" si="42">IF(F340&gt;0,(RANK(F340,F$340:F$358)),0)</f>
        <v>0</v>
      </c>
      <c r="H340" s="62">
        <f>+GETPIVOTDATA(" New Inst. avg",'Averages Pivot Table'!$A$3,"State","AL","Category",7,"Category2","Two-Year")</f>
        <v>0</v>
      </c>
      <c r="I340" s="229">
        <f t="shared" ref="I340:I358" si="43">IF(H340&gt;0,(RANK(H340,H$340:H$358)),0)</f>
        <v>0</v>
      </c>
      <c r="J340" s="62">
        <f>+GETPIVOTDATA(" New Undesg. avg",'Averages Pivot Table'!$A$3,"State","AL","Category",7,"Category2","Two-Year")</f>
        <v>0</v>
      </c>
      <c r="K340" s="141">
        <f t="shared" ref="K340:K358" si="44">IF(J340&gt;0,(RANK(J340,J$340:J$358)),0)</f>
        <v>0</v>
      </c>
      <c r="L340" s="62">
        <f>+GETPIVOTDATA(" New Single Rnk avg",'Averages Pivot Table'!$A$3,"State","AL","Category",7,"Category2","Two-Year")</f>
        <v>0</v>
      </c>
      <c r="M340" s="229">
        <f t="shared" ref="M340:M358" si="45">IF(L340&gt;0,(RANK(L340,L$340:L$358)),0)</f>
        <v>0</v>
      </c>
      <c r="N340" s="62">
        <f>+GETPIVOTDATA(" New All Ranks avg",'Averages Pivot Table'!$A$3,"State","AL","Category",7,"Category2","Two-Year")</f>
        <v>0</v>
      </c>
      <c r="O340" s="229">
        <f t="shared" ref="O340:O358" si="46">IF(N340&gt;0,(RANK(N340,N$340:N$358)),0)</f>
        <v>0</v>
      </c>
    </row>
    <row r="341" spans="1:19" ht="12.95" customHeight="1">
      <c r="A341" s="12" t="s">
        <v>543</v>
      </c>
      <c r="B341" s="62">
        <f>+GETPIVOTDATA(" New Prof avg",'Averages Pivot Table'!$A$3,"State","AR","Category",7,"Category2","Two-Year")</f>
        <v>0</v>
      </c>
      <c r="C341" s="141">
        <f t="shared" ref="C341:E358" si="47">IF(B341&gt;0,(RANK(B341,B$340:B$358)),0)</f>
        <v>0</v>
      </c>
      <c r="D341" s="62">
        <f>+GETPIVOTDATA(" New Asc. avg",'Averages Pivot Table'!$A$3,"State","AR","Category",7,"Category2","Two-Year")</f>
        <v>0</v>
      </c>
      <c r="E341" s="141">
        <f t="shared" si="47"/>
        <v>0</v>
      </c>
      <c r="F341" s="62">
        <f>+GETPIVOTDATA(" New Ast. avg",'Averages Pivot Table'!$A$3,"State","AR","Category",7,"Category2","Two-Year")</f>
        <v>0</v>
      </c>
      <c r="G341" s="141">
        <f t="shared" si="42"/>
        <v>0</v>
      </c>
      <c r="H341" s="62">
        <f>+GETPIVOTDATA(" New Inst. avg",'Averages Pivot Table'!$A$3,"State","AR","Category",7,"Category2","Two-Year")</f>
        <v>0</v>
      </c>
      <c r="I341" s="229">
        <f t="shared" si="43"/>
        <v>0</v>
      </c>
      <c r="J341" s="62">
        <f>+GETPIVOTDATA(" New Undesg. avg",'Averages Pivot Table'!$A$3,"State","AR","Category",7,"Category2","Two-Year")</f>
        <v>0</v>
      </c>
      <c r="K341" s="141">
        <f t="shared" si="44"/>
        <v>0</v>
      </c>
      <c r="L341" s="62">
        <f>+GETPIVOTDATA(" New Single Rnk avg",'Averages Pivot Table'!$A$3,"State","AR","Category",7,"Category2","Two-Year")</f>
        <v>0</v>
      </c>
      <c r="M341" s="229">
        <f t="shared" si="45"/>
        <v>0</v>
      </c>
      <c r="N341" s="62">
        <f>+GETPIVOTDATA(" New All Ranks avg",'Averages Pivot Table'!$A$3,"State","AR","Category",7,"Category2","Two-Year")</f>
        <v>0</v>
      </c>
      <c r="O341" s="229">
        <f t="shared" si="46"/>
        <v>0</v>
      </c>
    </row>
    <row r="342" spans="1:19" ht="12.95" customHeight="1">
      <c r="A342" s="12" t="s">
        <v>558</v>
      </c>
      <c r="B342" s="62">
        <f>+GETPIVOTDATA(" New Prof avg",'Averages Pivot Table'!$A$3,"State","DE","Category",7,"Category2","Two-Year")</f>
        <v>0</v>
      </c>
      <c r="C342" s="141">
        <f t="shared" si="47"/>
        <v>0</v>
      </c>
      <c r="D342" s="62">
        <f>+GETPIVOTDATA(" New Asc. avg",'Averages Pivot Table'!$A$3,"State","DE","Category",7,"Category2","Two-Year")</f>
        <v>0</v>
      </c>
      <c r="E342" s="141">
        <f t="shared" si="47"/>
        <v>0</v>
      </c>
      <c r="F342" s="62">
        <f>+GETPIVOTDATA(" New Ast. avg",'Averages Pivot Table'!$A$3,"State","DE","Category",7,"Category2","Two-Year")</f>
        <v>0</v>
      </c>
      <c r="G342" s="141">
        <f t="shared" si="42"/>
        <v>0</v>
      </c>
      <c r="H342" s="62">
        <f>+GETPIVOTDATA(" New Inst. avg",'Averages Pivot Table'!$A$3,"State","DE","Category",7,"Category2","Two-Year")</f>
        <v>0</v>
      </c>
      <c r="I342" s="229">
        <f t="shared" si="43"/>
        <v>0</v>
      </c>
      <c r="J342" s="62">
        <f>+GETPIVOTDATA(" New Undesg. avg",'Averages Pivot Table'!$A$3,"State","DE","Category",7,"Category2","Two-Year")</f>
        <v>0</v>
      </c>
      <c r="K342" s="141">
        <f t="shared" si="44"/>
        <v>0</v>
      </c>
      <c r="L342" s="62">
        <f>+GETPIVOTDATA(" New Single Rnk avg",'Averages Pivot Table'!$A$3,"State","DE","Category",7,"Category2","Two-Year")</f>
        <v>0</v>
      </c>
      <c r="M342" s="229">
        <f t="shared" si="45"/>
        <v>0</v>
      </c>
      <c r="N342" s="62">
        <f>+GETPIVOTDATA(" New All Ranks avg",'Averages Pivot Table'!$A$3,"State","DE","Category",7,"Category2","Two-Year")</f>
        <v>0</v>
      </c>
      <c r="O342" s="229">
        <f t="shared" si="46"/>
        <v>0</v>
      </c>
    </row>
    <row r="343" spans="1:19" ht="12.95" customHeight="1">
      <c r="A343" s="12" t="s">
        <v>544</v>
      </c>
      <c r="B343" s="62">
        <f>+GETPIVOTDATA(" New Prof avg",'Averages Pivot Table'!$A$3,"State","FL","Category",7,"Category2","Two-Year")</f>
        <v>0</v>
      </c>
      <c r="C343" s="141">
        <f t="shared" si="47"/>
        <v>0</v>
      </c>
      <c r="D343" s="62">
        <f>+GETPIVOTDATA(" New Asc. avg",'Averages Pivot Table'!$A$3,"State","FL","Category",7,"Category2","Two-Year")</f>
        <v>0</v>
      </c>
      <c r="E343" s="141">
        <f t="shared" si="47"/>
        <v>0</v>
      </c>
      <c r="F343" s="62">
        <f>+GETPIVOTDATA(" New Ast. avg",'Averages Pivot Table'!$A$3,"State","FL","Category",7,"Category2","Two-Year")</f>
        <v>0</v>
      </c>
      <c r="G343" s="141">
        <f t="shared" si="42"/>
        <v>0</v>
      </c>
      <c r="H343" s="62">
        <f>+GETPIVOTDATA(" New Inst. avg",'Averages Pivot Table'!$A$3,"State","FL","Category",7,"Category2","Two-Year")</f>
        <v>0</v>
      </c>
      <c r="I343" s="229">
        <f t="shared" si="43"/>
        <v>0</v>
      </c>
      <c r="J343" s="62">
        <f>+GETPIVOTDATA(" New Undesg. avg",'Averages Pivot Table'!$A$3,"State","FL","Category",7,"Category2","Two-Year")</f>
        <v>0</v>
      </c>
      <c r="K343" s="141">
        <f t="shared" si="44"/>
        <v>0</v>
      </c>
      <c r="L343" s="62">
        <f>+GETPIVOTDATA(" New Single Rnk avg",'Averages Pivot Table'!$A$3,"State","FL","Category",7,"Category2","Two-Year")</f>
        <v>58149.970976253295</v>
      </c>
      <c r="M343" s="229">
        <f t="shared" si="45"/>
        <v>1</v>
      </c>
      <c r="N343" s="62">
        <f>+GETPIVOTDATA(" New All Ranks avg",'Averages Pivot Table'!$A$3,"State","FL","Category",7,"Category2","Two-Year")</f>
        <v>58149.970976253295</v>
      </c>
      <c r="O343" s="229">
        <f t="shared" si="46"/>
        <v>1</v>
      </c>
    </row>
    <row r="344" spans="1:19" ht="12.95" customHeight="1">
      <c r="A344" s="12"/>
      <c r="B344" s="62"/>
      <c r="C344" s="141">
        <f t="shared" si="47"/>
        <v>0</v>
      </c>
      <c r="D344" s="62"/>
      <c r="E344" s="141">
        <f t="shared" si="47"/>
        <v>0</v>
      </c>
      <c r="F344" s="62"/>
      <c r="G344" s="141">
        <f t="shared" si="42"/>
        <v>0</v>
      </c>
      <c r="H344" s="62"/>
      <c r="I344" s="229">
        <f t="shared" si="43"/>
        <v>0</v>
      </c>
      <c r="J344" s="62"/>
      <c r="K344" s="141">
        <f t="shared" si="44"/>
        <v>0</v>
      </c>
      <c r="L344" s="62"/>
      <c r="M344" s="229">
        <f t="shared" si="45"/>
        <v>0</v>
      </c>
      <c r="N344" s="62"/>
      <c r="O344" s="229">
        <f t="shared" si="46"/>
        <v>0</v>
      </c>
    </row>
    <row r="345" spans="1:19" ht="12.95" customHeight="1">
      <c r="A345" s="12" t="s">
        <v>545</v>
      </c>
      <c r="B345" s="62">
        <f>+GETPIVOTDATA(" New Prof avg",'Averages Pivot Table'!$A$3,"State","GA","Category",7,"Category2","Two-Year")</f>
        <v>75145.930305882357</v>
      </c>
      <c r="C345" s="141">
        <f t="shared" si="47"/>
        <v>1</v>
      </c>
      <c r="D345" s="62">
        <f>+GETPIVOTDATA(" New Asc. avg",'Averages Pivot Table'!$A$3,"State","GA","Category",7,"Category2","Two-Year")</f>
        <v>57027.453317647058</v>
      </c>
      <c r="E345" s="141">
        <f t="shared" si="47"/>
        <v>2</v>
      </c>
      <c r="F345" s="62">
        <f>+GETPIVOTDATA(" New Ast. avg",'Averages Pivot Table'!$A$3,"State","GA","Category",7,"Category2","Two-Year")</f>
        <v>47475.903846153844</v>
      </c>
      <c r="G345" s="141">
        <f t="shared" si="42"/>
        <v>2</v>
      </c>
      <c r="H345" s="62">
        <f>+GETPIVOTDATA(" New Inst. avg",'Averages Pivot Table'!$A$3,"State","GA","Category",7,"Category2","Two-Year")</f>
        <v>42172</v>
      </c>
      <c r="I345" s="229">
        <f t="shared" si="43"/>
        <v>2</v>
      </c>
      <c r="J345" s="62">
        <f>+GETPIVOTDATA(" New Undesg. avg",'Averages Pivot Table'!$A$3,"State","GA","Category",7,"Category2","Two-Year")</f>
        <v>0</v>
      </c>
      <c r="K345" s="141">
        <f t="shared" si="44"/>
        <v>0</v>
      </c>
      <c r="L345" s="62">
        <f>+GETPIVOTDATA(" New Single Rnk avg",'Averages Pivot Table'!$A$3,"State","GA","Category",7,"Category2","Two-Year")</f>
        <v>0</v>
      </c>
      <c r="M345" s="229">
        <f t="shared" si="45"/>
        <v>0</v>
      </c>
      <c r="N345" s="62">
        <f>+GETPIVOTDATA(" New All Ranks avg",'Averages Pivot Table'!$A$3,"State","GA","Category",7,"Category2","Two-Year")</f>
        <v>53557.628102857139</v>
      </c>
      <c r="O345" s="229">
        <f t="shared" si="46"/>
        <v>3</v>
      </c>
    </row>
    <row r="346" spans="1:19" ht="12.95" customHeight="1">
      <c r="A346" s="12" t="s">
        <v>546</v>
      </c>
      <c r="B346" s="62">
        <f>+GETPIVOTDATA(" New Prof avg",'Averages Pivot Table'!$A$3,"State","KY","Category",7,"Category2","Two-Year")</f>
        <v>0</v>
      </c>
      <c r="C346" s="141">
        <f t="shared" si="47"/>
        <v>0</v>
      </c>
      <c r="D346" s="62">
        <f>+GETPIVOTDATA(" New Asc. avg",'Averages Pivot Table'!$A$3,"State","KY","Category",7,"Category2","Two-Year")</f>
        <v>0</v>
      </c>
      <c r="E346" s="141">
        <f t="shared" si="47"/>
        <v>0</v>
      </c>
      <c r="F346" s="62">
        <f>+GETPIVOTDATA(" New Ast. avg",'Averages Pivot Table'!$A$3,"State","KY","Category",7,"Category2","Two-Year")</f>
        <v>0</v>
      </c>
      <c r="G346" s="141">
        <f t="shared" si="42"/>
        <v>0</v>
      </c>
      <c r="H346" s="62">
        <f>+GETPIVOTDATA(" New Inst. avg",'Averages Pivot Table'!$A$3,"State","KY","Category",7,"Category2","Two-Year")</f>
        <v>0</v>
      </c>
      <c r="I346" s="229">
        <f t="shared" si="43"/>
        <v>0</v>
      </c>
      <c r="J346" s="62">
        <f>+GETPIVOTDATA(" New Undesg. avg",'Averages Pivot Table'!$A$3,"State","KY","Category",7,"Category2","Two-Year")</f>
        <v>0</v>
      </c>
      <c r="K346" s="141">
        <f t="shared" si="44"/>
        <v>0</v>
      </c>
      <c r="L346" s="62">
        <f>+GETPIVOTDATA(" New Single Rnk avg",'Averages Pivot Table'!$A$3,"State","KY","Category",7,"Category2","Two-Year")</f>
        <v>0</v>
      </c>
      <c r="M346" s="229">
        <f t="shared" si="45"/>
        <v>0</v>
      </c>
      <c r="N346" s="62">
        <f>+GETPIVOTDATA(" New All Ranks avg",'Averages Pivot Table'!$A$3,"State","KY","Category",7,"Category2","Two-Year")</f>
        <v>0</v>
      </c>
      <c r="O346" s="229">
        <f t="shared" si="46"/>
        <v>0</v>
      </c>
    </row>
    <row r="347" spans="1:19" ht="12.95" customHeight="1">
      <c r="A347" s="12" t="s">
        <v>547</v>
      </c>
      <c r="B347" s="62">
        <f>+GETPIVOTDATA(" New Prof avg",'Averages Pivot Table'!$A$3,"State","LA","Category",7,"Category2","Two-Year")</f>
        <v>61868.72267826087</v>
      </c>
      <c r="C347" s="141">
        <f t="shared" si="47"/>
        <v>3</v>
      </c>
      <c r="D347" s="62">
        <f>+GETPIVOTDATA(" New Asc. avg",'Averages Pivot Table'!$A$3,"State","LA","Category",7,"Category2","Two-Year")</f>
        <v>50339.084639999994</v>
      </c>
      <c r="E347" s="141">
        <f t="shared" si="47"/>
        <v>4</v>
      </c>
      <c r="F347" s="62">
        <f>+GETPIVOTDATA(" New Ast. avg",'Averages Pivot Table'!$A$3,"State","LA","Category",7,"Category2","Two-Year")</f>
        <v>44066.346417391302</v>
      </c>
      <c r="G347" s="141">
        <f t="shared" si="42"/>
        <v>4</v>
      </c>
      <c r="H347" s="62">
        <f>+GETPIVOTDATA(" New Inst. avg",'Averages Pivot Table'!$A$3,"State","LA","Category",7,"Category2","Two-Year")</f>
        <v>35273</v>
      </c>
      <c r="I347" s="229">
        <f t="shared" si="43"/>
        <v>4</v>
      </c>
      <c r="J347" s="62">
        <f>+GETPIVOTDATA(" New Undesg. avg",'Averages Pivot Table'!$A$3,"State","LA","Category",7,"Category2","Two-Year")</f>
        <v>0</v>
      </c>
      <c r="K347" s="141">
        <f t="shared" si="44"/>
        <v>0</v>
      </c>
      <c r="L347" s="62">
        <f>+GETPIVOTDATA(" New Single Rnk avg",'Averages Pivot Table'!$A$3,"State","LA","Category",7,"Category2","Two-Year")</f>
        <v>0</v>
      </c>
      <c r="M347" s="229">
        <f t="shared" si="45"/>
        <v>0</v>
      </c>
      <c r="N347" s="62">
        <f>+GETPIVOTDATA(" New All Ranks avg",'Averages Pivot Table'!$A$3,"State","LA","Category",7,"Category2","Two-Year")</f>
        <v>47821.177232432441</v>
      </c>
      <c r="O347" s="229">
        <f t="shared" si="46"/>
        <v>4</v>
      </c>
    </row>
    <row r="348" spans="1:19" ht="12.95" customHeight="1">
      <c r="A348" s="12" t="s">
        <v>548</v>
      </c>
      <c r="B348" s="62">
        <f>+GETPIVOTDATA(" New Prof avg",'Averages Pivot Table'!$A$3,"State","MD","Category",7,"Category2","Two-Year")</f>
        <v>0</v>
      </c>
      <c r="C348" s="141">
        <f t="shared" si="47"/>
        <v>0</v>
      </c>
      <c r="D348" s="62">
        <f>+GETPIVOTDATA(" New Asc. avg",'Averages Pivot Table'!$A$3,"State","MD","Category",7,"Category2","Two-Year")</f>
        <v>0</v>
      </c>
      <c r="E348" s="141">
        <f t="shared" si="47"/>
        <v>0</v>
      </c>
      <c r="F348" s="62">
        <f>+GETPIVOTDATA(" New Ast. avg",'Averages Pivot Table'!$A$3,"State","MD","Category",7,"Category2","Two-Year")</f>
        <v>0</v>
      </c>
      <c r="G348" s="141">
        <f t="shared" si="42"/>
        <v>0</v>
      </c>
      <c r="H348" s="62">
        <f>+GETPIVOTDATA(" New Inst. avg",'Averages Pivot Table'!$A$3,"State","MD","Category",7,"Category2","Two-Year")</f>
        <v>0</v>
      </c>
      <c r="I348" s="229">
        <f t="shared" si="43"/>
        <v>0</v>
      </c>
      <c r="J348" s="62">
        <f>+GETPIVOTDATA(" New Undesg. avg",'Averages Pivot Table'!$A$3,"State","MD","Category",7,"Category2","Two-Year")</f>
        <v>0</v>
      </c>
      <c r="K348" s="141">
        <f t="shared" si="44"/>
        <v>0</v>
      </c>
      <c r="L348" s="62">
        <f>+GETPIVOTDATA(" New Single Rnk avg",'Averages Pivot Table'!$A$3,"State","MD","Category",7,"Category2","Two-Year")</f>
        <v>0</v>
      </c>
      <c r="M348" s="229">
        <f t="shared" si="45"/>
        <v>0</v>
      </c>
      <c r="N348" s="62">
        <f>+GETPIVOTDATA(" New All Ranks avg",'Averages Pivot Table'!$A$3,"State","MD","Category",7,"Category2","Two-Year")</f>
        <v>0</v>
      </c>
      <c r="O348" s="229">
        <f t="shared" si="46"/>
        <v>0</v>
      </c>
    </row>
    <row r="349" spans="1:19" ht="12.95" customHeight="1">
      <c r="A349" s="12"/>
      <c r="B349" s="62"/>
      <c r="C349" s="141">
        <f t="shared" si="47"/>
        <v>0</v>
      </c>
      <c r="D349" s="62"/>
      <c r="E349" s="141">
        <f t="shared" si="47"/>
        <v>0</v>
      </c>
      <c r="F349" s="62"/>
      <c r="G349" s="141">
        <f t="shared" si="42"/>
        <v>0</v>
      </c>
      <c r="H349" s="62"/>
      <c r="I349" s="229">
        <f t="shared" si="43"/>
        <v>0</v>
      </c>
      <c r="J349" s="62"/>
      <c r="K349" s="141">
        <f t="shared" si="44"/>
        <v>0</v>
      </c>
      <c r="L349" s="62"/>
      <c r="M349" s="229">
        <f t="shared" si="45"/>
        <v>0</v>
      </c>
      <c r="N349" s="62"/>
      <c r="O349" s="229">
        <f t="shared" si="46"/>
        <v>0</v>
      </c>
    </row>
    <row r="350" spans="1:19" ht="12.95" customHeight="1">
      <c r="A350" s="12" t="s">
        <v>549</v>
      </c>
      <c r="B350" s="62">
        <f>+GETPIVOTDATA(" New Prof avg",'Averages Pivot Table'!$A$3,"State","MS","Category",7,"Category2","Two-Year")</f>
        <v>0</v>
      </c>
      <c r="C350" s="141">
        <f t="shared" si="47"/>
        <v>0</v>
      </c>
      <c r="D350" s="62">
        <f>+GETPIVOTDATA(" New Asc. avg",'Averages Pivot Table'!$A$3,"State","MS","Category",7,"Category2","Two-Year")</f>
        <v>0</v>
      </c>
      <c r="E350" s="141">
        <f t="shared" si="47"/>
        <v>0</v>
      </c>
      <c r="F350" s="62">
        <f>+GETPIVOTDATA(" New Ast. avg",'Averages Pivot Table'!$A$3,"State","MS","Category",7,"Category2","Two-Year")</f>
        <v>0</v>
      </c>
      <c r="G350" s="141">
        <f t="shared" si="42"/>
        <v>0</v>
      </c>
      <c r="H350" s="62">
        <f>+GETPIVOTDATA(" New Inst. avg",'Averages Pivot Table'!$A$3,"State","MS","Category",7,"Category2","Two-Year")</f>
        <v>0</v>
      </c>
      <c r="I350" s="229">
        <f t="shared" si="43"/>
        <v>0</v>
      </c>
      <c r="J350" s="62">
        <f>+GETPIVOTDATA(" New Undesg. avg",'Averages Pivot Table'!$A$3,"State","MS","Category",7,"Category2","Two-Year")</f>
        <v>0</v>
      </c>
      <c r="K350" s="141">
        <f t="shared" si="44"/>
        <v>0</v>
      </c>
      <c r="L350" s="62">
        <f>+GETPIVOTDATA(" New Single Rnk avg",'Averages Pivot Table'!$A$3,"State","MS","Category",7,"Category2","Two-Year")</f>
        <v>0</v>
      </c>
      <c r="M350" s="229">
        <f t="shared" si="45"/>
        <v>0</v>
      </c>
      <c r="N350" s="62">
        <f>+GETPIVOTDATA(" New All Ranks avg",'Averages Pivot Table'!$A$3,"State","MS","Category",7,"Category2","Two-Year")</f>
        <v>0</v>
      </c>
      <c r="O350" s="229">
        <f t="shared" si="46"/>
        <v>0</v>
      </c>
    </row>
    <row r="351" spans="1:19" ht="12.95" customHeight="1">
      <c r="A351" s="12" t="s">
        <v>550</v>
      </c>
      <c r="B351" s="62">
        <f>+GETPIVOTDATA(" New Prof avg",'Averages Pivot Table'!$A$3,"State","NC","Category",7,"Category2","Two-Year")</f>
        <v>0</v>
      </c>
      <c r="C351" s="141">
        <f t="shared" si="47"/>
        <v>0</v>
      </c>
      <c r="D351" s="62">
        <f>+GETPIVOTDATA(" New Asc. avg",'Averages Pivot Table'!$A$3,"State","NC","Category",7,"Category2","Two-Year")</f>
        <v>0</v>
      </c>
      <c r="E351" s="141">
        <f t="shared" si="47"/>
        <v>0</v>
      </c>
      <c r="F351" s="62">
        <f>+GETPIVOTDATA(" New Ast. avg",'Averages Pivot Table'!$A$3,"State","NC","Category",7,"Category2","Two-Year")</f>
        <v>0</v>
      </c>
      <c r="G351" s="141">
        <f t="shared" si="42"/>
        <v>0</v>
      </c>
      <c r="H351" s="62">
        <f>+GETPIVOTDATA(" New Inst. avg",'Averages Pivot Table'!$A$3,"State","NC","Category",7,"Category2","Two-Year")</f>
        <v>0</v>
      </c>
      <c r="I351" s="229">
        <f t="shared" si="43"/>
        <v>0</v>
      </c>
      <c r="J351" s="62">
        <f>+GETPIVOTDATA(" New Undesg. avg",'Averages Pivot Table'!$A$3,"State","NC","Category",7,"Category2","Two-Year")</f>
        <v>0</v>
      </c>
      <c r="K351" s="141">
        <f t="shared" si="44"/>
        <v>0</v>
      </c>
      <c r="L351" s="62">
        <f>+GETPIVOTDATA(" New Single Rnk avg",'Averages Pivot Table'!$A$3,"State","NC","Category",7,"Category2","Two-Year")</f>
        <v>0</v>
      </c>
      <c r="M351" s="229">
        <f t="shared" si="45"/>
        <v>0</v>
      </c>
      <c r="N351" s="62">
        <f>+GETPIVOTDATA(" New All Ranks avg",'Averages Pivot Table'!$A$3,"State","NC","Category",7,"Category2","Two-Year")</f>
        <v>0</v>
      </c>
      <c r="O351" s="229">
        <f t="shared" si="46"/>
        <v>0</v>
      </c>
    </row>
    <row r="352" spans="1:19" ht="12.95" customHeight="1">
      <c r="A352" s="12" t="s">
        <v>551</v>
      </c>
      <c r="B352" s="62">
        <f>+GETPIVOTDATA(" New Prof avg",'Averages Pivot Table'!$A$3,"State","OK","Category",7,"Category2","Two-Year")</f>
        <v>0</v>
      </c>
      <c r="C352" s="141">
        <f t="shared" si="47"/>
        <v>0</v>
      </c>
      <c r="D352" s="62">
        <f>+GETPIVOTDATA(" New Asc. avg",'Averages Pivot Table'!$A$3,"State","OK","Category",7,"Category2","Two-Year")</f>
        <v>0</v>
      </c>
      <c r="E352" s="141">
        <f t="shared" si="47"/>
        <v>0</v>
      </c>
      <c r="F352" s="62">
        <f>+GETPIVOTDATA(" New Ast. avg",'Averages Pivot Table'!$A$3,"State","OK","Category",7,"Category2","Two-Year")</f>
        <v>0</v>
      </c>
      <c r="G352" s="141">
        <f t="shared" si="42"/>
        <v>0</v>
      </c>
      <c r="H352" s="62">
        <f>+GETPIVOTDATA(" New Inst. avg",'Averages Pivot Table'!$A$3,"State","OK","Category",7,"Category2","Two-Year")</f>
        <v>0</v>
      </c>
      <c r="I352" s="229">
        <f t="shared" si="43"/>
        <v>0</v>
      </c>
      <c r="J352" s="62">
        <f>+GETPIVOTDATA(" New Undesg. avg",'Averages Pivot Table'!$A$3,"State","OK","Category",7,"Category2","Two-Year")</f>
        <v>0</v>
      </c>
      <c r="K352" s="141">
        <f t="shared" si="44"/>
        <v>0</v>
      </c>
      <c r="L352" s="62">
        <f>+GETPIVOTDATA(" New Single Rnk avg",'Averages Pivot Table'!$A$3,"State","OK","Category",7,"Category2","Two-Year")</f>
        <v>39204.437361290322</v>
      </c>
      <c r="M352" s="229">
        <f t="shared" si="45"/>
        <v>2</v>
      </c>
      <c r="N352" s="62">
        <f>+GETPIVOTDATA(" New All Ranks avg",'Averages Pivot Table'!$A$3,"State","OK","Category",7,"Category2","Two-Year")</f>
        <v>39204.437361290322</v>
      </c>
      <c r="O352" s="229">
        <f t="shared" si="46"/>
        <v>6</v>
      </c>
    </row>
    <row r="353" spans="1:19" ht="12.95" customHeight="1">
      <c r="A353" s="12" t="s">
        <v>552</v>
      </c>
      <c r="B353" s="62">
        <f>+GETPIVOTDATA(" New Prof avg",'Averages Pivot Table'!$A$3,"State","SC","Category",7,"Category2","Two-Year")</f>
        <v>69571.16366666666</v>
      </c>
      <c r="C353" s="141">
        <f t="shared" si="47"/>
        <v>2</v>
      </c>
      <c r="D353" s="62">
        <f>+GETPIVOTDATA(" New Asc. avg",'Averages Pivot Table'!$A$3,"State","SC","Category",7,"Category2","Two-Year")</f>
        <v>61916.567999999999</v>
      </c>
      <c r="E353" s="141">
        <f t="shared" si="47"/>
        <v>1</v>
      </c>
      <c r="F353" s="62">
        <f>+GETPIVOTDATA(" New Ast. avg",'Averages Pivot Table'!$A$3,"State","SC","Category",7,"Category2","Two-Year")</f>
        <v>51807</v>
      </c>
      <c r="G353" s="141">
        <f t="shared" si="42"/>
        <v>1</v>
      </c>
      <c r="H353" s="62">
        <f>+GETPIVOTDATA(" New Inst. avg",'Averages Pivot Table'!$A$3,"State","SC","Category",7,"Category2","Two-Year")</f>
        <v>45591.913386666667</v>
      </c>
      <c r="I353" s="229">
        <f t="shared" si="43"/>
        <v>1</v>
      </c>
      <c r="J353" s="62">
        <f>+GETPIVOTDATA(" New Undesg. avg",'Averages Pivot Table'!$A$3,"State","SC","Category",7,"Category2","Two-Year")</f>
        <v>0</v>
      </c>
      <c r="K353" s="141">
        <f t="shared" si="44"/>
        <v>0</v>
      </c>
      <c r="L353" s="62">
        <f>+GETPIVOTDATA(" New Single Rnk avg",'Averages Pivot Table'!$A$3,"State","SC","Category",7,"Category2","Two-Year")</f>
        <v>0</v>
      </c>
      <c r="M353" s="229">
        <f t="shared" si="45"/>
        <v>0</v>
      </c>
      <c r="N353" s="62">
        <f>+GETPIVOTDATA(" New All Ranks avg",'Averages Pivot Table'!$A$3,"State","SC","Category",7,"Category2","Two-Year")</f>
        <v>55925.767807547178</v>
      </c>
      <c r="O353" s="229">
        <f t="shared" si="46"/>
        <v>2</v>
      </c>
    </row>
    <row r="354" spans="1:19" ht="12.95" customHeight="1">
      <c r="A354" s="12"/>
      <c r="B354" s="62"/>
      <c r="C354" s="141">
        <f t="shared" si="47"/>
        <v>0</v>
      </c>
      <c r="D354" s="62"/>
      <c r="E354" s="141">
        <f t="shared" si="47"/>
        <v>0</v>
      </c>
      <c r="F354" s="62"/>
      <c r="G354" s="141">
        <f t="shared" si="42"/>
        <v>0</v>
      </c>
      <c r="H354" s="62"/>
      <c r="I354" s="229">
        <f t="shared" si="43"/>
        <v>0</v>
      </c>
      <c r="J354" s="62"/>
      <c r="K354" s="141">
        <f t="shared" si="44"/>
        <v>0</v>
      </c>
      <c r="L354" s="62"/>
      <c r="M354" s="229">
        <f t="shared" si="45"/>
        <v>0</v>
      </c>
      <c r="N354" s="62"/>
      <c r="O354" s="229">
        <f t="shared" si="46"/>
        <v>0</v>
      </c>
    </row>
    <row r="355" spans="1:19" ht="12.95" customHeight="1">
      <c r="A355" s="12" t="s">
        <v>553</v>
      </c>
      <c r="B355" s="140">
        <f>+GETPIVOTDATA(" New Prof avg",'Averages Pivot Table'!$A$3,"State","TN","Category",7,"Category2","Two-Year")</f>
        <v>0</v>
      </c>
      <c r="C355" s="141">
        <f t="shared" si="47"/>
        <v>0</v>
      </c>
      <c r="D355" s="140">
        <f>+GETPIVOTDATA(" New Asc. avg",'Averages Pivot Table'!$A$3,"State","TN","Category",7,"Category2","Two-Year")</f>
        <v>0</v>
      </c>
      <c r="E355" s="141">
        <f t="shared" si="47"/>
        <v>0</v>
      </c>
      <c r="F355" s="140">
        <f>+GETPIVOTDATA(" New Ast. avg",'Averages Pivot Table'!$A$3,"State","TN","Category",7,"Category2","Two-Year")</f>
        <v>0</v>
      </c>
      <c r="G355" s="141">
        <f t="shared" si="42"/>
        <v>0</v>
      </c>
      <c r="H355" s="140">
        <f>+GETPIVOTDATA(" New Inst. avg",'Averages Pivot Table'!$A$3,"State","TN","Category",7,"Category2","Two-Year")</f>
        <v>0</v>
      </c>
      <c r="I355" s="229">
        <f t="shared" si="43"/>
        <v>0</v>
      </c>
      <c r="J355" s="140">
        <f>+GETPIVOTDATA(" New Undesg. avg",'Averages Pivot Table'!$A$3,"State","TN","Category",7,"Category2","Two-Year")</f>
        <v>0</v>
      </c>
      <c r="K355" s="141">
        <f t="shared" si="44"/>
        <v>0</v>
      </c>
      <c r="L355" s="140">
        <f>+GETPIVOTDATA(" New Single Rnk avg",'Averages Pivot Table'!$A$3,"State","TN","Category",7,"Category2","Two-Year")</f>
        <v>0</v>
      </c>
      <c r="M355" s="229">
        <f t="shared" si="45"/>
        <v>0</v>
      </c>
      <c r="N355" s="62">
        <f>+GETPIVOTDATA(" New All Ranks avg",'Averages Pivot Table'!$A$3,"State","TN","Category",7,"Category2","Two-Year")</f>
        <v>0</v>
      </c>
      <c r="O355" s="229">
        <f t="shared" si="46"/>
        <v>0</v>
      </c>
    </row>
    <row r="356" spans="1:19" ht="12.95" customHeight="1">
      <c r="A356" s="12" t="s">
        <v>554</v>
      </c>
      <c r="B356" s="140">
        <f>+GETPIVOTDATA(" New Prof avg",'Averages Pivot Table'!$A$3,"State","TX","Category",7,"Category2","Two-Year")</f>
        <v>0</v>
      </c>
      <c r="C356" s="141">
        <f t="shared" si="47"/>
        <v>0</v>
      </c>
      <c r="D356" s="140">
        <f>+GETPIVOTDATA(" New Asc. avg",'Averages Pivot Table'!$A$3,"State","TX","Category",7,"Category2","Two-Year")</f>
        <v>0</v>
      </c>
      <c r="E356" s="141">
        <f t="shared" si="47"/>
        <v>0</v>
      </c>
      <c r="F356" s="140">
        <f>+GETPIVOTDATA(" New Ast. avg",'Averages Pivot Table'!$A$3,"State","TX","Category",7,"Category2","Two-Year")</f>
        <v>0</v>
      </c>
      <c r="G356" s="141">
        <f t="shared" si="42"/>
        <v>0</v>
      </c>
      <c r="H356" s="140">
        <f>+GETPIVOTDATA(" New Inst. avg",'Averages Pivot Table'!$A$3,"State","TX","Category",7,"Category2","Two-Year")</f>
        <v>0</v>
      </c>
      <c r="I356" s="229">
        <f t="shared" si="43"/>
        <v>0</v>
      </c>
      <c r="J356" s="140">
        <f>+GETPIVOTDATA(" New Undesg. avg",'Averages Pivot Table'!$A$3,"State","TX","Category",7,"Category2","Two-Year")</f>
        <v>0</v>
      </c>
      <c r="K356" s="141">
        <f t="shared" si="44"/>
        <v>0</v>
      </c>
      <c r="L356" s="140">
        <f>+GETPIVOTDATA(" New Single Rnk avg",'Averages Pivot Table'!$A$3,"State","TX","Category",7,"Category2","Two-Year")</f>
        <v>0</v>
      </c>
      <c r="M356" s="229">
        <f t="shared" si="45"/>
        <v>0</v>
      </c>
      <c r="N356" s="62">
        <f>+GETPIVOTDATA(" New All Ranks avg",'Averages Pivot Table'!$A$3,"State","TX","Category",7,"Category2","Two-Year")</f>
        <v>0</v>
      </c>
      <c r="O356" s="229">
        <f t="shared" si="46"/>
        <v>0</v>
      </c>
    </row>
    <row r="357" spans="1:19" ht="12.95" customHeight="1">
      <c r="A357" s="12" t="s">
        <v>555</v>
      </c>
      <c r="B357" s="140">
        <f>+GETPIVOTDATA(" New Prof avg",'Averages Pivot Table'!$A$3,"State","VA","Category",7,"Category2","Two-Year")</f>
        <v>0</v>
      </c>
      <c r="C357" s="141">
        <f t="shared" si="47"/>
        <v>0</v>
      </c>
      <c r="D357" s="140">
        <f>+GETPIVOTDATA(" New Asc. avg",'Averages Pivot Table'!$A$3,"State","VA","Category",7,"Category2","Two-Year")</f>
        <v>0</v>
      </c>
      <c r="E357" s="141">
        <f t="shared" si="47"/>
        <v>0</v>
      </c>
      <c r="F357" s="140">
        <f>+GETPIVOTDATA(" New Ast. avg",'Averages Pivot Table'!$A$3,"State","VA","Category",7,"Category2","Two-Year")</f>
        <v>0</v>
      </c>
      <c r="G357" s="141">
        <f t="shared" si="42"/>
        <v>0</v>
      </c>
      <c r="H357" s="140">
        <f>+GETPIVOTDATA(" New Inst. avg",'Averages Pivot Table'!$A$3,"State","VA","Category",7,"Category2","Two-Year")</f>
        <v>0</v>
      </c>
      <c r="I357" s="229">
        <f t="shared" si="43"/>
        <v>0</v>
      </c>
      <c r="J357" s="140">
        <f>+GETPIVOTDATA(" New Undesg. avg",'Averages Pivot Table'!$A$3,"State","VA","Category",7,"Category2","Two-Year")</f>
        <v>0</v>
      </c>
      <c r="K357" s="141">
        <f t="shared" si="44"/>
        <v>0</v>
      </c>
      <c r="L357" s="140">
        <f>+GETPIVOTDATA(" New Single Rnk avg",'Averages Pivot Table'!$A$3,"State","VA","Category",7,"Category2","Two-Year")</f>
        <v>0</v>
      </c>
      <c r="M357" s="229">
        <f t="shared" si="45"/>
        <v>0</v>
      </c>
      <c r="N357" s="62">
        <f>+GETPIVOTDATA(" New All Ranks avg",'Averages Pivot Table'!$A$3,"State","VA","Category",7,"Category2","Two-Year")</f>
        <v>0</v>
      </c>
      <c r="O357" s="229">
        <f t="shared" si="46"/>
        <v>0</v>
      </c>
    </row>
    <row r="358" spans="1:19" ht="12.95" customHeight="1">
      <c r="A358" s="11" t="s">
        <v>556</v>
      </c>
      <c r="B358" s="64">
        <f>+GETPIVOTDATA(" New Prof avg",'Averages Pivot Table'!$A$3,"State","WV","Category",7,"Category2","Two-Year")</f>
        <v>54773.065341935486</v>
      </c>
      <c r="C358" s="65">
        <f t="shared" si="47"/>
        <v>4</v>
      </c>
      <c r="D358" s="64">
        <f>+GETPIVOTDATA(" New Asc. avg",'Averages Pivot Table'!$A$3,"State","WV","Category",7,"Category2","Two-Year")</f>
        <v>52143.619346666666</v>
      </c>
      <c r="E358" s="65">
        <f t="shared" si="47"/>
        <v>3</v>
      </c>
      <c r="F358" s="64">
        <f>+GETPIVOTDATA(" New Ast. avg",'Averages Pivot Table'!$A$3,"State","WV","Category",7,"Category2","Two-Year")</f>
        <v>44145.340507692308</v>
      </c>
      <c r="G358" s="65">
        <f t="shared" si="42"/>
        <v>3</v>
      </c>
      <c r="H358" s="64">
        <f>+GETPIVOTDATA(" New Inst. avg",'Averages Pivot Table'!$A$3,"State","WV","Category",7,"Category2","Two-Year")</f>
        <v>37040.555092857147</v>
      </c>
      <c r="I358" s="230">
        <f t="shared" si="43"/>
        <v>3</v>
      </c>
      <c r="J358" s="64">
        <f>+GETPIVOTDATA(" New Undesg. avg",'Averages Pivot Table'!$A$3,"State","WV","Category",7,"Category2","Two-Year")</f>
        <v>0</v>
      </c>
      <c r="K358" s="65">
        <f t="shared" si="44"/>
        <v>0</v>
      </c>
      <c r="L358" s="64">
        <f>+GETPIVOTDATA(" New Single Rnk avg",'Averages Pivot Table'!$A$3,"State","WV","Category",7,"Category2","Two-Year")</f>
        <v>0</v>
      </c>
      <c r="M358" s="230">
        <f t="shared" si="45"/>
        <v>0</v>
      </c>
      <c r="N358" s="64">
        <f>+GETPIVOTDATA(" New All Ranks avg",'Averages Pivot Table'!$A$3,"State","WV","Category",7,"Category2","Two-Year")</f>
        <v>47024.646954022988</v>
      </c>
      <c r="O358" s="230">
        <f t="shared" si="46"/>
        <v>5</v>
      </c>
    </row>
    <row r="359" spans="1:19" ht="30" customHeight="1">
      <c r="A359" s="508" t="s">
        <v>425</v>
      </c>
      <c r="B359" s="508"/>
      <c r="C359" s="508"/>
      <c r="D359" s="508"/>
      <c r="E359" s="508"/>
      <c r="F359" s="508"/>
      <c r="G359" s="508"/>
      <c r="H359" s="508"/>
      <c r="I359" s="508"/>
      <c r="J359" s="508"/>
      <c r="K359" s="508"/>
      <c r="L359" s="508"/>
      <c r="M359" s="508"/>
      <c r="N359" s="508"/>
      <c r="O359" s="508"/>
    </row>
    <row r="360" spans="1:19">
      <c r="O360" s="487" t="s">
        <v>1000</v>
      </c>
    </row>
    <row r="361" spans="1:19" ht="18">
      <c r="A361" s="504" t="s">
        <v>576</v>
      </c>
      <c r="B361" s="504"/>
      <c r="C361" s="504"/>
      <c r="D361" s="504"/>
      <c r="E361" s="504"/>
      <c r="F361" s="504"/>
      <c r="G361" s="504"/>
      <c r="H361" s="504"/>
      <c r="I361" s="504"/>
      <c r="J361" s="504"/>
      <c r="K361" s="504"/>
      <c r="L361" s="504"/>
      <c r="M361" s="504"/>
      <c r="N361" s="504"/>
      <c r="O361" s="504"/>
    </row>
    <row r="362" spans="1:19">
      <c r="A362" s="23"/>
      <c r="B362" s="5"/>
      <c r="C362" s="5"/>
      <c r="D362" s="5"/>
      <c r="E362" s="5"/>
      <c r="F362" s="5"/>
      <c r="G362" s="5"/>
      <c r="H362" s="5"/>
      <c r="I362" s="172"/>
      <c r="J362" s="5"/>
      <c r="K362" s="5"/>
      <c r="L362" s="5"/>
      <c r="M362" s="172"/>
      <c r="N362" s="5"/>
      <c r="O362" s="172"/>
    </row>
    <row r="363" spans="1:19">
      <c r="A363" s="505" t="s">
        <v>557</v>
      </c>
      <c r="B363" s="505"/>
      <c r="C363" s="505"/>
      <c r="D363" s="505"/>
      <c r="E363" s="505"/>
      <c r="F363" s="505"/>
      <c r="G363" s="505"/>
      <c r="H363" s="505"/>
      <c r="I363" s="505"/>
      <c r="J363" s="505"/>
      <c r="K363" s="505"/>
      <c r="L363" s="505"/>
      <c r="M363" s="505"/>
      <c r="N363" s="505"/>
      <c r="O363" s="505"/>
    </row>
    <row r="364" spans="1:19">
      <c r="A364" s="505" t="s">
        <v>39</v>
      </c>
      <c r="B364" s="505"/>
      <c r="C364" s="505"/>
      <c r="D364" s="505"/>
      <c r="E364" s="505"/>
      <c r="F364" s="505"/>
      <c r="G364" s="505"/>
      <c r="H364" s="505"/>
      <c r="I364" s="505"/>
      <c r="J364" s="505"/>
      <c r="K364" s="505"/>
      <c r="L364" s="505"/>
      <c r="M364" s="505"/>
      <c r="N364" s="505"/>
      <c r="O364" s="505"/>
    </row>
    <row r="365" spans="1:19">
      <c r="A365" s="12"/>
      <c r="B365" s="12"/>
      <c r="C365" s="12"/>
      <c r="D365" s="12"/>
      <c r="E365" s="12"/>
      <c r="F365" s="12"/>
      <c r="G365" s="12"/>
      <c r="H365" s="12"/>
      <c r="I365" s="243"/>
      <c r="J365" s="12"/>
      <c r="K365" s="12"/>
      <c r="L365" s="12"/>
      <c r="M365" s="243"/>
      <c r="N365" s="12"/>
      <c r="O365" s="243"/>
    </row>
    <row r="366" spans="1:19" ht="31.5" customHeight="1">
      <c r="A366" s="15"/>
      <c r="B366" s="21" t="s">
        <v>435</v>
      </c>
      <c r="C366" s="22"/>
      <c r="D366" s="152" t="s">
        <v>436</v>
      </c>
      <c r="E366" s="153"/>
      <c r="F366" s="152" t="s">
        <v>437</v>
      </c>
      <c r="G366" s="153"/>
      <c r="H366" s="21" t="s">
        <v>438</v>
      </c>
      <c r="I366" s="253"/>
      <c r="J366" s="152" t="s">
        <v>584</v>
      </c>
      <c r="K366" s="153"/>
      <c r="L366" s="22" t="s">
        <v>413</v>
      </c>
      <c r="M366" s="253"/>
      <c r="N366" s="22" t="s">
        <v>415</v>
      </c>
      <c r="O366" s="253"/>
    </row>
    <row r="367" spans="1:19">
      <c r="A367" s="16"/>
      <c r="B367" s="19" t="s">
        <v>439</v>
      </c>
      <c r="C367" s="18" t="s">
        <v>530</v>
      </c>
      <c r="D367" s="19" t="s">
        <v>439</v>
      </c>
      <c r="E367" s="18" t="s">
        <v>530</v>
      </c>
      <c r="F367" s="19" t="s">
        <v>439</v>
      </c>
      <c r="G367" s="18" t="s">
        <v>530</v>
      </c>
      <c r="H367" s="19" t="s">
        <v>439</v>
      </c>
      <c r="I367" s="254" t="s">
        <v>530</v>
      </c>
      <c r="J367" s="19" t="s">
        <v>439</v>
      </c>
      <c r="K367" s="18" t="s">
        <v>530</v>
      </c>
      <c r="L367" s="19" t="s">
        <v>439</v>
      </c>
      <c r="M367" s="254" t="s">
        <v>530</v>
      </c>
      <c r="N367" s="19" t="s">
        <v>439</v>
      </c>
      <c r="O367" s="254" t="s">
        <v>530</v>
      </c>
    </row>
    <row r="368" spans="1:19" s="168" customFormat="1" ht="18" customHeight="1">
      <c r="A368" s="181" t="s">
        <v>559</v>
      </c>
      <c r="B368" s="185">
        <f>+GETPIVOTDATA(" New Prof avg",'Averages Pivot Table'!$A$3,"Category",8,"Category2","Two-Year")</f>
        <v>69583.194436264588</v>
      </c>
      <c r="C368" s="185"/>
      <c r="D368" s="185">
        <f>+GETPIVOTDATA(" New Asc. avg",'Averages Pivot Table'!$A$3,"Category",8,"Category2","Two-Year")</f>
        <v>57756.160503863524</v>
      </c>
      <c r="E368" s="185"/>
      <c r="F368" s="185">
        <f>+GETPIVOTDATA(" New Ast. avg",'Averages Pivot Table'!$A$3,"Category",8,"Category2","Two-Year")</f>
        <v>52973.430956902761</v>
      </c>
      <c r="G368" s="185"/>
      <c r="H368" s="185">
        <f>+GETPIVOTDATA(" New Inst. avg",'Averages Pivot Table'!$A$3,"Category",8,"Category2","Two-Year")</f>
        <v>49355.163059017359</v>
      </c>
      <c r="I368" s="257"/>
      <c r="J368" s="185">
        <f>+GETPIVOTDATA(" New Undesg. avg",'Averages Pivot Table'!$A$3,"Category",8,"Category2","Two-Year")</f>
        <v>41244.39787398374</v>
      </c>
      <c r="K368" s="185"/>
      <c r="L368" s="185">
        <f>+GETPIVOTDATA(" New Single Rnk avg",'Averages Pivot Table'!$A$3,"Category",8,"Category2","Two-Year")</f>
        <v>51372.610980209094</v>
      </c>
      <c r="M368" s="257"/>
      <c r="N368" s="185">
        <f>+GETPIVOTDATA(" New All Ranks avg",'Averages Pivot Table'!$A$3,"Category",8,"Category2","Two-Year")</f>
        <v>53462.165644622059</v>
      </c>
      <c r="O368" s="244"/>
      <c r="Q368" s="209"/>
      <c r="R368" s="209"/>
      <c r="S368" s="209"/>
    </row>
    <row r="369" spans="1:15" ht="12.95" customHeight="1">
      <c r="A369" s="12"/>
      <c r="B369" s="9"/>
      <c r="C369" s="17"/>
      <c r="D369" s="9"/>
      <c r="E369" s="17"/>
      <c r="F369" s="9"/>
      <c r="G369" s="17"/>
      <c r="H369" s="9"/>
      <c r="I369" s="261"/>
      <c r="J369" s="9"/>
      <c r="K369" s="17"/>
      <c r="L369" s="9"/>
      <c r="M369" s="261"/>
      <c r="N369" s="9"/>
      <c r="O369" s="245"/>
    </row>
    <row r="370" spans="1:15" ht="12.95" customHeight="1">
      <c r="A370" s="12" t="s">
        <v>542</v>
      </c>
      <c r="B370" s="62">
        <f>+GETPIVOTDATA(" New Prof avg",'Averages Pivot Table'!$A$3,"State","AL","Category",8,"Category2","Two-Year")</f>
        <v>0</v>
      </c>
      <c r="C370" s="141">
        <f>IF(B370&gt;0,(RANK(B370,B$370:B$388)),0)</f>
        <v>0</v>
      </c>
      <c r="D370" s="62">
        <f>+GETPIVOTDATA(" New Asc. avg",'Averages Pivot Table'!$A$3,"State","AL","Category",8,"Category2","Two-Year")</f>
        <v>0</v>
      </c>
      <c r="E370" s="141">
        <f>IF(D370&gt;0,(RANK(D370,D$370:D$388)),0)</f>
        <v>0</v>
      </c>
      <c r="F370" s="62">
        <f>+GETPIVOTDATA(" New Ast. avg",'Averages Pivot Table'!$A$3,"State","AL","Category",8,"Category2","Two-Year")</f>
        <v>0</v>
      </c>
      <c r="G370" s="141">
        <f t="shared" ref="G370:G388" si="48">IF(F370&gt;0,(RANK(F370,F$370:F$388)),0)</f>
        <v>0</v>
      </c>
      <c r="H370" s="62">
        <f>+GETPIVOTDATA(" New Inst. avg",'Averages Pivot Table'!$A$3,"State","AL","Category",8,"Category2","Two-Year")</f>
        <v>0</v>
      </c>
      <c r="I370" s="229">
        <f t="shared" ref="I370:I388" si="49">IF(H370&gt;0,(RANK(H370,H$370:H$388)),0)</f>
        <v>0</v>
      </c>
      <c r="J370" s="62">
        <f>+GETPIVOTDATA(" New Undesg. avg",'Averages Pivot Table'!$A$3,"State","AL","Category",8,"Category2","Two-Year")</f>
        <v>0</v>
      </c>
      <c r="K370" s="141">
        <f t="shared" ref="K370:K388" si="50">IF(J370&gt;0,(RANK(J370,J$370:J$388)),0)</f>
        <v>0</v>
      </c>
      <c r="L370" s="62">
        <f>+GETPIVOTDATA(" New Single Rnk avg",'Averages Pivot Table'!$A$3,"State","AL","Category",8,"Category2","Two-Year")</f>
        <v>53423.575463698631</v>
      </c>
      <c r="M370" s="229">
        <f t="shared" ref="M370:M388" si="51">IF(L370&gt;0,(RANK(L370,L$370:L$388)),0)</f>
        <v>3</v>
      </c>
      <c r="N370" s="62">
        <f>+GETPIVOTDATA(" New All Ranks avg",'Averages Pivot Table'!$A$3,"State","AL","Category",8,"Category2","Two-Year")</f>
        <v>53423.575463698631</v>
      </c>
      <c r="O370" s="229">
        <f t="shared" ref="O370:O388" si="52">IF(N370&gt;0,(RANK(N370,N$370:N$388)),0)</f>
        <v>5</v>
      </c>
    </row>
    <row r="371" spans="1:15" ht="12.95" customHeight="1">
      <c r="A371" s="12" t="s">
        <v>543</v>
      </c>
      <c r="B371" s="62">
        <f>+GETPIVOTDATA(" New Prof avg",'Averages Pivot Table'!$A$3,"State","AR","Category",8,"Category2","Two-Year")</f>
        <v>0</v>
      </c>
      <c r="C371" s="141">
        <f t="shared" ref="C371:E388" si="53">IF(B371&gt;0,(RANK(B371,B$370:B$388)),0)</f>
        <v>0</v>
      </c>
      <c r="D371" s="62">
        <f>+GETPIVOTDATA(" New Asc. avg",'Averages Pivot Table'!$A$3,"State","AR","Category",8,"Category2","Two-Year")</f>
        <v>0</v>
      </c>
      <c r="E371" s="141">
        <f t="shared" si="53"/>
        <v>0</v>
      </c>
      <c r="F371" s="62">
        <f>+GETPIVOTDATA(" New Ast. avg",'Averages Pivot Table'!$A$3,"State","AR","Category",8,"Category2","Two-Year")</f>
        <v>0</v>
      </c>
      <c r="G371" s="141">
        <f t="shared" si="48"/>
        <v>0</v>
      </c>
      <c r="H371" s="62">
        <f>+GETPIVOTDATA(" New Inst. avg",'Averages Pivot Table'!$A$3,"State","AR","Category",8,"Category2","Two-Year")</f>
        <v>0</v>
      </c>
      <c r="I371" s="229">
        <f t="shared" si="49"/>
        <v>0</v>
      </c>
      <c r="J371" s="62">
        <f>+GETPIVOTDATA(" New Undesg. avg",'Averages Pivot Table'!$A$3,"State","AR","Category",8,"Category2","Two-Year")</f>
        <v>0</v>
      </c>
      <c r="K371" s="141">
        <f t="shared" si="50"/>
        <v>0</v>
      </c>
      <c r="L371" s="62">
        <f>+GETPIVOTDATA(" New Single Rnk avg",'Averages Pivot Table'!$A$3,"State","AR","Category",8,"Category2","Two-Year")</f>
        <v>44018.560543046355</v>
      </c>
      <c r="M371" s="229">
        <f t="shared" si="51"/>
        <v>7</v>
      </c>
      <c r="N371" s="62">
        <f>+GETPIVOTDATA(" New All Ranks avg",'Averages Pivot Table'!$A$3,"State","AR","Category",8,"Category2","Two-Year")</f>
        <v>44018.560543046355</v>
      </c>
      <c r="O371" s="229">
        <f t="shared" si="52"/>
        <v>13</v>
      </c>
    </row>
    <row r="372" spans="1:15" ht="12.95" customHeight="1">
      <c r="A372" s="12" t="s">
        <v>558</v>
      </c>
      <c r="B372" s="62">
        <f>+GETPIVOTDATA(" New Prof avg",'Averages Pivot Table'!$A$3,"State","DE","Category",8,"Category2","Two-Year")</f>
        <v>0</v>
      </c>
      <c r="C372" s="141">
        <f t="shared" si="53"/>
        <v>0</v>
      </c>
      <c r="D372" s="62">
        <f>+GETPIVOTDATA(" New Asc. avg",'Averages Pivot Table'!$A$3,"State","DE","Category",8,"Category2","Two-Year")</f>
        <v>0</v>
      </c>
      <c r="E372" s="141">
        <f t="shared" si="53"/>
        <v>0</v>
      </c>
      <c r="F372" s="62">
        <f>+GETPIVOTDATA(" New Ast. avg",'Averages Pivot Table'!$A$3,"State","DE","Category",8,"Category2","Two-Year")</f>
        <v>0</v>
      </c>
      <c r="G372" s="141">
        <f t="shared" si="48"/>
        <v>0</v>
      </c>
      <c r="H372" s="62">
        <f>+GETPIVOTDATA(" New Inst. avg",'Averages Pivot Table'!$A$3,"State","DE","Category",8,"Category2","Two-Year")</f>
        <v>0</v>
      </c>
      <c r="I372" s="229">
        <f t="shared" si="49"/>
        <v>0</v>
      </c>
      <c r="J372" s="62">
        <f>+GETPIVOTDATA(" New Undesg. avg",'Averages Pivot Table'!$A$3,"State","DE","Category",8,"Category2","Two-Year")</f>
        <v>0</v>
      </c>
      <c r="K372" s="141">
        <f t="shared" si="50"/>
        <v>0</v>
      </c>
      <c r="L372" s="62">
        <f>+GETPIVOTDATA(" New Single Rnk avg",'Averages Pivot Table'!$A$3,"State","DE","Category",8,"Category2","Two-Year")</f>
        <v>0</v>
      </c>
      <c r="M372" s="229">
        <f t="shared" si="51"/>
        <v>0</v>
      </c>
      <c r="N372" s="62">
        <f>+GETPIVOTDATA(" New All Ranks avg",'Averages Pivot Table'!$A$3,"State","DE","Category",8,"Category2","Two-Year")</f>
        <v>0</v>
      </c>
      <c r="O372" s="229">
        <f t="shared" si="52"/>
        <v>0</v>
      </c>
    </row>
    <row r="373" spans="1:15" ht="12.95" customHeight="1">
      <c r="A373" s="12" t="s">
        <v>544</v>
      </c>
      <c r="B373" s="62">
        <f>+GETPIVOTDATA(" New Prof avg",'Averages Pivot Table'!$A$3,"State","FL","Category",8,"Category2","Two-Year")</f>
        <v>0</v>
      </c>
      <c r="C373" s="141">
        <f t="shared" si="53"/>
        <v>0</v>
      </c>
      <c r="D373" s="62">
        <f>+GETPIVOTDATA(" New Asc. avg",'Averages Pivot Table'!$A$3,"State","FL","Category",8,"Category2","Two-Year")</f>
        <v>0</v>
      </c>
      <c r="E373" s="141">
        <f t="shared" si="53"/>
        <v>0</v>
      </c>
      <c r="F373" s="62">
        <f>+GETPIVOTDATA(" New Ast. avg",'Averages Pivot Table'!$A$3,"State","FL","Category",8,"Category2","Two-Year")</f>
        <v>0</v>
      </c>
      <c r="G373" s="141">
        <f t="shared" si="48"/>
        <v>0</v>
      </c>
      <c r="H373" s="62">
        <f>+GETPIVOTDATA(" New Inst. avg",'Averages Pivot Table'!$A$3,"State","FL","Category",8,"Category2","Two-Year")</f>
        <v>0</v>
      </c>
      <c r="I373" s="229">
        <f t="shared" si="49"/>
        <v>0</v>
      </c>
      <c r="J373" s="62">
        <f>+GETPIVOTDATA(" New Undesg. avg",'Averages Pivot Table'!$A$3,"State","FL","Category",8,"Category2","Two-Year")</f>
        <v>0</v>
      </c>
      <c r="K373" s="141">
        <f t="shared" si="50"/>
        <v>0</v>
      </c>
      <c r="L373" s="62">
        <f>+GETPIVOTDATA(" New Single Rnk avg",'Averages Pivot Table'!$A$3,"State","FL","Category",8,"Category2","Two-Year")</f>
        <v>53287.136820925552</v>
      </c>
      <c r="M373" s="229">
        <f t="shared" si="51"/>
        <v>4</v>
      </c>
      <c r="N373" s="62">
        <f>+GETPIVOTDATA(" New All Ranks avg",'Averages Pivot Table'!$A$3,"State","FL","Category",8,"Category2","Two-Year")</f>
        <v>53287.136820925552</v>
      </c>
      <c r="O373" s="229">
        <f t="shared" si="52"/>
        <v>6</v>
      </c>
    </row>
    <row r="374" spans="1:15" ht="12.95" customHeight="1">
      <c r="A374" s="12"/>
      <c r="B374" s="62"/>
      <c r="C374" s="141">
        <f t="shared" si="53"/>
        <v>0</v>
      </c>
      <c r="D374" s="62"/>
      <c r="E374" s="141">
        <f t="shared" si="53"/>
        <v>0</v>
      </c>
      <c r="F374" s="62"/>
      <c r="G374" s="141">
        <f t="shared" si="48"/>
        <v>0</v>
      </c>
      <c r="H374" s="62"/>
      <c r="I374" s="229">
        <f t="shared" si="49"/>
        <v>0</v>
      </c>
      <c r="J374" s="62"/>
      <c r="K374" s="141">
        <f t="shared" si="50"/>
        <v>0</v>
      </c>
      <c r="L374" s="62"/>
      <c r="M374" s="229">
        <f t="shared" si="51"/>
        <v>0</v>
      </c>
      <c r="N374" s="62"/>
      <c r="O374" s="229">
        <f t="shared" si="52"/>
        <v>0</v>
      </c>
    </row>
    <row r="375" spans="1:15" ht="12.95" customHeight="1">
      <c r="A375" s="12" t="s">
        <v>545</v>
      </c>
      <c r="B375" s="62">
        <f>+GETPIVOTDATA(" New Prof avg",'Averages Pivot Table'!$A$3,"State","GA","Category",8,"Category2","Two-Year")</f>
        <v>62113.571164999994</v>
      </c>
      <c r="C375" s="141">
        <f t="shared" si="53"/>
        <v>4</v>
      </c>
      <c r="D375" s="62">
        <f>+GETPIVOTDATA(" New Asc. avg",'Averages Pivot Table'!$A$3,"State","GA","Category",8,"Category2","Two-Year")</f>
        <v>55818.878542253522</v>
      </c>
      <c r="E375" s="141">
        <f t="shared" si="53"/>
        <v>4</v>
      </c>
      <c r="F375" s="62">
        <f>+GETPIVOTDATA(" New Ast. avg",'Averages Pivot Table'!$A$3,"State","GA","Category",8,"Category2","Two-Year")</f>
        <v>45814.313548623846</v>
      </c>
      <c r="G375" s="141">
        <f t="shared" si="48"/>
        <v>4</v>
      </c>
      <c r="H375" s="62">
        <f>+GETPIVOTDATA(" New Inst. avg",'Averages Pivot Table'!$A$3,"State","GA","Category",8,"Category2","Two-Year")</f>
        <v>38721.584089947093</v>
      </c>
      <c r="I375" s="229">
        <f t="shared" si="49"/>
        <v>5</v>
      </c>
      <c r="J375" s="62">
        <f>+GETPIVOTDATA(" New Undesg. avg",'Averages Pivot Table'!$A$3,"State","GA","Category",8,"Category2","Two-Year")</f>
        <v>0</v>
      </c>
      <c r="K375" s="141">
        <f t="shared" si="50"/>
        <v>0</v>
      </c>
      <c r="L375" s="62">
        <f>+GETPIVOTDATA(" New Single Rnk avg",'Averages Pivot Table'!$A$3,"State","GA","Category",8,"Category2","Two-Year")</f>
        <v>0</v>
      </c>
      <c r="M375" s="229">
        <f t="shared" si="51"/>
        <v>0</v>
      </c>
      <c r="N375" s="62">
        <f>+GETPIVOTDATA(" New All Ranks avg",'Averages Pivot Table'!$A$3,"State","GA","Category",8,"Category2","Two-Year")</f>
        <v>47339.506602916663</v>
      </c>
      <c r="O375" s="229">
        <f t="shared" si="52"/>
        <v>10</v>
      </c>
    </row>
    <row r="376" spans="1:15" ht="12.95" customHeight="1">
      <c r="A376" s="12" t="s">
        <v>546</v>
      </c>
      <c r="B376" s="62">
        <f>+GETPIVOTDATA(" New Prof avg",'Averages Pivot Table'!$A$3,"State","KY","Category",8,"Category2","Two-Year")</f>
        <v>58635.041193055557</v>
      </c>
      <c r="C376" s="141">
        <f t="shared" si="53"/>
        <v>6</v>
      </c>
      <c r="D376" s="62">
        <f>+GETPIVOTDATA(" New Asc. avg",'Averages Pivot Table'!$A$3,"State","KY","Category",8,"Category2","Two-Year")</f>
        <v>50219.487307906973</v>
      </c>
      <c r="E376" s="141">
        <f t="shared" si="53"/>
        <v>6</v>
      </c>
      <c r="F376" s="62">
        <f>+GETPIVOTDATA(" New Ast. avg",'Averages Pivot Table'!$A$3,"State","KY","Category",8,"Category2","Two-Year")</f>
        <v>42460.38564504504</v>
      </c>
      <c r="G376" s="141">
        <f t="shared" si="48"/>
        <v>6</v>
      </c>
      <c r="H376" s="62">
        <f>+GETPIVOTDATA(" New Inst. avg",'Averages Pivot Table'!$A$3,"State","KY","Category",8,"Category2","Two-Year")</f>
        <v>39964.456938461539</v>
      </c>
      <c r="I376" s="229">
        <f t="shared" si="49"/>
        <v>4</v>
      </c>
      <c r="J376" s="62">
        <f>+GETPIVOTDATA(" New Undesg. avg",'Averages Pivot Table'!$A$3,"State","KY","Category",8,"Category2","Two-Year")</f>
        <v>0</v>
      </c>
      <c r="K376" s="141">
        <f t="shared" si="50"/>
        <v>0</v>
      </c>
      <c r="L376" s="62">
        <f>+GETPIVOTDATA(" New Single Rnk avg",'Averages Pivot Table'!$A$3,"State","KY","Category",8,"Category2","Two-Year")</f>
        <v>0</v>
      </c>
      <c r="M376" s="229">
        <f t="shared" si="51"/>
        <v>0</v>
      </c>
      <c r="N376" s="62">
        <f>+GETPIVOTDATA(" New All Ranks avg",'Averages Pivot Table'!$A$3,"State","KY","Category",8,"Category2","Two-Year")</f>
        <v>49628.837776822438</v>
      </c>
      <c r="O376" s="229">
        <f t="shared" si="52"/>
        <v>7</v>
      </c>
    </row>
    <row r="377" spans="1:15" ht="12.95" customHeight="1">
      <c r="A377" s="12" t="s">
        <v>547</v>
      </c>
      <c r="B377" s="62">
        <f>+GETPIVOTDATA(" New Prof avg",'Averages Pivot Table'!$A$3,"State","LA","Category",8,"Category2","Two-Year")</f>
        <v>81771.863298701297</v>
      </c>
      <c r="C377" s="141">
        <f t="shared" si="53"/>
        <v>1</v>
      </c>
      <c r="D377" s="62">
        <f>+GETPIVOTDATA(" New Asc. avg",'Averages Pivot Table'!$A$3,"State","LA","Category",8,"Category2","Two-Year")</f>
        <v>75235.140060377365</v>
      </c>
      <c r="E377" s="141">
        <f t="shared" si="53"/>
        <v>1</v>
      </c>
      <c r="F377" s="62">
        <f>+GETPIVOTDATA(" New Ast. avg",'Averages Pivot Table'!$A$3,"State","LA","Category",8,"Category2","Two-Year")</f>
        <v>63693.675035294124</v>
      </c>
      <c r="G377" s="141">
        <f t="shared" si="48"/>
        <v>1</v>
      </c>
      <c r="H377" s="62">
        <f>+GETPIVOTDATA(" New Inst. avg",'Averages Pivot Table'!$A$3,"State","LA","Category",8,"Category2","Two-Year")</f>
        <v>55172.84739568345</v>
      </c>
      <c r="I377" s="229">
        <f t="shared" si="49"/>
        <v>1</v>
      </c>
      <c r="J377" s="62">
        <f>+GETPIVOTDATA(" New Undesg. avg",'Averages Pivot Table'!$A$3,"State","LA","Category",8,"Category2","Two-Year")</f>
        <v>39985.902249180333</v>
      </c>
      <c r="K377" s="141">
        <f t="shared" si="50"/>
        <v>3</v>
      </c>
      <c r="L377" s="62">
        <f>+GETPIVOTDATA(" New Single Rnk avg",'Averages Pivot Table'!$A$3,"State","LA","Category",8,"Category2","Two-Year")</f>
        <v>0</v>
      </c>
      <c r="M377" s="229">
        <f t="shared" si="51"/>
        <v>0</v>
      </c>
      <c r="N377" s="62">
        <f>+GETPIVOTDATA(" New All Ranks avg",'Averages Pivot Table'!$A$3,"State","LA","Category",8,"Category2","Two-Year")</f>
        <v>59338.580121008396</v>
      </c>
      <c r="O377" s="229">
        <f t="shared" si="52"/>
        <v>2</v>
      </c>
    </row>
    <row r="378" spans="1:15" ht="12.95" customHeight="1">
      <c r="A378" s="12" t="s">
        <v>548</v>
      </c>
      <c r="B378" s="62">
        <f>+GETPIVOTDATA(" New Prof avg",'Averages Pivot Table'!$A$3,"State","MD","Category",8,"Category2","Two-Year")</f>
        <v>81177.373264670648</v>
      </c>
      <c r="C378" s="141">
        <f t="shared" si="53"/>
        <v>2</v>
      </c>
      <c r="D378" s="62">
        <f>+GETPIVOTDATA(" New Asc. avg",'Averages Pivot Table'!$A$3,"State","MD","Category",8,"Category2","Two-Year")</f>
        <v>64498.348136077482</v>
      </c>
      <c r="E378" s="141">
        <f t="shared" si="53"/>
        <v>2</v>
      </c>
      <c r="F378" s="62">
        <f>+GETPIVOTDATA(" New Ast. avg",'Averages Pivot Table'!$A$3,"State","MD","Category",8,"Category2","Two-Year")</f>
        <v>55483.224453164563</v>
      </c>
      <c r="G378" s="141">
        <f t="shared" si="48"/>
        <v>2</v>
      </c>
      <c r="H378" s="62">
        <f>+GETPIVOTDATA(" New Inst. avg",'Averages Pivot Table'!$A$3,"State","MD","Category",8,"Category2","Two-Year")</f>
        <v>47884.428615789475</v>
      </c>
      <c r="I378" s="229">
        <f t="shared" si="49"/>
        <v>3</v>
      </c>
      <c r="J378" s="62">
        <f>+GETPIVOTDATA(" New Undesg. avg",'Averages Pivot Table'!$A$3,"State","MD","Category",8,"Category2","Two-Year")</f>
        <v>0</v>
      </c>
      <c r="K378" s="141">
        <f t="shared" si="50"/>
        <v>0</v>
      </c>
      <c r="L378" s="62">
        <f>+GETPIVOTDATA(" New Single Rnk avg",'Averages Pivot Table'!$A$3,"State","MD","Category",8,"Category2","Two-Year")</f>
        <v>0</v>
      </c>
      <c r="M378" s="229">
        <f t="shared" si="51"/>
        <v>0</v>
      </c>
      <c r="N378" s="62">
        <f>+GETPIVOTDATA(" New All Ranks avg",'Averages Pivot Table'!$A$3,"State","MD","Category",8,"Category2","Two-Year")</f>
        <v>67048.932866137184</v>
      </c>
      <c r="O378" s="229">
        <f t="shared" si="52"/>
        <v>1</v>
      </c>
    </row>
    <row r="379" spans="1:15" ht="12.95" customHeight="1">
      <c r="A379" s="12"/>
      <c r="B379" s="62"/>
      <c r="C379" s="141">
        <f t="shared" si="53"/>
        <v>0</v>
      </c>
      <c r="D379" s="62"/>
      <c r="E379" s="141">
        <f t="shared" si="53"/>
        <v>0</v>
      </c>
      <c r="F379" s="62"/>
      <c r="G379" s="141">
        <f t="shared" si="48"/>
        <v>0</v>
      </c>
      <c r="H379" s="62"/>
      <c r="I379" s="229">
        <f t="shared" si="49"/>
        <v>0</v>
      </c>
      <c r="J379" s="62"/>
      <c r="K379" s="141">
        <f t="shared" si="50"/>
        <v>0</v>
      </c>
      <c r="L379" s="62"/>
      <c r="M379" s="229">
        <f t="shared" si="51"/>
        <v>0</v>
      </c>
      <c r="N379" s="62"/>
      <c r="O379" s="229">
        <f t="shared" si="52"/>
        <v>0</v>
      </c>
    </row>
    <row r="380" spans="1:15" ht="12.95" customHeight="1">
      <c r="A380" s="12" t="s">
        <v>549</v>
      </c>
      <c r="B380" s="62">
        <f>+GETPIVOTDATA(" New Prof avg",'Averages Pivot Table'!$A$3,"State","MS","Category",8,"Category2","Two-Year")</f>
        <v>0</v>
      </c>
      <c r="C380" s="141">
        <f t="shared" si="53"/>
        <v>0</v>
      </c>
      <c r="D380" s="62">
        <f>+GETPIVOTDATA(" New Asc. avg",'Averages Pivot Table'!$A$3,"State","MS","Category",8,"Category2","Two-Year")</f>
        <v>0</v>
      </c>
      <c r="E380" s="141">
        <f t="shared" si="53"/>
        <v>0</v>
      </c>
      <c r="F380" s="62">
        <f>+GETPIVOTDATA(" New Ast. avg",'Averages Pivot Table'!$A$3,"State","MS","Category",8,"Category2","Two-Year")</f>
        <v>0</v>
      </c>
      <c r="G380" s="141">
        <f t="shared" si="48"/>
        <v>0</v>
      </c>
      <c r="H380" s="62">
        <f>+GETPIVOTDATA(" New Inst. avg",'Averages Pivot Table'!$A$3,"State","MS","Category",8,"Category2","Two-Year")</f>
        <v>0</v>
      </c>
      <c r="I380" s="229">
        <f t="shared" si="49"/>
        <v>0</v>
      </c>
      <c r="J380" s="62">
        <f>+GETPIVOTDATA(" New Undesg. avg",'Averages Pivot Table'!$A$3,"State","MS","Category",8,"Category2","Two-Year")</f>
        <v>0</v>
      </c>
      <c r="K380" s="141">
        <f t="shared" si="50"/>
        <v>0</v>
      </c>
      <c r="L380" s="62">
        <f>+GETPIVOTDATA(" New Single Rnk avg",'Averages Pivot Table'!$A$3,"State","MS","Category",8,"Category2","Two-Year")</f>
        <v>45357.72233112195</v>
      </c>
      <c r="M380" s="229">
        <f t="shared" si="51"/>
        <v>6</v>
      </c>
      <c r="N380" s="62">
        <f>+GETPIVOTDATA(" New All Ranks avg",'Averages Pivot Table'!$A$3,"State","MS","Category",8,"Category2","Two-Year")</f>
        <v>45357.72233112195</v>
      </c>
      <c r="O380" s="229">
        <f t="shared" si="52"/>
        <v>12</v>
      </c>
    </row>
    <row r="381" spans="1:15" ht="12.95" customHeight="1">
      <c r="A381" s="12" t="s">
        <v>550</v>
      </c>
      <c r="B381" s="62">
        <f>+GETPIVOTDATA(" New Prof avg",'Averages Pivot Table'!$A$3,"State","NC","Category",8,"Category2","Two-Year")</f>
        <v>0</v>
      </c>
      <c r="C381" s="141">
        <f t="shared" si="53"/>
        <v>0</v>
      </c>
      <c r="D381" s="62">
        <f>+GETPIVOTDATA(" New Asc. avg",'Averages Pivot Table'!$A$3,"State","NC","Category",8,"Category2","Two-Year")</f>
        <v>0</v>
      </c>
      <c r="E381" s="141">
        <f t="shared" si="53"/>
        <v>0</v>
      </c>
      <c r="F381" s="62">
        <f>+GETPIVOTDATA(" New Ast. avg",'Averages Pivot Table'!$A$3,"State","NC","Category",8,"Category2","Two-Year")</f>
        <v>0</v>
      </c>
      <c r="G381" s="141">
        <f t="shared" si="48"/>
        <v>0</v>
      </c>
      <c r="H381" s="62">
        <f>+GETPIVOTDATA(" New Inst. avg",'Averages Pivot Table'!$A$3,"State","NC","Category",8,"Category2","Two-Year")</f>
        <v>0</v>
      </c>
      <c r="I381" s="229">
        <f t="shared" si="49"/>
        <v>0</v>
      </c>
      <c r="J381" s="62">
        <f>+GETPIVOTDATA(" New Undesg. avg",'Averages Pivot Table'!$A$3,"State","NC","Category",8,"Category2","Two-Year")</f>
        <v>0</v>
      </c>
      <c r="K381" s="141">
        <f t="shared" si="50"/>
        <v>0</v>
      </c>
      <c r="L381" s="62">
        <f>+GETPIVOTDATA(" New Single Rnk avg",'Averages Pivot Table'!$A$3,"State","NC","Category",8,"Category2","Two-Year")</f>
        <v>48146.103434662458</v>
      </c>
      <c r="M381" s="229">
        <f t="shared" si="51"/>
        <v>5</v>
      </c>
      <c r="N381" s="62">
        <f>+GETPIVOTDATA(" New All Ranks avg",'Averages Pivot Table'!$A$3,"State","NC","Category",8,"Category2","Two-Year")</f>
        <v>48146.103434662458</v>
      </c>
      <c r="O381" s="229">
        <f t="shared" si="52"/>
        <v>9</v>
      </c>
    </row>
    <row r="382" spans="1:15" ht="12.95" customHeight="1">
      <c r="A382" s="12" t="s">
        <v>551</v>
      </c>
      <c r="B382" s="62">
        <f>+GETPIVOTDATA(" New Prof avg",'Averages Pivot Table'!$A$3,"State","OK","Category",8,"Category2","Two-Year")</f>
        <v>0</v>
      </c>
      <c r="C382" s="141">
        <f t="shared" si="53"/>
        <v>0</v>
      </c>
      <c r="D382" s="62">
        <f>+GETPIVOTDATA(" New Asc. avg",'Averages Pivot Table'!$A$3,"State","OK","Category",8,"Category2","Two-Year")</f>
        <v>0</v>
      </c>
      <c r="E382" s="141">
        <f t="shared" si="53"/>
        <v>0</v>
      </c>
      <c r="F382" s="62">
        <f>+GETPIVOTDATA(" New Ast. avg",'Averages Pivot Table'!$A$3,"State","OK","Category",8,"Category2","Two-Year")</f>
        <v>0</v>
      </c>
      <c r="G382" s="141">
        <f t="shared" si="48"/>
        <v>0</v>
      </c>
      <c r="H382" s="62">
        <f>+GETPIVOTDATA(" New Inst. avg",'Averages Pivot Table'!$A$3,"State","OK","Category",8,"Category2","Two-Year")</f>
        <v>0</v>
      </c>
      <c r="I382" s="229">
        <f t="shared" si="49"/>
        <v>0</v>
      </c>
      <c r="J382" s="62">
        <f>+GETPIVOTDATA(" New Undesg. avg",'Averages Pivot Table'!$A$3,"State","OK","Category",8,"Category2","Two-Year")</f>
        <v>0</v>
      </c>
      <c r="K382" s="141">
        <f t="shared" si="50"/>
        <v>0</v>
      </c>
      <c r="L382" s="62">
        <f>+GETPIVOTDATA(" New Single Rnk avg",'Averages Pivot Table'!$A$3,"State","OK","Category",8,"Category2","Two-Year")</f>
        <v>53802.34243423424</v>
      </c>
      <c r="M382" s="229">
        <f t="shared" si="51"/>
        <v>2</v>
      </c>
      <c r="N382" s="62">
        <f>+GETPIVOTDATA(" New All Ranks avg",'Averages Pivot Table'!$A$3,"State","OK","Category",8,"Category2","Two-Year")</f>
        <v>53802.34243423424</v>
      </c>
      <c r="O382" s="229">
        <f t="shared" si="52"/>
        <v>4</v>
      </c>
    </row>
    <row r="383" spans="1:15" ht="12.95" customHeight="1">
      <c r="A383" s="12" t="s">
        <v>552</v>
      </c>
      <c r="B383" s="62">
        <f>+GETPIVOTDATA(" New Prof avg",'Averages Pivot Table'!$A$3,"State","SC","Category",8,"Category2","Two-Year")</f>
        <v>0</v>
      </c>
      <c r="C383" s="141">
        <f t="shared" si="53"/>
        <v>0</v>
      </c>
      <c r="D383" s="62">
        <f>+GETPIVOTDATA(" New Asc. avg",'Averages Pivot Table'!$A$3,"State","SC","Category",8,"Category2","Two-Year")</f>
        <v>0</v>
      </c>
      <c r="E383" s="141">
        <f t="shared" si="53"/>
        <v>0</v>
      </c>
      <c r="F383" s="62">
        <f>+GETPIVOTDATA(" New Ast. avg",'Averages Pivot Table'!$A$3,"State","SC","Category",8,"Category2","Two-Year")</f>
        <v>0</v>
      </c>
      <c r="G383" s="141">
        <f t="shared" si="48"/>
        <v>0</v>
      </c>
      <c r="H383" s="62">
        <f>+GETPIVOTDATA(" New Inst. avg",'Averages Pivot Table'!$A$3,"State","SC","Category",8,"Category2","Two-Year")</f>
        <v>0</v>
      </c>
      <c r="I383" s="229">
        <f t="shared" si="49"/>
        <v>0</v>
      </c>
      <c r="J383" s="62">
        <f>+GETPIVOTDATA(" New Undesg. avg",'Averages Pivot Table'!$A$3,"State","SC","Category",8,"Category2","Two-Year")</f>
        <v>47161.037602820208</v>
      </c>
      <c r="K383" s="141">
        <f t="shared" si="50"/>
        <v>1</v>
      </c>
      <c r="L383" s="62">
        <f>+GETPIVOTDATA(" New Single Rnk avg",'Averages Pivot Table'!$A$3,"State","SC","Category",8,"Category2","Two-Year")</f>
        <v>0</v>
      </c>
      <c r="M383" s="229">
        <f t="shared" si="51"/>
        <v>0</v>
      </c>
      <c r="N383" s="62">
        <f>+GETPIVOTDATA(" New All Ranks avg",'Averages Pivot Table'!$A$3,"State","SC","Category",8,"Category2","Two-Year")</f>
        <v>47161.037602820208</v>
      </c>
      <c r="O383" s="229">
        <f t="shared" si="52"/>
        <v>11</v>
      </c>
    </row>
    <row r="384" spans="1:15" ht="12.95" customHeight="1">
      <c r="A384" s="12"/>
      <c r="B384" s="62"/>
      <c r="C384" s="141">
        <f t="shared" si="53"/>
        <v>0</v>
      </c>
      <c r="D384" s="62"/>
      <c r="E384" s="141">
        <f t="shared" si="53"/>
        <v>0</v>
      </c>
      <c r="F384" s="62"/>
      <c r="G384" s="141">
        <f t="shared" si="48"/>
        <v>0</v>
      </c>
      <c r="H384" s="62"/>
      <c r="I384" s="229">
        <f t="shared" si="49"/>
        <v>0</v>
      </c>
      <c r="J384" s="62"/>
      <c r="K384" s="141">
        <f t="shared" si="50"/>
        <v>0</v>
      </c>
      <c r="L384" s="62"/>
      <c r="M384" s="229">
        <f t="shared" si="51"/>
        <v>0</v>
      </c>
      <c r="N384" s="62"/>
      <c r="O384" s="229">
        <f t="shared" si="52"/>
        <v>0</v>
      </c>
    </row>
    <row r="385" spans="1:19" ht="12.95" customHeight="1">
      <c r="A385" s="12" t="s">
        <v>553</v>
      </c>
      <c r="B385" s="140">
        <f>+GETPIVOTDATA(" New Prof avg",'Averages Pivot Table'!$A$3,"State","TN","Category",8,"Category2","Two-Year")</f>
        <v>59964.132342857141</v>
      </c>
      <c r="C385" s="141">
        <f t="shared" si="53"/>
        <v>5</v>
      </c>
      <c r="D385" s="140">
        <f>+GETPIVOTDATA(" New Asc. avg",'Averages Pivot Table'!$A$3,"State","TN","Category",8,"Category2","Two-Year")</f>
        <v>50944.860702167185</v>
      </c>
      <c r="E385" s="141">
        <f t="shared" si="53"/>
        <v>5</v>
      </c>
      <c r="F385" s="140">
        <f>+GETPIVOTDATA(" New Ast. avg",'Averages Pivot Table'!$A$3,"State","TN","Category",8,"Category2","Two-Year")</f>
        <v>42700.35803214286</v>
      </c>
      <c r="G385" s="141">
        <f t="shared" si="48"/>
        <v>5</v>
      </c>
      <c r="H385" s="140">
        <f>+GETPIVOTDATA(" New Inst. avg",'Averages Pivot Table'!$A$3,"State","TN","Category",8,"Category2","Two-Year")</f>
        <v>38025.11360521739</v>
      </c>
      <c r="I385" s="229">
        <f t="shared" si="49"/>
        <v>6</v>
      </c>
      <c r="J385" s="140">
        <f>+GETPIVOTDATA(" New Undesg. avg",'Averages Pivot Table'!$A$3,"State","TN","Category",8,"Category2","Two-Year")</f>
        <v>46535</v>
      </c>
      <c r="K385" s="141">
        <f t="shared" si="50"/>
        <v>2</v>
      </c>
      <c r="L385" s="140">
        <f>+GETPIVOTDATA(" New Single Rnk avg",'Averages Pivot Table'!$A$3,"State","TN","Category",8,"Category2","Two-Year")</f>
        <v>0</v>
      </c>
      <c r="M385" s="229">
        <f t="shared" si="51"/>
        <v>0</v>
      </c>
      <c r="N385" s="62">
        <f>+GETPIVOTDATA(" New All Ranks avg",'Averages Pivot Table'!$A$3,"State","TN","Category",8,"Category2","Two-Year")</f>
        <v>48463.846128037381</v>
      </c>
      <c r="O385" s="229">
        <f t="shared" si="52"/>
        <v>8</v>
      </c>
    </row>
    <row r="386" spans="1:19" ht="12.95" customHeight="1">
      <c r="A386" s="12" t="s">
        <v>554</v>
      </c>
      <c r="B386" s="140">
        <f>+GETPIVOTDATA(" New Prof avg",'Averages Pivot Table'!$A$3,"State","TX","Category",8,"Category2","Two-Year")</f>
        <v>67255.554688410019</v>
      </c>
      <c r="C386" s="141">
        <f t="shared" si="53"/>
        <v>3</v>
      </c>
      <c r="D386" s="140">
        <f>+GETPIVOTDATA(" New Asc. avg",'Averages Pivot Table'!$A$3,"State","TX","Category",8,"Category2","Two-Year")</f>
        <v>58210.256375206613</v>
      </c>
      <c r="E386" s="141">
        <f t="shared" si="53"/>
        <v>3</v>
      </c>
      <c r="F386" s="140">
        <f>+GETPIVOTDATA(" New Ast. avg",'Averages Pivot Table'!$A$3,"State","TX","Category",8,"Category2","Two-Year")</f>
        <v>54373.064232084304</v>
      </c>
      <c r="G386" s="141">
        <f t="shared" si="48"/>
        <v>3</v>
      </c>
      <c r="H386" s="140">
        <f>+GETPIVOTDATA(" New Inst. avg",'Averages Pivot Table'!$A$3,"State","TX","Category",8,"Category2","Two-Year")</f>
        <v>50501.243238436946</v>
      </c>
      <c r="I386" s="229">
        <f t="shared" si="49"/>
        <v>2</v>
      </c>
      <c r="J386" s="140">
        <f>+GETPIVOTDATA(" New Undesg. avg",'Averages Pivot Table'!$A$3,"State","TX","Category",8,"Category2","Two-Year")</f>
        <v>22155.278557031252</v>
      </c>
      <c r="K386" s="141">
        <f t="shared" si="50"/>
        <v>4</v>
      </c>
      <c r="L386" s="140">
        <f>+GETPIVOTDATA(" New Single Rnk avg",'Averages Pivot Table'!$A$3,"State","TX","Category",8,"Category2","Two-Year")</f>
        <v>55465.960605757049</v>
      </c>
      <c r="M386" s="229">
        <f t="shared" si="51"/>
        <v>1</v>
      </c>
      <c r="N386" s="62">
        <f>+GETPIVOTDATA(" New All Ranks avg",'Averages Pivot Table'!$A$3,"State","TX","Category",8,"Category2","Two-Year")</f>
        <v>55360.271821419883</v>
      </c>
      <c r="O386" s="229">
        <f t="shared" si="52"/>
        <v>3</v>
      </c>
    </row>
    <row r="387" spans="1:19" ht="12.95" customHeight="1">
      <c r="A387" s="12" t="s">
        <v>555</v>
      </c>
      <c r="B387" s="140">
        <f>+GETPIVOTDATA(" New Prof avg",'Averages Pivot Table'!$A$3,"State","VA","Category",8,"Category2","Two-Year")</f>
        <v>0</v>
      </c>
      <c r="C387" s="141">
        <f t="shared" si="53"/>
        <v>0</v>
      </c>
      <c r="D387" s="140">
        <f>+GETPIVOTDATA(" New Asc. avg",'Averages Pivot Table'!$A$3,"State","VA","Category",8,"Category2","Two-Year")</f>
        <v>0</v>
      </c>
      <c r="E387" s="141">
        <f t="shared" si="53"/>
        <v>0</v>
      </c>
      <c r="F387" s="140">
        <f>+GETPIVOTDATA(" New Ast. avg",'Averages Pivot Table'!$A$3,"State","VA","Category",8,"Category2","Two-Year")</f>
        <v>0</v>
      </c>
      <c r="G387" s="141">
        <f t="shared" si="48"/>
        <v>0</v>
      </c>
      <c r="H387" s="140">
        <f>+GETPIVOTDATA(" New Inst. avg",'Averages Pivot Table'!$A$3,"State","VA","Category",8,"Category2","Two-Year")</f>
        <v>0</v>
      </c>
      <c r="I387" s="229">
        <f t="shared" si="49"/>
        <v>0</v>
      </c>
      <c r="J387" s="140">
        <f>+GETPIVOTDATA(" New Undesg. avg",'Averages Pivot Table'!$A$3,"State","VA","Category",8,"Category2","Two-Year")</f>
        <v>0</v>
      </c>
      <c r="K387" s="141">
        <f t="shared" si="50"/>
        <v>0</v>
      </c>
      <c r="L387" s="140">
        <f>+GETPIVOTDATA(" New Single Rnk avg",'Averages Pivot Table'!$A$3,"State","VA","Category",8,"Category2","Two-Year")</f>
        <v>0</v>
      </c>
      <c r="M387" s="229">
        <f t="shared" si="51"/>
        <v>0</v>
      </c>
      <c r="N387" s="62">
        <f>+GETPIVOTDATA(" New All Ranks avg",'Averages Pivot Table'!$A$3,"State","VA","Category",8,"Category2","Two-Year")</f>
        <v>0</v>
      </c>
      <c r="O387" s="229">
        <f t="shared" si="52"/>
        <v>0</v>
      </c>
    </row>
    <row r="388" spans="1:19" ht="12.95" customHeight="1">
      <c r="A388" s="11" t="s">
        <v>556</v>
      </c>
      <c r="B388" s="64">
        <f>+GETPIVOTDATA(" New Prof avg",'Averages Pivot Table'!$A$3,"State","WV","Category",8,"Category2","Two-Year")</f>
        <v>0</v>
      </c>
      <c r="C388" s="65">
        <f t="shared" si="53"/>
        <v>0</v>
      </c>
      <c r="D388" s="64">
        <f>+GETPIVOTDATA(" New Asc. avg",'Averages Pivot Table'!$A$3,"State","WV","Category",8,"Category2","Two-Year")</f>
        <v>0</v>
      </c>
      <c r="E388" s="65">
        <f t="shared" si="53"/>
        <v>0</v>
      </c>
      <c r="F388" s="64">
        <f>+GETPIVOTDATA(" New Ast. avg",'Averages Pivot Table'!$A$3,"State","WV","Category",8,"Category2","Two-Year")</f>
        <v>0</v>
      </c>
      <c r="G388" s="65">
        <f t="shared" si="48"/>
        <v>0</v>
      </c>
      <c r="H388" s="64">
        <f>+GETPIVOTDATA(" New Inst. avg",'Averages Pivot Table'!$A$3,"State","WV","Category",8,"Category2","Two-Year")</f>
        <v>0</v>
      </c>
      <c r="I388" s="230">
        <f t="shared" si="49"/>
        <v>0</v>
      </c>
      <c r="J388" s="64">
        <f>+GETPIVOTDATA(" New Undesg. avg",'Averages Pivot Table'!$A$3,"State","WV","Category",8,"Category2","Two-Year")</f>
        <v>0</v>
      </c>
      <c r="K388" s="65">
        <f t="shared" si="50"/>
        <v>0</v>
      </c>
      <c r="L388" s="64">
        <f>+GETPIVOTDATA(" New Single Rnk avg",'Averages Pivot Table'!$A$3,"State","WV","Category",8,"Category2","Two-Year")</f>
        <v>0</v>
      </c>
      <c r="M388" s="230">
        <f t="shared" si="51"/>
        <v>0</v>
      </c>
      <c r="N388" s="64">
        <f>+GETPIVOTDATA(" New All Ranks avg",'Averages Pivot Table'!$A$3,"State","WV","Category",8,"Category2","Two-Year")</f>
        <v>0</v>
      </c>
      <c r="O388" s="230">
        <f t="shared" si="52"/>
        <v>0</v>
      </c>
    </row>
    <row r="389" spans="1:19" ht="30" customHeight="1">
      <c r="A389" s="508" t="s">
        <v>425</v>
      </c>
      <c r="B389" s="508"/>
      <c r="C389" s="508"/>
      <c r="D389" s="508"/>
      <c r="E389" s="508"/>
      <c r="F389" s="508"/>
      <c r="G389" s="508"/>
      <c r="H389" s="508"/>
      <c r="I389" s="508"/>
      <c r="J389" s="508"/>
      <c r="K389" s="508"/>
      <c r="L389" s="508"/>
      <c r="M389" s="508"/>
      <c r="N389" s="508"/>
      <c r="O389" s="508"/>
    </row>
    <row r="390" spans="1:19">
      <c r="O390" s="487" t="s">
        <v>1000</v>
      </c>
    </row>
    <row r="391" spans="1:19" ht="18">
      <c r="A391" s="504" t="s">
        <v>577</v>
      </c>
      <c r="B391" s="504"/>
      <c r="C391" s="504"/>
      <c r="D391" s="504"/>
      <c r="E391" s="504"/>
      <c r="F391" s="504"/>
      <c r="G391" s="504"/>
      <c r="H391" s="504"/>
      <c r="I391" s="504"/>
      <c r="J391" s="504"/>
      <c r="K391" s="504"/>
      <c r="L391" s="504"/>
      <c r="M391" s="504"/>
      <c r="N391" s="504"/>
      <c r="O391" s="504"/>
    </row>
    <row r="392" spans="1:19">
      <c r="A392" s="23"/>
      <c r="B392" s="5"/>
      <c r="C392" s="5"/>
      <c r="D392" s="5"/>
      <c r="E392" s="5"/>
      <c r="F392" s="5"/>
      <c r="G392" s="5"/>
      <c r="H392" s="5"/>
      <c r="I392" s="172"/>
      <c r="J392" s="5"/>
      <c r="K392" s="5"/>
      <c r="L392" s="5"/>
      <c r="M392" s="172"/>
      <c r="N392" s="5"/>
      <c r="O392" s="172"/>
    </row>
    <row r="393" spans="1:19">
      <c r="A393" s="505" t="s">
        <v>557</v>
      </c>
      <c r="B393" s="505"/>
      <c r="C393" s="505"/>
      <c r="D393" s="505"/>
      <c r="E393" s="505"/>
      <c r="F393" s="505"/>
      <c r="G393" s="505"/>
      <c r="H393" s="505"/>
      <c r="I393" s="505"/>
      <c r="J393" s="505"/>
      <c r="K393" s="505"/>
      <c r="L393" s="505"/>
      <c r="M393" s="505"/>
      <c r="N393" s="505"/>
      <c r="O393" s="505"/>
    </row>
    <row r="394" spans="1:19">
      <c r="A394" s="505" t="s">
        <v>40</v>
      </c>
      <c r="B394" s="505"/>
      <c r="C394" s="505"/>
      <c r="D394" s="505"/>
      <c r="E394" s="505"/>
      <c r="F394" s="505"/>
      <c r="G394" s="505"/>
      <c r="H394" s="505"/>
      <c r="I394" s="505"/>
      <c r="J394" s="505"/>
      <c r="K394" s="505"/>
      <c r="L394" s="505"/>
      <c r="M394" s="505"/>
      <c r="N394" s="505"/>
      <c r="O394" s="505"/>
    </row>
    <row r="395" spans="1:19">
      <c r="A395" s="12"/>
      <c r="B395" s="12"/>
      <c r="C395" s="12"/>
      <c r="D395" s="12"/>
      <c r="E395" s="12"/>
      <c r="F395" s="12"/>
      <c r="G395" s="12"/>
      <c r="H395" s="12"/>
      <c r="I395" s="243"/>
      <c r="J395" s="12"/>
      <c r="K395" s="12"/>
      <c r="L395" s="12"/>
      <c r="M395" s="243"/>
      <c r="N395" s="12"/>
      <c r="O395" s="243"/>
    </row>
    <row r="396" spans="1:19" ht="33.75" customHeight="1">
      <c r="A396" s="15"/>
      <c r="B396" s="21" t="s">
        <v>435</v>
      </c>
      <c r="C396" s="22"/>
      <c r="D396" s="152" t="s">
        <v>436</v>
      </c>
      <c r="E396" s="153"/>
      <c r="F396" s="152" t="s">
        <v>437</v>
      </c>
      <c r="G396" s="153"/>
      <c r="H396" s="21" t="s">
        <v>438</v>
      </c>
      <c r="I396" s="253"/>
      <c r="J396" s="152" t="s">
        <v>584</v>
      </c>
      <c r="K396" s="153"/>
      <c r="L396" s="22" t="s">
        <v>413</v>
      </c>
      <c r="M396" s="253"/>
      <c r="N396" s="22" t="s">
        <v>415</v>
      </c>
      <c r="O396" s="253"/>
    </row>
    <row r="397" spans="1:19">
      <c r="A397" s="16"/>
      <c r="B397" s="19" t="s">
        <v>439</v>
      </c>
      <c r="C397" s="18" t="s">
        <v>530</v>
      </c>
      <c r="D397" s="19" t="s">
        <v>439</v>
      </c>
      <c r="E397" s="18" t="s">
        <v>530</v>
      </c>
      <c r="F397" s="19" t="s">
        <v>439</v>
      </c>
      <c r="G397" s="18" t="s">
        <v>530</v>
      </c>
      <c r="H397" s="19" t="s">
        <v>439</v>
      </c>
      <c r="I397" s="254" t="s">
        <v>530</v>
      </c>
      <c r="J397" s="19" t="s">
        <v>439</v>
      </c>
      <c r="K397" s="18" t="s">
        <v>530</v>
      </c>
      <c r="L397" s="19" t="s">
        <v>439</v>
      </c>
      <c r="M397" s="254" t="s">
        <v>530</v>
      </c>
      <c r="N397" s="19" t="s">
        <v>439</v>
      </c>
      <c r="O397" s="254" t="s">
        <v>530</v>
      </c>
    </row>
    <row r="398" spans="1:19" s="168" customFormat="1" ht="18" customHeight="1">
      <c r="A398" s="181" t="s">
        <v>559</v>
      </c>
      <c r="B398" s="185">
        <f>+GETPIVOTDATA(" New Prof avg",'Averages Pivot Table'!$A$3,"Category",9,"Category2","Two-Year")</f>
        <v>61415.579837158475</v>
      </c>
      <c r="C398" s="185"/>
      <c r="D398" s="185">
        <f>+GETPIVOTDATA(" New Asc. avg",'Averages Pivot Table'!$A$3,"Category",9,"Category2","Two-Year")</f>
        <v>51483.031854062043</v>
      </c>
      <c r="E398" s="185"/>
      <c r="F398" s="185">
        <f>+GETPIVOTDATA(" New Ast. avg",'Averages Pivot Table'!$A$3,"Category",9,"Category2","Two-Year")</f>
        <v>45749.834553437082</v>
      </c>
      <c r="G398" s="185"/>
      <c r="H398" s="185">
        <f>+GETPIVOTDATA(" New Inst. avg",'Averages Pivot Table'!$A$3,"Category",9,"Category2","Two-Year")</f>
        <v>41904.960590800372</v>
      </c>
      <c r="I398" s="257"/>
      <c r="J398" s="185">
        <f>+GETPIVOTDATA(" New Undesg. avg",'Averages Pivot Table'!$A$3,"Category",9,"Category2","Two-Year")</f>
        <v>46472.151392136024</v>
      </c>
      <c r="K398" s="185"/>
      <c r="L398" s="185">
        <f>+GETPIVOTDATA(" New Single Rnk avg",'Averages Pivot Table'!$A$3,"Category",9,"Category2","Two-Year")</f>
        <v>49657.573469973169</v>
      </c>
      <c r="M398" s="257"/>
      <c r="N398" s="185">
        <f>+GETPIVOTDATA(" New All Ranks avg",'Averages Pivot Table'!$A$3,"Category",9,"Category2","Two-Year")</f>
        <v>49297.287910091953</v>
      </c>
      <c r="O398" s="244"/>
      <c r="Q398" s="209"/>
      <c r="R398" s="209"/>
      <c r="S398" s="209"/>
    </row>
    <row r="399" spans="1:19" ht="12.95" customHeight="1">
      <c r="A399" s="12"/>
      <c r="B399" s="9"/>
      <c r="C399" s="17"/>
      <c r="D399" s="9"/>
      <c r="E399" s="17"/>
      <c r="F399" s="9"/>
      <c r="G399" s="17"/>
      <c r="H399" s="9"/>
      <c r="I399" s="261"/>
      <c r="J399" s="9"/>
      <c r="K399" s="17"/>
      <c r="L399" s="9"/>
      <c r="M399" s="261"/>
      <c r="N399" s="9"/>
      <c r="O399" s="245"/>
    </row>
    <row r="400" spans="1:19" ht="12.95" customHeight="1">
      <c r="A400" s="12" t="s">
        <v>542</v>
      </c>
      <c r="B400" s="62">
        <f>+GETPIVOTDATA(" New Prof avg",'Averages Pivot Table'!$A$3,"State","AL","Category",9,"Category2","Two-Year")</f>
        <v>0</v>
      </c>
      <c r="C400" s="141">
        <f>IF(B400&gt;0,(RANK(B400,B$400:B$418)),0)</f>
        <v>0</v>
      </c>
      <c r="D400" s="62">
        <f>+GETPIVOTDATA(" New Asc. avg",'Averages Pivot Table'!$A$3,"State","AL","Category",9,"Category2","Two-Year")</f>
        <v>0</v>
      </c>
      <c r="E400" s="141">
        <f>IF(D400&gt;0,(RANK(D400,D$400:D$418)),0)</f>
        <v>0</v>
      </c>
      <c r="F400" s="62">
        <f>+GETPIVOTDATA(" New Ast. avg",'Averages Pivot Table'!$A$3,"State","AL","Category",9,"Category2","Two-Year")</f>
        <v>0</v>
      </c>
      <c r="G400" s="141">
        <f t="shared" ref="G400:G418" si="54">IF(F400&gt;0,(RANK(F400,F$400:F$418)),0)</f>
        <v>0</v>
      </c>
      <c r="H400" s="62">
        <f>+GETPIVOTDATA(" New Inst. avg",'Averages Pivot Table'!$A$3,"State","AL","Category",9,"Category2","Two-Year")</f>
        <v>0</v>
      </c>
      <c r="I400" s="229">
        <f t="shared" ref="I400:I418" si="55">IF(H400&gt;0,(RANK(H400,H$400:H$418)),0)</f>
        <v>0</v>
      </c>
      <c r="J400" s="62">
        <f>+GETPIVOTDATA(" New Undesg. avg",'Averages Pivot Table'!$A$3,"State","AL","Category",9,"Category2","Two-Year")</f>
        <v>0</v>
      </c>
      <c r="K400" s="141">
        <f t="shared" ref="K400:K418" si="56">IF(J400&gt;0,(RANK(J400,J$400:J$418)),0)</f>
        <v>0</v>
      </c>
      <c r="L400" s="62">
        <f>+GETPIVOTDATA(" New Single Rnk avg",'Averages Pivot Table'!$A$3,"State","AL","Category",9,"Category2","Two-Year")</f>
        <v>53099.714144827587</v>
      </c>
      <c r="M400" s="229">
        <f t="shared" ref="M400:M418" si="57">IF(L400&gt;0,(RANK(L400,L$400:L$418)),0)</f>
        <v>2</v>
      </c>
      <c r="N400" s="62">
        <f>+GETPIVOTDATA(" New All Ranks avg",'Averages Pivot Table'!$A$3,"State","AL","Category",9,"Category2","Two-Year")</f>
        <v>53099.714144827587</v>
      </c>
      <c r="O400" s="229">
        <f t="shared" ref="O400:O418" si="58">IF(N400&gt;0,(RANK(N400,N$400:N$418)),0)</f>
        <v>4</v>
      </c>
    </row>
    <row r="401" spans="1:15" ht="12.95" customHeight="1">
      <c r="A401" s="12" t="s">
        <v>543</v>
      </c>
      <c r="B401" s="62">
        <f>+GETPIVOTDATA(" New Prof avg",'Averages Pivot Table'!$A$3,"State","AR","Category",9,"Category2","Two-Year")</f>
        <v>62645.824399999998</v>
      </c>
      <c r="C401" s="141">
        <f t="shared" ref="C401:E418" si="59">IF(B401&gt;0,(RANK(B401,B$400:B$418)),0)</f>
        <v>3</v>
      </c>
      <c r="D401" s="62">
        <f>+GETPIVOTDATA(" New Asc. avg",'Averages Pivot Table'!$A$3,"State","AR","Category",9,"Category2","Two-Year")</f>
        <v>51673.68736363636</v>
      </c>
      <c r="E401" s="141">
        <f t="shared" si="59"/>
        <v>4</v>
      </c>
      <c r="F401" s="62">
        <f>+GETPIVOTDATA(" New Ast. avg",'Averages Pivot Table'!$A$3,"State","AR","Category",9,"Category2","Two-Year")</f>
        <v>46290.973819988671</v>
      </c>
      <c r="G401" s="141">
        <f t="shared" si="54"/>
        <v>4</v>
      </c>
      <c r="H401" s="62">
        <f>+GETPIVOTDATA(" New Inst. avg",'Averages Pivot Table'!$A$3,"State","AR","Category",9,"Category2","Two-Year")</f>
        <v>38411.057142857142</v>
      </c>
      <c r="I401" s="229">
        <f t="shared" si="55"/>
        <v>5</v>
      </c>
      <c r="J401" s="62">
        <f>+GETPIVOTDATA(" New Undesg. avg",'Averages Pivot Table'!$A$3,"State","AR","Category",9,"Category2","Two-Year")</f>
        <v>0</v>
      </c>
      <c r="K401" s="141">
        <f t="shared" si="56"/>
        <v>0</v>
      </c>
      <c r="L401" s="62">
        <f>+GETPIVOTDATA(" New Single Rnk avg",'Averages Pivot Table'!$A$3,"State","AR","Category",9,"Category2","Two-Year")</f>
        <v>49769</v>
      </c>
      <c r="M401" s="229">
        <f t="shared" si="57"/>
        <v>5</v>
      </c>
      <c r="N401" s="62">
        <f>+GETPIVOTDATA(" New All Ranks avg",'Averages Pivot Table'!$A$3,"State","AR","Category",9,"Category2","Two-Year")</f>
        <v>46482.631571453785</v>
      </c>
      <c r="O401" s="229">
        <f t="shared" si="58"/>
        <v>12</v>
      </c>
    </row>
    <row r="402" spans="1:15" ht="12.95" customHeight="1">
      <c r="A402" s="12" t="s">
        <v>558</v>
      </c>
      <c r="B402" s="62">
        <f>+GETPIVOTDATA(" New Prof avg",'Averages Pivot Table'!$A$3,"State","DE","Category",9,"Category2","Two-Year")</f>
        <v>0</v>
      </c>
      <c r="C402" s="141">
        <f t="shared" si="59"/>
        <v>0</v>
      </c>
      <c r="D402" s="62">
        <f>+GETPIVOTDATA(" New Asc. avg",'Averages Pivot Table'!$A$3,"State","DE","Category",9,"Category2","Two-Year")</f>
        <v>0</v>
      </c>
      <c r="E402" s="141">
        <f t="shared" si="59"/>
        <v>0</v>
      </c>
      <c r="F402" s="62">
        <f>+GETPIVOTDATA(" New Ast. avg",'Averages Pivot Table'!$A$3,"State","DE","Category",9,"Category2","Two-Year")</f>
        <v>0</v>
      </c>
      <c r="G402" s="141">
        <f t="shared" si="54"/>
        <v>0</v>
      </c>
      <c r="H402" s="62">
        <f>+GETPIVOTDATA(" New Inst. avg",'Averages Pivot Table'!$A$3,"State","DE","Category",9,"Category2","Two-Year")</f>
        <v>0</v>
      </c>
      <c r="I402" s="229">
        <f t="shared" si="55"/>
        <v>0</v>
      </c>
      <c r="J402" s="62">
        <f>+GETPIVOTDATA(" New Undesg. avg",'Averages Pivot Table'!$A$3,"State","DE","Category",9,"Category2","Two-Year")</f>
        <v>0</v>
      </c>
      <c r="K402" s="141">
        <f t="shared" si="56"/>
        <v>0</v>
      </c>
      <c r="L402" s="62">
        <f>+GETPIVOTDATA(" New Single Rnk avg",'Averages Pivot Table'!$A$3,"State","DE","Category",9,"Category2","Two-Year")</f>
        <v>63937.778835616446</v>
      </c>
      <c r="M402" s="229">
        <f t="shared" si="57"/>
        <v>1</v>
      </c>
      <c r="N402" s="62">
        <f>+GETPIVOTDATA(" New All Ranks avg",'Averages Pivot Table'!$A$3,"State","DE","Category",9,"Category2","Two-Year")</f>
        <v>63937.778835616446</v>
      </c>
      <c r="O402" s="229">
        <f t="shared" si="58"/>
        <v>1</v>
      </c>
    </row>
    <row r="403" spans="1:15" ht="12.95" customHeight="1">
      <c r="A403" s="12" t="s">
        <v>544</v>
      </c>
      <c r="B403" s="62">
        <f>+GETPIVOTDATA(" New Prof avg",'Averages Pivot Table'!$A$3,"State","FL","Category",9,"Category2","Two-Year")</f>
        <v>0</v>
      </c>
      <c r="C403" s="141">
        <f t="shared" si="59"/>
        <v>0</v>
      </c>
      <c r="D403" s="62">
        <f>+GETPIVOTDATA(" New Asc. avg",'Averages Pivot Table'!$A$3,"State","FL","Category",9,"Category2","Two-Year")</f>
        <v>0</v>
      </c>
      <c r="E403" s="141">
        <f t="shared" si="59"/>
        <v>0</v>
      </c>
      <c r="F403" s="62">
        <f>+GETPIVOTDATA(" New Ast. avg",'Averages Pivot Table'!$A$3,"State","FL","Category",9,"Category2","Two-Year")</f>
        <v>0</v>
      </c>
      <c r="G403" s="141">
        <f t="shared" si="54"/>
        <v>0</v>
      </c>
      <c r="H403" s="62">
        <f>+GETPIVOTDATA(" New Inst. avg",'Averages Pivot Table'!$A$3,"State","FL","Category",9,"Category2","Two-Year")</f>
        <v>0</v>
      </c>
      <c r="I403" s="229">
        <f t="shared" si="55"/>
        <v>0</v>
      </c>
      <c r="J403" s="62">
        <f>+GETPIVOTDATA(" New Undesg. avg",'Averages Pivot Table'!$A$3,"State","FL","Category",9,"Category2","Two-Year")</f>
        <v>0</v>
      </c>
      <c r="K403" s="141">
        <f t="shared" si="56"/>
        <v>0</v>
      </c>
      <c r="L403" s="62">
        <f>+GETPIVOTDATA(" New Single Rnk avg",'Averages Pivot Table'!$A$3,"State","FL","Category",9,"Category2","Two-Year")</f>
        <v>47571.647865853658</v>
      </c>
      <c r="M403" s="229">
        <f t="shared" si="57"/>
        <v>7</v>
      </c>
      <c r="N403" s="62">
        <f>+GETPIVOTDATA(" New All Ranks avg",'Averages Pivot Table'!$A$3,"State","FL","Category",9,"Category2","Two-Year")</f>
        <v>47571.647865853658</v>
      </c>
      <c r="O403" s="229">
        <f t="shared" si="58"/>
        <v>9</v>
      </c>
    </row>
    <row r="404" spans="1:15" ht="12.95" customHeight="1">
      <c r="A404" s="12"/>
      <c r="B404" s="62"/>
      <c r="C404" s="141">
        <f t="shared" si="59"/>
        <v>0</v>
      </c>
      <c r="D404" s="62"/>
      <c r="E404" s="141">
        <f t="shared" si="59"/>
        <v>0</v>
      </c>
      <c r="F404" s="62"/>
      <c r="G404" s="141">
        <f t="shared" si="54"/>
        <v>0</v>
      </c>
      <c r="H404" s="62"/>
      <c r="I404" s="229">
        <f t="shared" si="55"/>
        <v>0</v>
      </c>
      <c r="J404" s="62"/>
      <c r="K404" s="141">
        <f t="shared" si="56"/>
        <v>0</v>
      </c>
      <c r="L404" s="62"/>
      <c r="M404" s="229">
        <f t="shared" si="57"/>
        <v>0</v>
      </c>
      <c r="N404" s="62"/>
      <c r="O404" s="229">
        <f t="shared" si="58"/>
        <v>0</v>
      </c>
    </row>
    <row r="405" spans="1:15" ht="12.95" customHeight="1">
      <c r="A405" s="12" t="s">
        <v>545</v>
      </c>
      <c r="B405" s="62">
        <f>+GETPIVOTDATA(" New Prof avg",'Averages Pivot Table'!$A$3,"State","GA","Category",9,"Category2","Two-Year")</f>
        <v>61341.652304999996</v>
      </c>
      <c r="C405" s="141">
        <f t="shared" si="59"/>
        <v>4</v>
      </c>
      <c r="D405" s="62">
        <f>+GETPIVOTDATA(" New Asc. avg",'Averages Pivot Table'!$A$3,"State","GA","Category",9,"Category2","Two-Year")</f>
        <v>51919.730835754199</v>
      </c>
      <c r="E405" s="141">
        <f t="shared" si="59"/>
        <v>3</v>
      </c>
      <c r="F405" s="62">
        <f>+GETPIVOTDATA(" New Ast. avg",'Averages Pivot Table'!$A$3,"State","GA","Category",9,"Category2","Two-Year")</f>
        <v>43936.765571428572</v>
      </c>
      <c r="G405" s="141">
        <f t="shared" si="54"/>
        <v>6</v>
      </c>
      <c r="H405" s="62">
        <f>+GETPIVOTDATA(" New Inst. avg",'Averages Pivot Table'!$A$3,"State","GA","Category",9,"Category2","Two-Year")</f>
        <v>40077.944709947646</v>
      </c>
      <c r="I405" s="229">
        <f t="shared" si="55"/>
        <v>4</v>
      </c>
      <c r="J405" s="62">
        <f>+GETPIVOTDATA(" New Undesg. avg",'Averages Pivot Table'!$A$3,"State","GA","Category",9,"Category2","Two-Year")</f>
        <v>0</v>
      </c>
      <c r="K405" s="141">
        <f t="shared" si="56"/>
        <v>0</v>
      </c>
      <c r="L405" s="62">
        <f>+GETPIVOTDATA(" New Single Rnk avg",'Averages Pivot Table'!$A$3,"State","GA","Category",9,"Category2","Two-Year")</f>
        <v>0</v>
      </c>
      <c r="M405" s="229">
        <f t="shared" si="57"/>
        <v>0</v>
      </c>
      <c r="N405" s="62">
        <f>+GETPIVOTDATA(" New All Ranks avg",'Averages Pivot Table'!$A$3,"State","GA","Category",9,"Category2","Two-Year")</f>
        <v>47331.762403907211</v>
      </c>
      <c r="O405" s="229">
        <f t="shared" si="58"/>
        <v>10</v>
      </c>
    </row>
    <row r="406" spans="1:15" ht="12.95" customHeight="1">
      <c r="A406" s="12" t="s">
        <v>546</v>
      </c>
      <c r="B406" s="62">
        <f>+GETPIVOTDATA(" New Prof avg",'Averages Pivot Table'!$A$3,"State","KY","Category",9,"Category2","Two-Year")</f>
        <v>58941.666371671381</v>
      </c>
      <c r="C406" s="141">
        <f t="shared" si="59"/>
        <v>6</v>
      </c>
      <c r="D406" s="62">
        <f>+GETPIVOTDATA(" New Asc. avg",'Averages Pivot Table'!$A$3,"State","KY","Category",9,"Category2","Two-Year")</f>
        <v>47950.960235135135</v>
      </c>
      <c r="E406" s="141">
        <f t="shared" si="59"/>
        <v>8</v>
      </c>
      <c r="F406" s="62">
        <f>+GETPIVOTDATA(" New Ast. avg",'Averages Pivot Table'!$A$3,"State","KY","Category",9,"Category2","Two-Year")</f>
        <v>41544.732180606057</v>
      </c>
      <c r="G406" s="141">
        <f t="shared" si="54"/>
        <v>8</v>
      </c>
      <c r="H406" s="62">
        <f>+GETPIVOTDATA(" New Inst. avg",'Averages Pivot Table'!$A$3,"State","KY","Category",9,"Category2","Two-Year")</f>
        <v>36296.545364324324</v>
      </c>
      <c r="I406" s="229">
        <f t="shared" si="55"/>
        <v>8</v>
      </c>
      <c r="J406" s="62">
        <f>+GETPIVOTDATA(" New Undesg. avg",'Averages Pivot Table'!$A$3,"State","KY","Category",9,"Category2","Two-Year")</f>
        <v>0</v>
      </c>
      <c r="K406" s="141">
        <f t="shared" si="56"/>
        <v>0</v>
      </c>
      <c r="L406" s="62">
        <f>+GETPIVOTDATA(" New Single Rnk avg",'Averages Pivot Table'!$A$3,"State","KY","Category",9,"Category2","Two-Year")</f>
        <v>0</v>
      </c>
      <c r="M406" s="229">
        <f t="shared" si="57"/>
        <v>0</v>
      </c>
      <c r="N406" s="62">
        <f>+GETPIVOTDATA(" New All Ranks avg",'Averages Pivot Table'!$A$3,"State","KY","Category",9,"Category2","Two-Year")</f>
        <v>48618.252413413407</v>
      </c>
      <c r="O406" s="229">
        <f t="shared" si="58"/>
        <v>7</v>
      </c>
    </row>
    <row r="407" spans="1:15" ht="12.95" customHeight="1">
      <c r="A407" s="12" t="s">
        <v>547</v>
      </c>
      <c r="B407" s="62">
        <f>+GETPIVOTDATA(" New Prof avg",'Averages Pivot Table'!$A$3,"State","LA","Category",9,"Category2","Two-Year")</f>
        <v>57101.887179999998</v>
      </c>
      <c r="C407" s="141">
        <f t="shared" si="59"/>
        <v>7</v>
      </c>
      <c r="D407" s="62">
        <f>+GETPIVOTDATA(" New Asc. avg",'Averages Pivot Table'!$A$3,"State","LA","Category",9,"Category2","Two-Year")</f>
        <v>49943.566942528734</v>
      </c>
      <c r="E407" s="141">
        <f t="shared" si="59"/>
        <v>6</v>
      </c>
      <c r="F407" s="62">
        <f>+GETPIVOTDATA(" New Ast. avg",'Averages Pivot Table'!$A$3,"State","LA","Category",9,"Category2","Two-Year")</f>
        <v>45582.010958904109</v>
      </c>
      <c r="G407" s="141">
        <f t="shared" si="54"/>
        <v>5</v>
      </c>
      <c r="H407" s="62">
        <f>+GETPIVOTDATA(" New Inst. avg",'Averages Pivot Table'!$A$3,"State","LA","Category",9,"Category2","Two-Year")</f>
        <v>38309.592960000002</v>
      </c>
      <c r="I407" s="229">
        <f t="shared" si="55"/>
        <v>6</v>
      </c>
      <c r="J407" s="62">
        <f>+GETPIVOTDATA(" New Undesg. avg",'Averages Pivot Table'!$A$3,"State","LA","Category",9,"Category2","Two-Year")</f>
        <v>0</v>
      </c>
      <c r="K407" s="141">
        <f t="shared" si="56"/>
        <v>0</v>
      </c>
      <c r="L407" s="62">
        <f>+GETPIVOTDATA(" New Single Rnk avg",'Averages Pivot Table'!$A$3,"State","LA","Category",9,"Category2","Two-Year")</f>
        <v>0</v>
      </c>
      <c r="M407" s="229">
        <f t="shared" si="57"/>
        <v>0</v>
      </c>
      <c r="N407" s="62">
        <f>+GETPIVOTDATA(" New All Ranks avg",'Averages Pivot Table'!$A$3,"State","LA","Category",9,"Category2","Two-Year")</f>
        <v>44997.882093333326</v>
      </c>
      <c r="O407" s="229">
        <f t="shared" si="58"/>
        <v>14</v>
      </c>
    </row>
    <row r="408" spans="1:15" ht="12.95" customHeight="1">
      <c r="A408" s="12" t="s">
        <v>548</v>
      </c>
      <c r="B408" s="62">
        <f>+GETPIVOTDATA(" New Prof avg",'Averages Pivot Table'!$A$3,"State","MD","Category",9,"Category2","Two-Year")</f>
        <v>78064.535998387102</v>
      </c>
      <c r="C408" s="141">
        <f t="shared" si="59"/>
        <v>1</v>
      </c>
      <c r="D408" s="62">
        <f>+GETPIVOTDATA(" New Asc. avg",'Averages Pivot Table'!$A$3,"State","MD","Category",9,"Category2","Two-Year")</f>
        <v>62795.253558974357</v>
      </c>
      <c r="E408" s="141">
        <f t="shared" si="59"/>
        <v>2</v>
      </c>
      <c r="F408" s="62">
        <f>+GETPIVOTDATA(" New Ast. avg",'Averages Pivot Table'!$A$3,"State","MD","Category",9,"Category2","Two-Year")</f>
        <v>53347.244218390806</v>
      </c>
      <c r="G408" s="141">
        <f t="shared" si="54"/>
        <v>1</v>
      </c>
      <c r="H408" s="62">
        <f>+GETPIVOTDATA(" New Inst. avg",'Averages Pivot Table'!$A$3,"State","MD","Category",9,"Category2","Two-Year")</f>
        <v>47164.697232835824</v>
      </c>
      <c r="I408" s="229">
        <f t="shared" si="55"/>
        <v>2</v>
      </c>
      <c r="J408" s="62">
        <f>+GETPIVOTDATA(" New Undesg. avg",'Averages Pivot Table'!$A$3,"State","MD","Category",9,"Category2","Two-Year")</f>
        <v>54309.229200000002</v>
      </c>
      <c r="K408" s="141">
        <f t="shared" si="56"/>
        <v>2</v>
      </c>
      <c r="L408" s="62">
        <f>+GETPIVOTDATA(" New Single Rnk avg",'Averages Pivot Table'!$A$3,"State","MD","Category",9,"Category2","Two-Year")</f>
        <v>0</v>
      </c>
      <c r="M408" s="229">
        <f t="shared" si="57"/>
        <v>0</v>
      </c>
      <c r="N408" s="62">
        <f>+GETPIVOTDATA(" New All Ranks avg",'Averages Pivot Table'!$A$3,"State","MD","Category",9,"Category2","Two-Year")</f>
        <v>63120.878879347816</v>
      </c>
      <c r="O408" s="229">
        <f t="shared" si="58"/>
        <v>2</v>
      </c>
    </row>
    <row r="409" spans="1:15" ht="12.95" customHeight="1">
      <c r="A409" s="12"/>
      <c r="B409" s="62"/>
      <c r="C409" s="141">
        <f t="shared" si="59"/>
        <v>0</v>
      </c>
      <c r="D409" s="62"/>
      <c r="E409" s="141">
        <f t="shared" si="59"/>
        <v>0</v>
      </c>
      <c r="F409" s="62"/>
      <c r="G409" s="141">
        <f t="shared" si="54"/>
        <v>0</v>
      </c>
      <c r="H409" s="62"/>
      <c r="I409" s="229">
        <f t="shared" si="55"/>
        <v>0</v>
      </c>
      <c r="J409" s="62"/>
      <c r="K409" s="141">
        <f t="shared" si="56"/>
        <v>0</v>
      </c>
      <c r="L409" s="62"/>
      <c r="M409" s="229">
        <f t="shared" si="57"/>
        <v>0</v>
      </c>
      <c r="N409" s="62"/>
      <c r="O409" s="229">
        <f t="shared" si="58"/>
        <v>0</v>
      </c>
    </row>
    <row r="410" spans="1:15" ht="12.95" customHeight="1">
      <c r="A410" s="12" t="s">
        <v>549</v>
      </c>
      <c r="B410" s="62">
        <f>+GETPIVOTDATA(" New Prof avg",'Averages Pivot Table'!$A$3,"State","MS","Category",9,"Category2","Two-Year")</f>
        <v>0</v>
      </c>
      <c r="C410" s="141">
        <f t="shared" si="59"/>
        <v>0</v>
      </c>
      <c r="D410" s="62">
        <f>+GETPIVOTDATA(" New Asc. avg",'Averages Pivot Table'!$A$3,"State","MS","Category",9,"Category2","Two-Year")</f>
        <v>0</v>
      </c>
      <c r="E410" s="141">
        <f t="shared" si="59"/>
        <v>0</v>
      </c>
      <c r="F410" s="62">
        <f>+GETPIVOTDATA(" New Ast. avg",'Averages Pivot Table'!$A$3,"State","MS","Category",9,"Category2","Two-Year")</f>
        <v>0</v>
      </c>
      <c r="G410" s="141">
        <f t="shared" si="54"/>
        <v>0</v>
      </c>
      <c r="H410" s="62">
        <f>+GETPIVOTDATA(" New Inst. avg",'Averages Pivot Table'!$A$3,"State","MS","Category",9,"Category2","Two-Year")</f>
        <v>0</v>
      </c>
      <c r="I410" s="229">
        <f t="shared" si="55"/>
        <v>0</v>
      </c>
      <c r="J410" s="62">
        <f>+GETPIVOTDATA(" New Undesg. avg",'Averages Pivot Table'!$A$3,"State","MS","Category",9,"Category2","Two-Year")</f>
        <v>0</v>
      </c>
      <c r="K410" s="141">
        <f t="shared" si="56"/>
        <v>0</v>
      </c>
      <c r="L410" s="62">
        <f>+GETPIVOTDATA(" New Single Rnk avg",'Averages Pivot Table'!$A$3,"State","MS","Category",9,"Category2","Two-Year")</f>
        <v>49932.742239300307</v>
      </c>
      <c r="M410" s="229">
        <f t="shared" si="57"/>
        <v>4</v>
      </c>
      <c r="N410" s="62">
        <f>+GETPIVOTDATA(" New All Ranks avg",'Averages Pivot Table'!$A$3,"State","MS","Category",9,"Category2","Two-Year")</f>
        <v>49932.742239300307</v>
      </c>
      <c r="O410" s="229">
        <f t="shared" si="58"/>
        <v>5</v>
      </c>
    </row>
    <row r="411" spans="1:15" ht="12.95" customHeight="1">
      <c r="A411" s="12" t="s">
        <v>550</v>
      </c>
      <c r="B411" s="62">
        <f>+GETPIVOTDATA(" New Prof avg",'Averages Pivot Table'!$A$3,"State","NC","Category",9,"Category2","Two-Year")</f>
        <v>0</v>
      </c>
      <c r="C411" s="141">
        <f t="shared" si="59"/>
        <v>0</v>
      </c>
      <c r="D411" s="62">
        <f>+GETPIVOTDATA(" New Asc. avg",'Averages Pivot Table'!$A$3,"State","NC","Category",9,"Category2","Two-Year")</f>
        <v>0</v>
      </c>
      <c r="E411" s="141">
        <f t="shared" si="59"/>
        <v>0</v>
      </c>
      <c r="F411" s="62">
        <f>+GETPIVOTDATA(" New Ast. avg",'Averages Pivot Table'!$A$3,"State","NC","Category",9,"Category2","Two-Year")</f>
        <v>0</v>
      </c>
      <c r="G411" s="141">
        <f t="shared" si="54"/>
        <v>0</v>
      </c>
      <c r="H411" s="62">
        <f>+GETPIVOTDATA(" New Inst. avg",'Averages Pivot Table'!$A$3,"State","NC","Category",9,"Category2","Two-Year")</f>
        <v>0</v>
      </c>
      <c r="I411" s="229">
        <f t="shared" si="55"/>
        <v>0</v>
      </c>
      <c r="J411" s="62">
        <f>+GETPIVOTDATA(" New Undesg. avg",'Averages Pivot Table'!$A$3,"State","NC","Category",9,"Category2","Two-Year")</f>
        <v>0</v>
      </c>
      <c r="K411" s="141">
        <f t="shared" si="56"/>
        <v>0</v>
      </c>
      <c r="L411" s="62">
        <f>+GETPIVOTDATA(" New Single Rnk avg",'Averages Pivot Table'!$A$3,"State","NC","Category",9,"Category2","Two-Year")</f>
        <v>47594.178623718886</v>
      </c>
      <c r="M411" s="229">
        <f t="shared" si="57"/>
        <v>6</v>
      </c>
      <c r="N411" s="62">
        <f>+GETPIVOTDATA(" New All Ranks avg",'Averages Pivot Table'!$A$3,"State","NC","Category",9,"Category2","Two-Year")</f>
        <v>47594.178623718886</v>
      </c>
      <c r="O411" s="229">
        <f t="shared" si="58"/>
        <v>8</v>
      </c>
    </row>
    <row r="412" spans="1:15" ht="12.95" customHeight="1">
      <c r="A412" s="12" t="s">
        <v>551</v>
      </c>
      <c r="B412" s="62">
        <f>+GETPIVOTDATA(" New Prof avg",'Averages Pivot Table'!$A$3,"State","OK","Category",9,"Category2","Two-Year")</f>
        <v>0</v>
      </c>
      <c r="C412" s="141">
        <f t="shared" si="59"/>
        <v>0</v>
      </c>
      <c r="D412" s="62">
        <f>+GETPIVOTDATA(" New Asc. avg",'Averages Pivot Table'!$A$3,"State","OK","Category",9,"Category2","Two-Year")</f>
        <v>0</v>
      </c>
      <c r="E412" s="141">
        <f t="shared" si="59"/>
        <v>0</v>
      </c>
      <c r="F412" s="62">
        <f>+GETPIVOTDATA(" New Ast. avg",'Averages Pivot Table'!$A$3,"State","OK","Category",9,"Category2","Two-Year")</f>
        <v>0</v>
      </c>
      <c r="G412" s="141">
        <f t="shared" si="54"/>
        <v>0</v>
      </c>
      <c r="H412" s="62">
        <f>+GETPIVOTDATA(" New Inst. avg",'Averages Pivot Table'!$A$3,"State","OK","Category",9,"Category2","Two-Year")</f>
        <v>0</v>
      </c>
      <c r="I412" s="229">
        <f t="shared" si="55"/>
        <v>0</v>
      </c>
      <c r="J412" s="62">
        <f>+GETPIVOTDATA(" New Undesg. avg",'Averages Pivot Table'!$A$3,"State","OK","Category",9,"Category2","Two-Year")</f>
        <v>0</v>
      </c>
      <c r="K412" s="141">
        <f t="shared" si="56"/>
        <v>0</v>
      </c>
      <c r="L412" s="62">
        <f>+GETPIVOTDATA(" New Single Rnk avg",'Averages Pivot Table'!$A$3,"State","OK","Category",9,"Category2","Two-Year")</f>
        <v>42519.112682962965</v>
      </c>
      <c r="M412" s="229">
        <f t="shared" si="57"/>
        <v>8</v>
      </c>
      <c r="N412" s="62">
        <f>+GETPIVOTDATA(" New All Ranks avg",'Averages Pivot Table'!$A$3,"State","OK","Category",9,"Category2","Two-Year")</f>
        <v>42519.112682962965</v>
      </c>
      <c r="O412" s="229">
        <f t="shared" si="58"/>
        <v>15</v>
      </c>
    </row>
    <row r="413" spans="1:15" ht="12.95" customHeight="1">
      <c r="A413" s="12" t="s">
        <v>552</v>
      </c>
      <c r="B413" s="62">
        <f>+GETPIVOTDATA(" New Prof avg",'Averages Pivot Table'!$A$3,"State","SC","Category",9,"Category2","Two-Year")</f>
        <v>0</v>
      </c>
      <c r="C413" s="141">
        <f t="shared" si="59"/>
        <v>0</v>
      </c>
      <c r="D413" s="62">
        <f>+GETPIVOTDATA(" New Asc. avg",'Averages Pivot Table'!$A$3,"State","SC","Category",9,"Category2","Two-Year")</f>
        <v>0</v>
      </c>
      <c r="E413" s="141">
        <f t="shared" si="59"/>
        <v>0</v>
      </c>
      <c r="F413" s="62">
        <f>+GETPIVOTDATA(" New Ast. avg",'Averages Pivot Table'!$A$3,"State","SC","Category",9,"Category2","Two-Year")</f>
        <v>0</v>
      </c>
      <c r="G413" s="141">
        <f t="shared" si="54"/>
        <v>0</v>
      </c>
      <c r="H413" s="62">
        <f>+GETPIVOTDATA(" New Inst. avg",'Averages Pivot Table'!$A$3,"State","SC","Category",9,"Category2","Two-Year")</f>
        <v>0</v>
      </c>
      <c r="I413" s="229">
        <f t="shared" si="55"/>
        <v>0</v>
      </c>
      <c r="J413" s="62">
        <f>+GETPIVOTDATA(" New Undesg. avg",'Averages Pivot Table'!$A$3,"State","SC","Category",9,"Category2","Two-Year")</f>
        <v>46374.906552094522</v>
      </c>
      <c r="K413" s="141">
        <f t="shared" si="56"/>
        <v>3</v>
      </c>
      <c r="L413" s="62">
        <f>+GETPIVOTDATA(" New Single Rnk avg",'Averages Pivot Table'!$A$3,"State","SC","Category",9,"Category2","Two-Year")</f>
        <v>0</v>
      </c>
      <c r="M413" s="229">
        <f t="shared" si="57"/>
        <v>0</v>
      </c>
      <c r="N413" s="62">
        <f>+GETPIVOTDATA(" New All Ranks avg",'Averages Pivot Table'!$A$3,"State","SC","Category",9,"Category2","Two-Year")</f>
        <v>46374.906552094522</v>
      </c>
      <c r="O413" s="229">
        <f t="shared" si="58"/>
        <v>13</v>
      </c>
    </row>
    <row r="414" spans="1:15" ht="12.95" customHeight="1">
      <c r="A414" s="12"/>
      <c r="B414" s="62"/>
      <c r="C414" s="141">
        <f t="shared" si="59"/>
        <v>0</v>
      </c>
      <c r="D414" s="62"/>
      <c r="E414" s="141">
        <f t="shared" si="59"/>
        <v>0</v>
      </c>
      <c r="F414" s="62"/>
      <c r="G414" s="141">
        <f t="shared" si="54"/>
        <v>0</v>
      </c>
      <c r="H414" s="62"/>
      <c r="I414" s="229">
        <f t="shared" si="55"/>
        <v>0</v>
      </c>
      <c r="J414" s="62"/>
      <c r="K414" s="141">
        <f t="shared" si="56"/>
        <v>0</v>
      </c>
      <c r="L414" s="62"/>
      <c r="M414" s="229">
        <f t="shared" si="57"/>
        <v>0</v>
      </c>
      <c r="N414" s="62"/>
      <c r="O414" s="229">
        <f t="shared" si="58"/>
        <v>0</v>
      </c>
    </row>
    <row r="415" spans="1:15" ht="12.95" customHeight="1">
      <c r="A415" s="12" t="s">
        <v>553</v>
      </c>
      <c r="B415" s="140">
        <f>+GETPIVOTDATA(" New Prof avg",'Averages Pivot Table'!$A$3,"State","TN","Category",9,"Category2","Two-Year")</f>
        <v>61212.348796491227</v>
      </c>
      <c r="C415" s="141">
        <f t="shared" si="59"/>
        <v>5</v>
      </c>
      <c r="D415" s="140">
        <f>+GETPIVOTDATA(" New Asc. avg",'Averages Pivot Table'!$A$3,"State","TN","Category",9,"Category2","Two-Year")</f>
        <v>50626.860495238092</v>
      </c>
      <c r="E415" s="141">
        <f t="shared" si="59"/>
        <v>5</v>
      </c>
      <c r="F415" s="140">
        <f>+GETPIVOTDATA(" New Ast. avg",'Averages Pivot Table'!$A$3,"State","TN","Category",9,"Category2","Two-Year")</f>
        <v>41720.918273983742</v>
      </c>
      <c r="G415" s="141">
        <f t="shared" si="54"/>
        <v>7</v>
      </c>
      <c r="H415" s="140">
        <f>+GETPIVOTDATA(" New Inst. avg",'Averages Pivot Table'!$A$3,"State","TN","Category",9,"Category2","Two-Year")</f>
        <v>37389.917324481328</v>
      </c>
      <c r="I415" s="229">
        <f t="shared" si="55"/>
        <v>7</v>
      </c>
      <c r="J415" s="140">
        <f>+GETPIVOTDATA(" New Undesg. avg",'Averages Pivot Table'!$A$3,"State","TN","Category",9,"Category2","Two-Year")</f>
        <v>0</v>
      </c>
      <c r="K415" s="141">
        <f t="shared" si="56"/>
        <v>0</v>
      </c>
      <c r="L415" s="140">
        <f>+GETPIVOTDATA(" New Single Rnk avg",'Averages Pivot Table'!$A$3,"State","TN","Category",9,"Category2","Two-Year")</f>
        <v>0</v>
      </c>
      <c r="M415" s="229">
        <f t="shared" si="57"/>
        <v>0</v>
      </c>
      <c r="N415" s="62">
        <f>+GETPIVOTDATA(" New All Ranks avg",'Averages Pivot Table'!$A$3,"State","TN","Category",9,"Category2","Two-Year")</f>
        <v>46620.891757965452</v>
      </c>
      <c r="O415" s="229">
        <f t="shared" si="58"/>
        <v>11</v>
      </c>
    </row>
    <row r="416" spans="1:15" ht="12.95" customHeight="1">
      <c r="A416" s="12" t="s">
        <v>554</v>
      </c>
      <c r="B416" s="140">
        <f>+GETPIVOTDATA(" New Prof avg",'Averages Pivot Table'!$A$3,"State","TX","Category",9,"Category2","Two-Year")</f>
        <v>55935.623750427352</v>
      </c>
      <c r="C416" s="141">
        <f t="shared" si="59"/>
        <v>8</v>
      </c>
      <c r="D416" s="140">
        <f>+GETPIVOTDATA(" New Asc. avg",'Averages Pivot Table'!$A$3,"State","TX","Category",9,"Category2","Two-Year")</f>
        <v>49487.810964245808</v>
      </c>
      <c r="E416" s="141">
        <f t="shared" si="59"/>
        <v>7</v>
      </c>
      <c r="F416" s="140">
        <f>+GETPIVOTDATA(" New Ast. avg",'Averages Pivot Table'!$A$3,"State","TX","Category",9,"Category2","Two-Year")</f>
        <v>46688.92651243243</v>
      </c>
      <c r="G416" s="141">
        <f t="shared" si="54"/>
        <v>3</v>
      </c>
      <c r="H416" s="140">
        <f>+GETPIVOTDATA(" New Inst. avg",'Averages Pivot Table'!$A$3,"State","TX","Category",9,"Category2","Two-Year")</f>
        <v>44047.838530894936</v>
      </c>
      <c r="I416" s="229">
        <f t="shared" si="55"/>
        <v>3</v>
      </c>
      <c r="J416" s="140">
        <f>+GETPIVOTDATA(" New Undesg. avg",'Averages Pivot Table'!$A$3,"State","TX","Category",9,"Category2","Two-Year")</f>
        <v>0</v>
      </c>
      <c r="K416" s="141">
        <f t="shared" si="56"/>
        <v>0</v>
      </c>
      <c r="L416" s="140">
        <f>+GETPIVOTDATA(" New Single Rnk avg",'Averages Pivot Table'!$A$3,"State","TX","Category",9,"Category2","Two-Year")</f>
        <v>50396.069905938704</v>
      </c>
      <c r="M416" s="229">
        <f t="shared" si="57"/>
        <v>3</v>
      </c>
      <c r="N416" s="62">
        <f>+GETPIVOTDATA(" New All Ranks avg",'Averages Pivot Table'!$A$3,"State","TX","Category",9,"Category2","Two-Year")</f>
        <v>48637.302915009146</v>
      </c>
      <c r="O416" s="229">
        <f t="shared" si="58"/>
        <v>6</v>
      </c>
    </row>
    <row r="417" spans="1:19" ht="12.95" customHeight="1">
      <c r="A417" s="12" t="s">
        <v>555</v>
      </c>
      <c r="B417" s="140">
        <f>+GETPIVOTDATA(" New Prof avg",'Averages Pivot Table'!$A$3,"State","VA","Category",9,"Category2","Two-Year")</f>
        <v>0</v>
      </c>
      <c r="C417" s="141">
        <f t="shared" si="59"/>
        <v>0</v>
      </c>
      <c r="D417" s="140">
        <f>+GETPIVOTDATA(" New Asc. avg",'Averages Pivot Table'!$A$3,"State","VA","Category",9,"Category2","Two-Year")</f>
        <v>0</v>
      </c>
      <c r="E417" s="141">
        <f t="shared" si="59"/>
        <v>0</v>
      </c>
      <c r="F417" s="140">
        <f>+GETPIVOTDATA(" New Ast. avg",'Averages Pivot Table'!$A$3,"State","VA","Category",9,"Category2","Two-Year")</f>
        <v>0</v>
      </c>
      <c r="G417" s="141">
        <f t="shared" si="54"/>
        <v>0</v>
      </c>
      <c r="H417" s="140">
        <f>+GETPIVOTDATA(" New Inst. avg",'Averages Pivot Table'!$A$3,"State","VA","Category",9,"Category2","Two-Year")</f>
        <v>0</v>
      </c>
      <c r="I417" s="229">
        <f t="shared" si="55"/>
        <v>0</v>
      </c>
      <c r="J417" s="140">
        <f>+GETPIVOTDATA(" New Undesg. avg",'Averages Pivot Table'!$A$3,"State","VA","Category",9,"Category2","Two-Year")</f>
        <v>0</v>
      </c>
      <c r="K417" s="141">
        <f t="shared" si="56"/>
        <v>0</v>
      </c>
      <c r="L417" s="140">
        <f>+GETPIVOTDATA(" New Single Rnk avg",'Averages Pivot Table'!$A$3,"State","VA","Category",9,"Category2","Two-Year")</f>
        <v>0</v>
      </c>
      <c r="M417" s="229">
        <f t="shared" si="57"/>
        <v>0</v>
      </c>
      <c r="N417" s="62">
        <f>+GETPIVOTDATA(" New All Ranks avg",'Averages Pivot Table'!$A$3,"State","VA","Category",9,"Category2","Two-Year")</f>
        <v>0</v>
      </c>
      <c r="O417" s="229">
        <f t="shared" si="58"/>
        <v>0</v>
      </c>
    </row>
    <row r="418" spans="1:19" ht="12.95" customHeight="1">
      <c r="A418" s="11" t="s">
        <v>556</v>
      </c>
      <c r="B418" s="64">
        <f>+GETPIVOTDATA(" New Prof avg",'Averages Pivot Table'!$A$3,"State","WV","Category",9,"Category2","Two-Year")</f>
        <v>73129.339333333337</v>
      </c>
      <c r="C418" s="65">
        <f t="shared" si="59"/>
        <v>2</v>
      </c>
      <c r="D418" s="64">
        <f>+GETPIVOTDATA(" New Asc. avg",'Averages Pivot Table'!$A$3,"State","WV","Category",9,"Category2","Two-Year")</f>
        <v>65317</v>
      </c>
      <c r="E418" s="65">
        <f t="shared" si="59"/>
        <v>1</v>
      </c>
      <c r="F418" s="64">
        <f>+GETPIVOTDATA(" New Ast. avg",'Averages Pivot Table'!$A$3,"State","WV","Category",9,"Category2","Two-Year")</f>
        <v>49686.846666666665</v>
      </c>
      <c r="G418" s="65">
        <f t="shared" si="54"/>
        <v>2</v>
      </c>
      <c r="H418" s="64">
        <f>+GETPIVOTDATA(" New Inst. avg",'Averages Pivot Table'!$A$3,"State","WV","Category",9,"Category2","Two-Year")</f>
        <v>48168.55704</v>
      </c>
      <c r="I418" s="230">
        <f t="shared" si="55"/>
        <v>1</v>
      </c>
      <c r="J418" s="64">
        <f>+GETPIVOTDATA(" New Undesg. avg",'Averages Pivot Table'!$A$3,"State","WV","Category",9,"Category2","Two-Year")</f>
        <v>56336.590533333336</v>
      </c>
      <c r="K418" s="65">
        <f t="shared" si="56"/>
        <v>1</v>
      </c>
      <c r="L418" s="64">
        <f>+GETPIVOTDATA(" New Single Rnk avg",'Averages Pivot Table'!$A$3,"State","WV","Category",9,"Category2","Two-Year")</f>
        <v>0</v>
      </c>
      <c r="M418" s="230">
        <f t="shared" si="57"/>
        <v>0</v>
      </c>
      <c r="N418" s="64">
        <f>+GETPIVOTDATA(" New All Ranks avg",'Averages Pivot Table'!$A$3,"State","WV","Category",9,"Category2","Two-Year")</f>
        <v>54917.659460000003</v>
      </c>
      <c r="O418" s="230">
        <f t="shared" si="58"/>
        <v>3</v>
      </c>
    </row>
    <row r="419" spans="1:19" ht="30" customHeight="1">
      <c r="A419" s="508" t="s">
        <v>425</v>
      </c>
      <c r="B419" s="508"/>
      <c r="C419" s="508"/>
      <c r="D419" s="508"/>
      <c r="E419" s="508"/>
      <c r="F419" s="508"/>
      <c r="G419" s="508"/>
      <c r="H419" s="508"/>
      <c r="I419" s="508"/>
      <c r="J419" s="508"/>
      <c r="K419" s="508"/>
      <c r="L419" s="508"/>
      <c r="M419" s="508"/>
      <c r="N419" s="508"/>
      <c r="O419" s="508"/>
    </row>
    <row r="420" spans="1:19">
      <c r="O420" s="487" t="s">
        <v>1000</v>
      </c>
    </row>
    <row r="421" spans="1:19" ht="18">
      <c r="A421" s="504" t="s">
        <v>578</v>
      </c>
      <c r="B421" s="504"/>
      <c r="C421" s="504"/>
      <c r="D421" s="504"/>
      <c r="E421" s="504"/>
      <c r="F421" s="504"/>
      <c r="G421" s="504"/>
      <c r="H421" s="504"/>
      <c r="I421" s="504"/>
      <c r="J421" s="504"/>
      <c r="K421" s="504"/>
      <c r="L421" s="504"/>
      <c r="M421" s="504"/>
      <c r="N421" s="504"/>
      <c r="O421" s="504"/>
    </row>
    <row r="422" spans="1:19">
      <c r="A422" s="23"/>
      <c r="B422" s="5"/>
      <c r="C422" s="5"/>
      <c r="D422" s="5"/>
      <c r="E422" s="5"/>
      <c r="F422" s="5"/>
      <c r="G422" s="5"/>
      <c r="H422" s="5"/>
      <c r="I422" s="172"/>
      <c r="J422" s="5"/>
      <c r="K422" s="5"/>
      <c r="L422" s="5"/>
      <c r="M422" s="172"/>
      <c r="N422" s="5"/>
      <c r="O422" s="172"/>
    </row>
    <row r="423" spans="1:19">
      <c r="A423" s="505" t="s">
        <v>557</v>
      </c>
      <c r="B423" s="505"/>
      <c r="C423" s="505"/>
      <c r="D423" s="505"/>
      <c r="E423" s="505"/>
      <c r="F423" s="505"/>
      <c r="G423" s="505"/>
      <c r="H423" s="505"/>
      <c r="I423" s="505"/>
      <c r="J423" s="505"/>
      <c r="K423" s="505"/>
      <c r="L423" s="505"/>
      <c r="M423" s="505"/>
      <c r="N423" s="505"/>
      <c r="O423" s="505"/>
    </row>
    <row r="424" spans="1:19">
      <c r="A424" s="505" t="s">
        <v>41</v>
      </c>
      <c r="B424" s="505"/>
      <c r="C424" s="505"/>
      <c r="D424" s="505"/>
      <c r="E424" s="505"/>
      <c r="F424" s="505"/>
      <c r="G424" s="505"/>
      <c r="H424" s="505"/>
      <c r="I424" s="505"/>
      <c r="J424" s="505"/>
      <c r="K424" s="505"/>
      <c r="L424" s="505"/>
      <c r="M424" s="505"/>
      <c r="N424" s="505"/>
      <c r="O424" s="505"/>
    </row>
    <row r="425" spans="1:19">
      <c r="A425" s="12"/>
      <c r="B425" s="12"/>
      <c r="C425" s="12"/>
      <c r="D425" s="12"/>
      <c r="E425" s="12"/>
      <c r="F425" s="12"/>
      <c r="G425" s="12"/>
      <c r="H425" s="12"/>
      <c r="I425" s="243"/>
      <c r="J425" s="12"/>
      <c r="K425" s="12"/>
      <c r="L425" s="12"/>
      <c r="M425" s="243"/>
      <c r="N425" s="12"/>
      <c r="O425" s="243"/>
    </row>
    <row r="426" spans="1:19" ht="33" customHeight="1">
      <c r="A426" s="15"/>
      <c r="B426" s="21" t="s">
        <v>435</v>
      </c>
      <c r="C426" s="22"/>
      <c r="D426" s="152" t="s">
        <v>436</v>
      </c>
      <c r="E426" s="153"/>
      <c r="F426" s="152" t="s">
        <v>437</v>
      </c>
      <c r="G426" s="153"/>
      <c r="H426" s="21" t="s">
        <v>438</v>
      </c>
      <c r="I426" s="253"/>
      <c r="J426" s="152" t="s">
        <v>584</v>
      </c>
      <c r="K426" s="153"/>
      <c r="L426" s="22" t="s">
        <v>413</v>
      </c>
      <c r="M426" s="253"/>
      <c r="N426" s="22" t="s">
        <v>415</v>
      </c>
      <c r="O426" s="253"/>
    </row>
    <row r="427" spans="1:19">
      <c r="A427" s="16"/>
      <c r="B427" s="19" t="s">
        <v>439</v>
      </c>
      <c r="C427" s="18" t="s">
        <v>530</v>
      </c>
      <c r="D427" s="19" t="s">
        <v>439</v>
      </c>
      <c r="E427" s="18" t="s">
        <v>530</v>
      </c>
      <c r="F427" s="19" t="s">
        <v>439</v>
      </c>
      <c r="G427" s="18" t="s">
        <v>530</v>
      </c>
      <c r="H427" s="19" t="s">
        <v>439</v>
      </c>
      <c r="I427" s="254" t="s">
        <v>530</v>
      </c>
      <c r="J427" s="19" t="s">
        <v>439</v>
      </c>
      <c r="K427" s="18" t="s">
        <v>530</v>
      </c>
      <c r="L427" s="19" t="s">
        <v>439</v>
      </c>
      <c r="M427" s="254" t="s">
        <v>530</v>
      </c>
      <c r="N427" s="19" t="s">
        <v>439</v>
      </c>
      <c r="O427" s="254" t="s">
        <v>530</v>
      </c>
    </row>
    <row r="428" spans="1:19" s="168" customFormat="1" ht="18" customHeight="1">
      <c r="A428" s="181" t="s">
        <v>559</v>
      </c>
      <c r="B428" s="185">
        <f>+GETPIVOTDATA(" New Prof avg",'Averages Pivot Table'!$A$3,"Category",10,"Category2","Two-Year")</f>
        <v>61638.998725308644</v>
      </c>
      <c r="C428" s="185"/>
      <c r="D428" s="185">
        <f>+GETPIVOTDATA(" New Asc. avg",'Averages Pivot Table'!$A$3,"Category",10,"Category2","Two-Year")</f>
        <v>52468.564024083767</v>
      </c>
      <c r="E428" s="185"/>
      <c r="F428" s="185">
        <f>+GETPIVOTDATA(" New Ast. avg",'Averages Pivot Table'!$A$3,"Category",10,"Category2","Two-Year")</f>
        <v>45564.720740915065</v>
      </c>
      <c r="G428" s="185"/>
      <c r="H428" s="185">
        <f>+GETPIVOTDATA(" New Inst. avg",'Averages Pivot Table'!$A$3,"Category",10,"Category2","Two-Year")</f>
        <v>39229.616163146551</v>
      </c>
      <c r="I428" s="257"/>
      <c r="J428" s="185">
        <f>+GETPIVOTDATA(" New Undesg. avg",'Averages Pivot Table'!$A$3,"Category",10,"Category2","Two-Year")</f>
        <v>41515.043157518798</v>
      </c>
      <c r="K428" s="185"/>
      <c r="L428" s="185">
        <f>+GETPIVOTDATA(" New Single Rnk avg",'Averages Pivot Table'!$A$3,"Category",10,"Category2","Two-Year")</f>
        <v>45676.641599815761</v>
      </c>
      <c r="M428" s="257"/>
      <c r="N428" s="185">
        <f>+GETPIVOTDATA(" New All Ranks avg",'Averages Pivot Table'!$A$3,"Category",10,"Category2","Two-Year")</f>
        <v>45576.256216099871</v>
      </c>
      <c r="O428" s="244"/>
      <c r="Q428" s="209"/>
      <c r="R428" s="209"/>
      <c r="S428" s="209"/>
    </row>
    <row r="429" spans="1:19" ht="12.95" customHeight="1">
      <c r="A429" s="12"/>
      <c r="B429" s="9"/>
      <c r="C429" s="17"/>
      <c r="D429" s="9"/>
      <c r="E429" s="17"/>
      <c r="F429" s="9"/>
      <c r="G429" s="17"/>
      <c r="H429" s="9"/>
      <c r="I429" s="261"/>
      <c r="J429" s="9"/>
      <c r="K429" s="17"/>
      <c r="L429" s="9"/>
      <c r="M429" s="261"/>
      <c r="N429" s="9"/>
      <c r="O429" s="245"/>
    </row>
    <row r="430" spans="1:19" ht="12.95" customHeight="1">
      <c r="A430" s="12" t="s">
        <v>542</v>
      </c>
      <c r="B430" s="62">
        <f>+GETPIVOTDATA(" New Prof avg",'Averages Pivot Table'!$A$3,"State","AL","Category",10,"Category2","Two-Year")</f>
        <v>0</v>
      </c>
      <c r="C430" s="141">
        <f>IF(B430&gt;0,(RANK(B430,B$430:B$448)),0)</f>
        <v>0</v>
      </c>
      <c r="D430" s="62">
        <f>+GETPIVOTDATA(" New Asc. avg",'Averages Pivot Table'!$A$3,"State","AL","Category",10,"Category2","Two-Year")</f>
        <v>0</v>
      </c>
      <c r="E430" s="141">
        <f>IF(D430&gt;0,(RANK(D430,D$430:D$448)),0)</f>
        <v>0</v>
      </c>
      <c r="F430" s="62">
        <f>+GETPIVOTDATA(" New Ast. avg",'Averages Pivot Table'!$A$3,"State","AL","Category",10,"Category2","Two-Year")</f>
        <v>0</v>
      </c>
      <c r="G430" s="141">
        <f t="shared" ref="G430:G448" si="60">IF(F430&gt;0,(RANK(F430,F$430:F$448)),0)</f>
        <v>0</v>
      </c>
      <c r="H430" s="62">
        <f>+GETPIVOTDATA(" New Inst. avg",'Averages Pivot Table'!$A$3,"State","AL","Category",10,"Category2","Two-Year")</f>
        <v>0</v>
      </c>
      <c r="I430" s="229">
        <f t="shared" ref="I430:I448" si="61">IF(H430&gt;0,(RANK(H430,H$430:H$448)),0)</f>
        <v>0</v>
      </c>
      <c r="J430" s="62">
        <f>+GETPIVOTDATA(" New Undesg. avg",'Averages Pivot Table'!$A$3,"State","AL","Category",10,"Category2","Two-Year")</f>
        <v>0</v>
      </c>
      <c r="K430" s="141">
        <f t="shared" ref="K430:K448" si="62">IF(J430&gt;0,(RANK(J430,J$430:J$448)),0)</f>
        <v>0</v>
      </c>
      <c r="L430" s="62">
        <f>+GETPIVOTDATA(" New Single Rnk avg",'Averages Pivot Table'!$A$3,"State","AL","Category",10,"Category2","Two-Year")</f>
        <v>52801.227449295773</v>
      </c>
      <c r="M430" s="229">
        <f t="shared" ref="M430:M448" si="63">IF(L430&gt;0,(RANK(L430,L$430:L$448)),0)</f>
        <v>2</v>
      </c>
      <c r="N430" s="62">
        <f>+GETPIVOTDATA(" New All Ranks avg",'Averages Pivot Table'!$A$3,"State","AL","Category",10,"Category2","Two-Year")</f>
        <v>52801.227449295773</v>
      </c>
      <c r="O430" s="229">
        <f t="shared" ref="O430:O448" si="64">IF(N430&gt;0,(RANK(N430,N$430:N$448)),0)</f>
        <v>4</v>
      </c>
    </row>
    <row r="431" spans="1:19" ht="12.95" customHeight="1">
      <c r="A431" s="12" t="s">
        <v>543</v>
      </c>
      <c r="B431" s="62">
        <f>+GETPIVOTDATA(" New Prof avg",'Averages Pivot Table'!$A$3,"State","AR","Category",10,"Category2","Two-Year")</f>
        <v>0</v>
      </c>
      <c r="C431" s="141">
        <f t="shared" ref="C431:E448" si="65">IF(B431&gt;0,(RANK(B431,B$430:B$448)),0)</f>
        <v>0</v>
      </c>
      <c r="D431" s="62">
        <f>+GETPIVOTDATA(" New Asc. avg",'Averages Pivot Table'!$A$3,"State","AR","Category",10,"Category2","Two-Year")</f>
        <v>0</v>
      </c>
      <c r="E431" s="141">
        <f t="shared" si="65"/>
        <v>0</v>
      </c>
      <c r="F431" s="62">
        <f>+GETPIVOTDATA(" New Ast. avg",'Averages Pivot Table'!$A$3,"State","AR","Category",10,"Category2","Two-Year")</f>
        <v>42351.049574278732</v>
      </c>
      <c r="G431" s="141">
        <f t="shared" si="60"/>
        <v>6</v>
      </c>
      <c r="H431" s="62">
        <f>+GETPIVOTDATA(" New Inst. avg",'Averages Pivot Table'!$A$3,"State","AR","Category",10,"Category2","Two-Year")</f>
        <v>31070.341463414636</v>
      </c>
      <c r="I431" s="229">
        <f t="shared" si="61"/>
        <v>9</v>
      </c>
      <c r="J431" s="62">
        <f>+GETPIVOTDATA(" New Undesg. avg",'Averages Pivot Table'!$A$3,"State","AR","Category",10,"Category2","Two-Year")</f>
        <v>43479.288297560975</v>
      </c>
      <c r="K431" s="141">
        <f t="shared" si="62"/>
        <v>1</v>
      </c>
      <c r="L431" s="62">
        <f>+GETPIVOTDATA(" New Single Rnk avg",'Averages Pivot Table'!$A$3,"State","AR","Category",10,"Category2","Two-Year")</f>
        <v>40811.551264765782</v>
      </c>
      <c r="M431" s="229">
        <f t="shared" si="63"/>
        <v>7</v>
      </c>
      <c r="N431" s="62">
        <f>+GETPIVOTDATA(" New All Ranks avg",'Averages Pivot Table'!$A$3,"State","AR","Category",10,"Category2","Two-Year")</f>
        <v>41054.032659468823</v>
      </c>
      <c r="O431" s="229">
        <f t="shared" si="64"/>
        <v>16</v>
      </c>
    </row>
    <row r="432" spans="1:19" ht="12.95" customHeight="1">
      <c r="A432" s="12" t="s">
        <v>558</v>
      </c>
      <c r="B432" s="62">
        <f>+GETPIVOTDATA(" New Prof avg",'Averages Pivot Table'!$A$3,"State","DE","Category",10,"Category2","Two-Year")</f>
        <v>0</v>
      </c>
      <c r="C432" s="141">
        <f t="shared" si="65"/>
        <v>0</v>
      </c>
      <c r="D432" s="62">
        <f>+GETPIVOTDATA(" New Asc. avg",'Averages Pivot Table'!$A$3,"State","DE","Category",10,"Category2","Two-Year")</f>
        <v>0</v>
      </c>
      <c r="E432" s="141">
        <f t="shared" si="65"/>
        <v>0</v>
      </c>
      <c r="F432" s="62">
        <f>+GETPIVOTDATA(" New Ast. avg",'Averages Pivot Table'!$A$3,"State","DE","Category",10,"Category2","Two-Year")</f>
        <v>0</v>
      </c>
      <c r="G432" s="141">
        <f t="shared" si="60"/>
        <v>0</v>
      </c>
      <c r="H432" s="62">
        <f>+GETPIVOTDATA(" New Inst. avg",'Averages Pivot Table'!$A$3,"State","DE","Category",10,"Category2","Two-Year")</f>
        <v>0</v>
      </c>
      <c r="I432" s="229">
        <f t="shared" si="61"/>
        <v>0</v>
      </c>
      <c r="J432" s="62">
        <f>+GETPIVOTDATA(" New Undesg. avg",'Averages Pivot Table'!$A$3,"State","DE","Category",10,"Category2","Two-Year")</f>
        <v>0</v>
      </c>
      <c r="K432" s="141">
        <f t="shared" si="62"/>
        <v>0</v>
      </c>
      <c r="L432" s="62">
        <f>+GETPIVOTDATA(" New Single Rnk avg",'Averages Pivot Table'!$A$3,"State","DE","Category",10,"Category2","Two-Year")</f>
        <v>63432.220661728403</v>
      </c>
      <c r="M432" s="229">
        <f t="shared" si="63"/>
        <v>1</v>
      </c>
      <c r="N432" s="62">
        <f>+GETPIVOTDATA(" New All Ranks avg",'Averages Pivot Table'!$A$3,"State","DE","Category",10,"Category2","Two-Year")</f>
        <v>63432.220661728403</v>
      </c>
      <c r="O432" s="229">
        <f t="shared" si="64"/>
        <v>1</v>
      </c>
    </row>
    <row r="433" spans="1:15" ht="12.95" customHeight="1">
      <c r="A433" s="12" t="s">
        <v>544</v>
      </c>
      <c r="B433" s="62">
        <f>+GETPIVOTDATA(" New Prof avg",'Averages Pivot Table'!$A$3,"State","FL","Category",10,"Category2","Two-Year")</f>
        <v>0</v>
      </c>
      <c r="C433" s="141">
        <f t="shared" si="65"/>
        <v>0</v>
      </c>
      <c r="D433" s="62">
        <f>+GETPIVOTDATA(" New Asc. avg",'Averages Pivot Table'!$A$3,"State","FL","Category",10,"Category2","Two-Year")</f>
        <v>0</v>
      </c>
      <c r="E433" s="141">
        <f t="shared" si="65"/>
        <v>0</v>
      </c>
      <c r="F433" s="62">
        <f>+GETPIVOTDATA(" New Ast. avg",'Averages Pivot Table'!$A$3,"State","FL","Category",10,"Category2","Two-Year")</f>
        <v>0</v>
      </c>
      <c r="G433" s="141">
        <f t="shared" si="60"/>
        <v>0</v>
      </c>
      <c r="H433" s="62">
        <f>+GETPIVOTDATA(" New Inst. avg",'Averages Pivot Table'!$A$3,"State","FL","Category",10,"Category2","Two-Year")</f>
        <v>0</v>
      </c>
      <c r="I433" s="229">
        <f t="shared" si="61"/>
        <v>0</v>
      </c>
      <c r="J433" s="62">
        <f>+GETPIVOTDATA(" New Undesg. avg",'Averages Pivot Table'!$A$3,"State","FL","Category",10,"Category2","Two-Year")</f>
        <v>0</v>
      </c>
      <c r="K433" s="141">
        <f t="shared" si="62"/>
        <v>0</v>
      </c>
      <c r="L433" s="62">
        <f>+GETPIVOTDATA(" New Single Rnk avg",'Averages Pivot Table'!$A$3,"State","FL","Category",10,"Category2","Two-Year")</f>
        <v>44899.321428571428</v>
      </c>
      <c r="M433" s="229">
        <f t="shared" si="63"/>
        <v>5</v>
      </c>
      <c r="N433" s="62">
        <f>+GETPIVOTDATA(" New All Ranks avg",'Averages Pivot Table'!$A$3,"State","FL","Category",10,"Category2","Two-Year")</f>
        <v>44899.321428571428</v>
      </c>
      <c r="O433" s="229">
        <f t="shared" si="64"/>
        <v>11</v>
      </c>
    </row>
    <row r="434" spans="1:15" ht="12.95" customHeight="1">
      <c r="A434" s="12"/>
      <c r="B434" s="62"/>
      <c r="C434" s="141">
        <f t="shared" si="65"/>
        <v>0</v>
      </c>
      <c r="D434" s="62"/>
      <c r="E434" s="141">
        <f t="shared" si="65"/>
        <v>0</v>
      </c>
      <c r="F434" s="62"/>
      <c r="G434" s="141">
        <f t="shared" si="60"/>
        <v>0</v>
      </c>
      <c r="H434" s="62"/>
      <c r="I434" s="229">
        <f t="shared" si="61"/>
        <v>0</v>
      </c>
      <c r="J434" s="62"/>
      <c r="K434" s="141">
        <f t="shared" si="62"/>
        <v>0</v>
      </c>
      <c r="L434" s="62"/>
      <c r="M434" s="229">
        <f t="shared" si="63"/>
        <v>0</v>
      </c>
      <c r="N434" s="62"/>
      <c r="O434" s="229">
        <f t="shared" si="64"/>
        <v>0</v>
      </c>
    </row>
    <row r="435" spans="1:15" ht="12.95" customHeight="1">
      <c r="A435" s="12" t="s">
        <v>545</v>
      </c>
      <c r="B435" s="62">
        <f>+GETPIVOTDATA(" New Prof avg",'Averages Pivot Table'!$A$3,"State","GA","Category",10,"Category2","Two-Year")</f>
        <v>60789.373311111107</v>
      </c>
      <c r="C435" s="141">
        <f t="shared" si="65"/>
        <v>4</v>
      </c>
      <c r="D435" s="62">
        <f>+GETPIVOTDATA(" New Asc. avg",'Averages Pivot Table'!$A$3,"State","GA","Category",10,"Category2","Two-Year")</f>
        <v>51631.420957142866</v>
      </c>
      <c r="E435" s="141">
        <f t="shared" si="65"/>
        <v>4</v>
      </c>
      <c r="F435" s="62">
        <f>+GETPIVOTDATA(" New Ast. avg",'Averages Pivot Table'!$A$3,"State","GA","Category",10,"Category2","Two-Year")</f>
        <v>45253.882414285719</v>
      </c>
      <c r="G435" s="141">
        <f t="shared" si="60"/>
        <v>5</v>
      </c>
      <c r="H435" s="62">
        <f>+GETPIVOTDATA(" New Inst. avg",'Averages Pivot Table'!$A$3,"State","GA","Category",10,"Category2","Two-Year")</f>
        <v>38354.223775510203</v>
      </c>
      <c r="I435" s="229">
        <f t="shared" si="61"/>
        <v>6</v>
      </c>
      <c r="J435" s="62">
        <f>+GETPIVOTDATA(" New Undesg. avg",'Averages Pivot Table'!$A$3,"State","GA","Category",10,"Category2","Two-Year")</f>
        <v>0</v>
      </c>
      <c r="K435" s="141">
        <f t="shared" si="62"/>
        <v>0</v>
      </c>
      <c r="L435" s="62">
        <f>+GETPIVOTDATA(" New Single Rnk avg",'Averages Pivot Table'!$A$3,"State","GA","Category",10,"Category2","Two-Year")</f>
        <v>0</v>
      </c>
      <c r="M435" s="229">
        <f t="shared" si="63"/>
        <v>0</v>
      </c>
      <c r="N435" s="62">
        <f>+GETPIVOTDATA(" New All Ranks avg",'Averages Pivot Table'!$A$3,"State","GA","Category",10,"Category2","Two-Year")</f>
        <v>46523.047151515151</v>
      </c>
      <c r="O435" s="229">
        <f t="shared" si="64"/>
        <v>7</v>
      </c>
    </row>
    <row r="436" spans="1:15" ht="12.95" customHeight="1">
      <c r="A436" s="12" t="s">
        <v>546</v>
      </c>
      <c r="B436" s="62">
        <f>+GETPIVOTDATA(" New Prof avg",'Averages Pivot Table'!$A$3,"State","KY","Category",10,"Category2","Two-Year")</f>
        <v>58454.161248275857</v>
      </c>
      <c r="C436" s="141">
        <f t="shared" si="65"/>
        <v>7</v>
      </c>
      <c r="D436" s="62">
        <f>+GETPIVOTDATA(" New Asc. avg",'Averages Pivot Table'!$A$3,"State","KY","Category",10,"Category2","Two-Year")</f>
        <v>47993.715805405402</v>
      </c>
      <c r="E436" s="141">
        <f t="shared" si="65"/>
        <v>9</v>
      </c>
      <c r="F436" s="62">
        <f>+GETPIVOTDATA(" New Ast. avg",'Averages Pivot Table'!$A$3,"State","KY","Category",10,"Category2","Two-Year")</f>
        <v>40833.592327272723</v>
      </c>
      <c r="G436" s="141">
        <f t="shared" si="60"/>
        <v>9</v>
      </c>
      <c r="H436" s="62">
        <f>+GETPIVOTDATA(" New Inst. avg",'Averages Pivot Table'!$A$3,"State","KY","Category",10,"Category2","Two-Year")</f>
        <v>37636.223345454542</v>
      </c>
      <c r="I436" s="229">
        <f t="shared" si="61"/>
        <v>7</v>
      </c>
      <c r="J436" s="62">
        <f>+GETPIVOTDATA(" New Undesg. avg",'Averages Pivot Table'!$A$3,"State","KY","Category",10,"Category2","Two-Year")</f>
        <v>0</v>
      </c>
      <c r="K436" s="141">
        <f t="shared" si="62"/>
        <v>0</v>
      </c>
      <c r="L436" s="62">
        <f>+GETPIVOTDATA(" New Single Rnk avg",'Averages Pivot Table'!$A$3,"State","KY","Category",10,"Category2","Two-Year")</f>
        <v>0</v>
      </c>
      <c r="M436" s="229">
        <f t="shared" si="63"/>
        <v>0</v>
      </c>
      <c r="N436" s="62">
        <f>+GETPIVOTDATA(" New All Ranks avg",'Averages Pivot Table'!$A$3,"State","KY","Category",10,"Category2","Two-Year")</f>
        <v>49895.284258333326</v>
      </c>
      <c r="O436" s="229">
        <f t="shared" si="64"/>
        <v>5</v>
      </c>
    </row>
    <row r="437" spans="1:15" ht="12.95" customHeight="1">
      <c r="A437" s="12" t="s">
        <v>547</v>
      </c>
      <c r="B437" s="62">
        <f>+GETPIVOTDATA(" New Prof avg",'Averages Pivot Table'!$A$3,"State","LA","Category",10,"Category2","Two-Year")</f>
        <v>58751.333333333336</v>
      </c>
      <c r="C437" s="141">
        <f t="shared" si="65"/>
        <v>6</v>
      </c>
      <c r="D437" s="62">
        <f>+GETPIVOTDATA(" New Asc. avg",'Averages Pivot Table'!$A$3,"State","LA","Category",10,"Category2","Two-Year")</f>
        <v>48953.595333333338</v>
      </c>
      <c r="E437" s="141">
        <f t="shared" si="65"/>
        <v>6</v>
      </c>
      <c r="F437" s="62">
        <f>+GETPIVOTDATA(" New Ast. avg",'Averages Pivot Table'!$A$3,"State","LA","Category",10,"Category2","Two-Year")</f>
        <v>45919.855711111108</v>
      </c>
      <c r="G437" s="141">
        <f t="shared" si="60"/>
        <v>4</v>
      </c>
      <c r="H437" s="62">
        <f>+GETPIVOTDATA(" New Inst. avg",'Averages Pivot Table'!$A$3,"State","LA","Category",10,"Category2","Two-Year")</f>
        <v>39131.495148148148</v>
      </c>
      <c r="I437" s="229">
        <f t="shared" si="61"/>
        <v>5</v>
      </c>
      <c r="J437" s="62">
        <f>+GETPIVOTDATA(" New Undesg. avg",'Averages Pivot Table'!$A$3,"State","LA","Category",10,"Category2","Two-Year")</f>
        <v>37888.3874</v>
      </c>
      <c r="K437" s="141">
        <f t="shared" si="62"/>
        <v>2</v>
      </c>
      <c r="L437" s="62">
        <f>+GETPIVOTDATA(" New Single Rnk avg",'Averages Pivot Table'!$A$3,"State","LA","Category",10,"Category2","Two-Year")</f>
        <v>0</v>
      </c>
      <c r="M437" s="229">
        <f t="shared" si="63"/>
        <v>0</v>
      </c>
      <c r="N437" s="62">
        <f>+GETPIVOTDATA(" New All Ranks avg",'Averages Pivot Table'!$A$3,"State","LA","Category",10,"Category2","Two-Year")</f>
        <v>42749.498518181812</v>
      </c>
      <c r="O437" s="229">
        <f t="shared" si="64"/>
        <v>12</v>
      </c>
    </row>
    <row r="438" spans="1:15" ht="12.95" customHeight="1">
      <c r="A438" s="12" t="s">
        <v>548</v>
      </c>
      <c r="B438" s="62">
        <f>+GETPIVOTDATA(" New Prof avg",'Averages Pivot Table'!$A$3,"State","MD","Category",10,"Category2","Two-Year")</f>
        <v>72691.190957894738</v>
      </c>
      <c r="C438" s="141">
        <f t="shared" si="65"/>
        <v>1</v>
      </c>
      <c r="D438" s="62">
        <f>+GETPIVOTDATA(" New Asc. avg",'Averages Pivot Table'!$A$3,"State","MD","Category",10,"Category2","Two-Year")</f>
        <v>63932.416260317463</v>
      </c>
      <c r="E438" s="141">
        <f t="shared" si="65"/>
        <v>1</v>
      </c>
      <c r="F438" s="62">
        <f>+GETPIVOTDATA(" New Ast. avg",'Averages Pivot Table'!$A$3,"State","MD","Category",10,"Category2","Two-Year")</f>
        <v>53899.681900000003</v>
      </c>
      <c r="G438" s="141">
        <f t="shared" si="60"/>
        <v>1</v>
      </c>
      <c r="H438" s="62">
        <f>+GETPIVOTDATA(" New Inst. avg",'Averages Pivot Table'!$A$3,"State","MD","Category",10,"Category2","Two-Year")</f>
        <v>46224.565667924522</v>
      </c>
      <c r="I438" s="229">
        <f t="shared" si="61"/>
        <v>1</v>
      </c>
      <c r="J438" s="62">
        <f>+GETPIVOTDATA(" New Undesg. avg",'Averages Pivot Table'!$A$3,"State","MD","Category",10,"Category2","Two-Year")</f>
        <v>35849</v>
      </c>
      <c r="K438" s="141">
        <f t="shared" si="62"/>
        <v>5</v>
      </c>
      <c r="L438" s="62">
        <f>+GETPIVOTDATA(" New Single Rnk avg",'Averages Pivot Table'!$A$3,"State","MD","Category",10,"Category2","Two-Year")</f>
        <v>0</v>
      </c>
      <c r="M438" s="229">
        <f t="shared" si="63"/>
        <v>0</v>
      </c>
      <c r="N438" s="62">
        <f>+GETPIVOTDATA(" New All Ranks avg",'Averages Pivot Table'!$A$3,"State","MD","Category",10,"Category2","Two-Year")</f>
        <v>58932.541895275594</v>
      </c>
      <c r="O438" s="229">
        <f t="shared" si="64"/>
        <v>2</v>
      </c>
    </row>
    <row r="439" spans="1:15" ht="12.95" customHeight="1">
      <c r="A439" s="12"/>
      <c r="B439" s="62"/>
      <c r="C439" s="141">
        <f t="shared" si="65"/>
        <v>0</v>
      </c>
      <c r="D439" s="62"/>
      <c r="E439" s="141">
        <f t="shared" si="65"/>
        <v>0</v>
      </c>
      <c r="F439" s="62"/>
      <c r="G439" s="141">
        <f t="shared" si="60"/>
        <v>0</v>
      </c>
      <c r="H439" s="62"/>
      <c r="I439" s="229">
        <f t="shared" si="61"/>
        <v>0</v>
      </c>
      <c r="J439" s="62"/>
      <c r="K439" s="141">
        <f t="shared" si="62"/>
        <v>0</v>
      </c>
      <c r="L439" s="62"/>
      <c r="M439" s="229">
        <f t="shared" si="63"/>
        <v>0</v>
      </c>
      <c r="N439" s="62"/>
      <c r="O439" s="229">
        <f t="shared" si="64"/>
        <v>0</v>
      </c>
    </row>
    <row r="440" spans="1:15" ht="12.95" customHeight="1">
      <c r="A440" s="12" t="s">
        <v>549</v>
      </c>
      <c r="B440" s="62">
        <f>+GETPIVOTDATA(" New Prof avg",'Averages Pivot Table'!$A$3,"State","MS","Category",10,"Category2","Two-Year")</f>
        <v>0</v>
      </c>
      <c r="C440" s="141">
        <f t="shared" si="65"/>
        <v>0</v>
      </c>
      <c r="D440" s="62">
        <f>+GETPIVOTDATA(" New Asc. avg",'Averages Pivot Table'!$A$3,"State","MS","Category",10,"Category2","Two-Year")</f>
        <v>0</v>
      </c>
      <c r="E440" s="141">
        <f t="shared" si="65"/>
        <v>0</v>
      </c>
      <c r="F440" s="62">
        <f>+GETPIVOTDATA(" New Ast. avg",'Averages Pivot Table'!$A$3,"State","MS","Category",10,"Category2","Two-Year")</f>
        <v>0</v>
      </c>
      <c r="G440" s="141">
        <f t="shared" si="60"/>
        <v>0</v>
      </c>
      <c r="H440" s="62">
        <f>+GETPIVOTDATA(" New Inst. avg",'Averages Pivot Table'!$A$3,"State","MS","Category",10,"Category2","Two-Year")</f>
        <v>0</v>
      </c>
      <c r="I440" s="229">
        <f t="shared" si="61"/>
        <v>0</v>
      </c>
      <c r="J440" s="62">
        <f>+GETPIVOTDATA(" New Undesg. avg",'Averages Pivot Table'!$A$3,"State","MS","Category",10,"Category2","Two-Year")</f>
        <v>0</v>
      </c>
      <c r="K440" s="141">
        <f t="shared" si="62"/>
        <v>0</v>
      </c>
      <c r="L440" s="62">
        <f>+GETPIVOTDATA(" New Single Rnk avg",'Averages Pivot Table'!$A$3,"State","MS","Category",10,"Category2","Two-Year")</f>
        <v>45837.326193421053</v>
      </c>
      <c r="M440" s="229">
        <f t="shared" si="63"/>
        <v>3</v>
      </c>
      <c r="N440" s="62">
        <f>+GETPIVOTDATA(" New All Ranks avg",'Averages Pivot Table'!$A$3,"State","MS","Category",10,"Category2","Two-Year")</f>
        <v>45837.326193421053</v>
      </c>
      <c r="O440" s="229">
        <f t="shared" si="64"/>
        <v>8</v>
      </c>
    </row>
    <row r="441" spans="1:15" ht="12.95" customHeight="1">
      <c r="A441" s="12" t="s">
        <v>550</v>
      </c>
      <c r="B441" s="62">
        <f>+GETPIVOTDATA(" New Prof avg",'Averages Pivot Table'!$A$3,"State","NC","Category",10,"Category2","Two-Year")</f>
        <v>0</v>
      </c>
      <c r="C441" s="141">
        <f t="shared" si="65"/>
        <v>0</v>
      </c>
      <c r="D441" s="62">
        <f>+GETPIVOTDATA(" New Asc. avg",'Averages Pivot Table'!$A$3,"State","NC","Category",10,"Category2","Two-Year")</f>
        <v>0</v>
      </c>
      <c r="E441" s="141">
        <f t="shared" si="65"/>
        <v>0</v>
      </c>
      <c r="F441" s="62">
        <f>+GETPIVOTDATA(" New Ast. avg",'Averages Pivot Table'!$A$3,"State","NC","Category",10,"Category2","Two-Year")</f>
        <v>0</v>
      </c>
      <c r="G441" s="141">
        <f t="shared" si="60"/>
        <v>0</v>
      </c>
      <c r="H441" s="62">
        <f>+GETPIVOTDATA(" New Inst. avg",'Averages Pivot Table'!$A$3,"State","NC","Category",10,"Category2","Two-Year")</f>
        <v>0</v>
      </c>
      <c r="I441" s="229">
        <f t="shared" si="61"/>
        <v>0</v>
      </c>
      <c r="J441" s="62">
        <f>+GETPIVOTDATA(" New Undesg. avg",'Averages Pivot Table'!$A$3,"State","NC","Category",10,"Category2","Two-Year")</f>
        <v>0</v>
      </c>
      <c r="K441" s="141">
        <f t="shared" si="62"/>
        <v>0</v>
      </c>
      <c r="L441" s="62">
        <f>+GETPIVOTDATA(" New Single Rnk avg",'Averages Pivot Table'!$A$3,"State","NC","Category",10,"Category2","Two-Year")</f>
        <v>45068.324324324327</v>
      </c>
      <c r="M441" s="229">
        <f t="shared" si="63"/>
        <v>4</v>
      </c>
      <c r="N441" s="62">
        <f>+GETPIVOTDATA(" New All Ranks avg",'Averages Pivot Table'!$A$3,"State","NC","Category",10,"Category2","Two-Year")</f>
        <v>45068.324324324327</v>
      </c>
      <c r="O441" s="229">
        <f t="shared" si="64"/>
        <v>10</v>
      </c>
    </row>
    <row r="442" spans="1:15" ht="12.95" customHeight="1">
      <c r="A442" s="12" t="s">
        <v>551</v>
      </c>
      <c r="B442" s="62">
        <f>+GETPIVOTDATA(" New Prof avg",'Averages Pivot Table'!$A$3,"State","OK","Category",10,"Category2","Two-Year")</f>
        <v>0</v>
      </c>
      <c r="C442" s="141">
        <f t="shared" si="65"/>
        <v>0</v>
      </c>
      <c r="D442" s="62">
        <f>+GETPIVOTDATA(" New Asc. avg",'Averages Pivot Table'!$A$3,"State","OK","Category",10,"Category2","Two-Year")</f>
        <v>0</v>
      </c>
      <c r="E442" s="141">
        <f t="shared" si="65"/>
        <v>0</v>
      </c>
      <c r="F442" s="62">
        <f>+GETPIVOTDATA(" New Ast. avg",'Averages Pivot Table'!$A$3,"State","OK","Category",10,"Category2","Two-Year")</f>
        <v>0</v>
      </c>
      <c r="G442" s="141">
        <f t="shared" si="60"/>
        <v>0</v>
      </c>
      <c r="H442" s="62">
        <f>+GETPIVOTDATA(" New Inst. avg",'Averages Pivot Table'!$A$3,"State","OK","Category",10,"Category2","Two-Year")</f>
        <v>0</v>
      </c>
      <c r="I442" s="229">
        <f t="shared" si="61"/>
        <v>0</v>
      </c>
      <c r="J442" s="62">
        <f>+GETPIVOTDATA(" New Undesg. avg",'Averages Pivot Table'!$A$3,"State","OK","Category",10,"Category2","Two-Year")</f>
        <v>0</v>
      </c>
      <c r="K442" s="141">
        <f t="shared" si="62"/>
        <v>0</v>
      </c>
      <c r="L442" s="62">
        <f>+GETPIVOTDATA(" New Single Rnk avg",'Averages Pivot Table'!$A$3,"State","OK","Category",10,"Category2","Two-Year")</f>
        <v>41481.003092307692</v>
      </c>
      <c r="M442" s="229">
        <f t="shared" si="63"/>
        <v>6</v>
      </c>
      <c r="N442" s="62">
        <f>+GETPIVOTDATA(" New All Ranks avg",'Averages Pivot Table'!$A$3,"State","OK","Category",10,"Category2","Two-Year")</f>
        <v>41481.003092307692</v>
      </c>
      <c r="O442" s="229">
        <f t="shared" si="64"/>
        <v>15</v>
      </c>
    </row>
    <row r="443" spans="1:15" ht="12.95" customHeight="1">
      <c r="A443" s="12" t="s">
        <v>552</v>
      </c>
      <c r="B443" s="62">
        <f>+GETPIVOTDATA(" New Prof avg",'Averages Pivot Table'!$A$3,"State","SC","Category",10,"Category2","Two-Year")</f>
        <v>65002.801333333337</v>
      </c>
      <c r="C443" s="141">
        <f t="shared" si="65"/>
        <v>3</v>
      </c>
      <c r="D443" s="62">
        <f>+GETPIVOTDATA(" New Asc. avg",'Averages Pivot Table'!$A$3,"State","SC","Category",10,"Category2","Two-Year")</f>
        <v>56631.810920000004</v>
      </c>
      <c r="E443" s="141">
        <f t="shared" si="65"/>
        <v>2</v>
      </c>
      <c r="F443" s="62">
        <f>+GETPIVOTDATA(" New Ast. avg",'Averages Pivot Table'!$A$3,"State","SC","Category",10,"Category2","Two-Year")</f>
        <v>46394.207979999999</v>
      </c>
      <c r="G443" s="141">
        <f t="shared" si="60"/>
        <v>3</v>
      </c>
      <c r="H443" s="62">
        <f>+GETPIVOTDATA(" New Inst. avg",'Averages Pivot Table'!$A$3,"State","SC","Category",10,"Category2","Two-Year")</f>
        <v>40719.890056521741</v>
      </c>
      <c r="I443" s="229">
        <f t="shared" si="61"/>
        <v>3</v>
      </c>
      <c r="J443" s="62">
        <f>+GETPIVOTDATA(" New Undesg. avg",'Averages Pivot Table'!$A$3,"State","SC","Category",10,"Category2","Two-Year")</f>
        <v>37150.739192700727</v>
      </c>
      <c r="K443" s="141">
        <f t="shared" si="62"/>
        <v>3</v>
      </c>
      <c r="L443" s="62">
        <f>+GETPIVOTDATA(" New Single Rnk avg",'Averages Pivot Table'!$A$3,"State","SC","Category",10,"Category2","Two-Year")</f>
        <v>0</v>
      </c>
      <c r="M443" s="229">
        <f t="shared" si="63"/>
        <v>0</v>
      </c>
      <c r="N443" s="62">
        <f>+GETPIVOTDATA(" New All Ranks avg",'Averages Pivot Table'!$A$3,"State","SC","Category",10,"Category2","Two-Year")</f>
        <v>42621.185643346013</v>
      </c>
      <c r="O443" s="229">
        <f t="shared" si="64"/>
        <v>13</v>
      </c>
    </row>
    <row r="444" spans="1:15" ht="12.95" customHeight="1">
      <c r="A444" s="12"/>
      <c r="B444" s="62"/>
      <c r="C444" s="141">
        <f t="shared" si="65"/>
        <v>0</v>
      </c>
      <c r="D444" s="62"/>
      <c r="E444" s="141">
        <f t="shared" si="65"/>
        <v>0</v>
      </c>
      <c r="F444" s="62"/>
      <c r="G444" s="141">
        <f t="shared" si="60"/>
        <v>0</v>
      </c>
      <c r="H444" s="62"/>
      <c r="I444" s="229">
        <f t="shared" si="61"/>
        <v>0</v>
      </c>
      <c r="J444" s="62"/>
      <c r="K444" s="141">
        <f t="shared" si="62"/>
        <v>0</v>
      </c>
      <c r="L444" s="62"/>
      <c r="M444" s="229">
        <f t="shared" si="63"/>
        <v>0</v>
      </c>
      <c r="N444" s="62"/>
      <c r="O444" s="229">
        <f t="shared" si="64"/>
        <v>0</v>
      </c>
    </row>
    <row r="445" spans="1:15" ht="12.95" customHeight="1">
      <c r="A445" s="12" t="s">
        <v>553</v>
      </c>
      <c r="B445" s="140">
        <f>+GETPIVOTDATA(" New Prof avg",'Averages Pivot Table'!$A$3,"State","TN","Category",10,"Category2","Two-Year")</f>
        <v>57592.251709090902</v>
      </c>
      <c r="C445" s="141">
        <f t="shared" si="65"/>
        <v>8</v>
      </c>
      <c r="D445" s="140">
        <f>+GETPIVOTDATA(" New Asc. avg",'Averages Pivot Table'!$A$3,"State","TN","Category",10,"Category2","Two-Year")</f>
        <v>48693.416058333336</v>
      </c>
      <c r="E445" s="141">
        <f t="shared" si="65"/>
        <v>8</v>
      </c>
      <c r="F445" s="140">
        <f>+GETPIVOTDATA(" New Ast. avg",'Averages Pivot Table'!$A$3,"State","TN","Category",10,"Category2","Two-Year")</f>
        <v>39006.428571428572</v>
      </c>
      <c r="G445" s="141">
        <f t="shared" si="60"/>
        <v>10</v>
      </c>
      <c r="H445" s="140">
        <f>+GETPIVOTDATA(" New Inst. avg",'Averages Pivot Table'!$A$3,"State","TN","Category",10,"Category2","Two-Year")</f>
        <v>42766.837928571433</v>
      </c>
      <c r="I445" s="229">
        <f t="shared" si="61"/>
        <v>2</v>
      </c>
      <c r="J445" s="140">
        <f>+GETPIVOTDATA(" New Undesg. avg",'Averages Pivot Table'!$A$3,"State","TN","Category",10,"Category2","Two-Year")</f>
        <v>0</v>
      </c>
      <c r="K445" s="141">
        <f t="shared" si="62"/>
        <v>0</v>
      </c>
      <c r="L445" s="140">
        <f>+GETPIVOTDATA(" New Single Rnk avg",'Averages Pivot Table'!$A$3,"State","TN","Category",10,"Category2","Two-Year")</f>
        <v>0</v>
      </c>
      <c r="M445" s="229">
        <f t="shared" si="63"/>
        <v>0</v>
      </c>
      <c r="N445" s="62">
        <f>+GETPIVOTDATA(" New All Ranks avg",'Averages Pivot Table'!$A$3,"State","TN","Category",10,"Category2","Two-Year")</f>
        <v>47748.88366428572</v>
      </c>
      <c r="O445" s="229">
        <f t="shared" si="64"/>
        <v>6</v>
      </c>
    </row>
    <row r="446" spans="1:15" ht="12.95" customHeight="1">
      <c r="A446" s="12" t="s">
        <v>554</v>
      </c>
      <c r="B446" s="140">
        <f>+GETPIVOTDATA(" New Prof avg",'Averages Pivot Table'!$A$3,"State","TX","Category",10,"Category2","Two-Year")</f>
        <v>55282.571304761907</v>
      </c>
      <c r="C446" s="141">
        <f t="shared" si="65"/>
        <v>9</v>
      </c>
      <c r="D446" s="140">
        <f>+GETPIVOTDATA(" New Asc. avg",'Averages Pivot Table'!$A$3,"State","TX","Category",10,"Category2","Two-Year")</f>
        <v>48703.588218518518</v>
      </c>
      <c r="E446" s="141">
        <f t="shared" si="65"/>
        <v>7</v>
      </c>
      <c r="F446" s="140">
        <f>+GETPIVOTDATA(" New Ast. avg",'Averages Pivot Table'!$A$3,"State","TX","Category",10,"Category2","Two-Year")</f>
        <v>42036.763496153842</v>
      </c>
      <c r="G446" s="141">
        <f t="shared" si="60"/>
        <v>7</v>
      </c>
      <c r="H446" s="140">
        <f>+GETPIVOTDATA(" New Inst. avg",'Averages Pivot Table'!$A$3,"State","TX","Category",10,"Category2","Two-Year")</f>
        <v>40600.495331034479</v>
      </c>
      <c r="I446" s="229">
        <f t="shared" si="61"/>
        <v>4</v>
      </c>
      <c r="J446" s="140">
        <f>+GETPIVOTDATA(" New Undesg. avg",'Averages Pivot Table'!$A$3,"State","TX","Category",10,"Category2","Two-Year")</f>
        <v>0</v>
      </c>
      <c r="K446" s="141">
        <f t="shared" si="62"/>
        <v>0</v>
      </c>
      <c r="L446" s="140">
        <f>+GETPIVOTDATA(" New Single Rnk avg",'Averages Pivot Table'!$A$3,"State","TX","Category",10,"Category2","Two-Year")</f>
        <v>40397.806800000006</v>
      </c>
      <c r="M446" s="229">
        <f t="shared" si="63"/>
        <v>8</v>
      </c>
      <c r="N446" s="62">
        <f>+GETPIVOTDATA(" New All Ranks avg",'Averages Pivot Table'!$A$3,"State","TX","Category",10,"Category2","Two-Year")</f>
        <v>42610.265975757575</v>
      </c>
      <c r="O446" s="229">
        <f t="shared" si="64"/>
        <v>14</v>
      </c>
    </row>
    <row r="447" spans="1:15" ht="12.95" customHeight="1">
      <c r="A447" s="12" t="s">
        <v>555</v>
      </c>
      <c r="B447" s="140">
        <f>+GETPIVOTDATA(" New Prof avg",'Averages Pivot Table'!$A$3,"State","VA","Category",10,"Category2","Two-Year")</f>
        <v>68049</v>
      </c>
      <c r="C447" s="141">
        <f t="shared" si="65"/>
        <v>2</v>
      </c>
      <c r="D447" s="140">
        <f>+GETPIVOTDATA(" New Asc. avg",'Averages Pivot Table'!$A$3,"State","VA","Category",10,"Category2","Two-Year")</f>
        <v>53982</v>
      </c>
      <c r="E447" s="141">
        <f t="shared" si="65"/>
        <v>3</v>
      </c>
      <c r="F447" s="140">
        <f>+GETPIVOTDATA(" New Ast. avg",'Averages Pivot Table'!$A$3,"State","VA","Category",10,"Category2","Two-Year")</f>
        <v>48862</v>
      </c>
      <c r="G447" s="141">
        <f t="shared" si="60"/>
        <v>2</v>
      </c>
      <c r="H447" s="140">
        <f>+GETPIVOTDATA(" New Inst. avg",'Averages Pivot Table'!$A$3,"State","VA","Category",10,"Category2","Two-Year")</f>
        <v>0</v>
      </c>
      <c r="I447" s="229">
        <f t="shared" si="61"/>
        <v>0</v>
      </c>
      <c r="J447" s="140">
        <f>+GETPIVOTDATA(" New Undesg. avg",'Averages Pivot Table'!$A$3,"State","VA","Category",10,"Category2","Two-Year")</f>
        <v>0</v>
      </c>
      <c r="K447" s="141">
        <f t="shared" si="62"/>
        <v>0</v>
      </c>
      <c r="L447" s="140">
        <f>+GETPIVOTDATA(" New Single Rnk avg",'Averages Pivot Table'!$A$3,"State","VA","Category",10,"Category2","Two-Year")</f>
        <v>0</v>
      </c>
      <c r="M447" s="229">
        <f t="shared" si="63"/>
        <v>0</v>
      </c>
      <c r="N447" s="62">
        <f>+GETPIVOTDATA(" New All Ranks avg",'Averages Pivot Table'!$A$3,"State","VA","Category",10,"Category2","Two-Year")</f>
        <v>56461.272727272728</v>
      </c>
      <c r="O447" s="229">
        <f t="shared" si="64"/>
        <v>3</v>
      </c>
    </row>
    <row r="448" spans="1:15" ht="12.95" customHeight="1">
      <c r="A448" s="11" t="s">
        <v>556</v>
      </c>
      <c r="B448" s="64">
        <f>+GETPIVOTDATA(" New Prof avg",'Averages Pivot Table'!$A$3,"State","WV","Category",10,"Category2","Two-Year")</f>
        <v>60202.96591084337</v>
      </c>
      <c r="C448" s="65">
        <f t="shared" si="65"/>
        <v>5</v>
      </c>
      <c r="D448" s="64">
        <f>+GETPIVOTDATA(" New Asc. avg",'Averages Pivot Table'!$A$3,"State","WV","Category",10,"Category2","Two-Year")</f>
        <v>50715.641192156858</v>
      </c>
      <c r="E448" s="65">
        <f t="shared" si="65"/>
        <v>5</v>
      </c>
      <c r="F448" s="64">
        <f>+GETPIVOTDATA(" New Ast. avg",'Averages Pivot Table'!$A$3,"State","WV","Category",10,"Category2","Two-Year")</f>
        <v>41701.265641095888</v>
      </c>
      <c r="G448" s="65">
        <f t="shared" si="60"/>
        <v>8</v>
      </c>
      <c r="H448" s="64">
        <f>+GETPIVOTDATA(" New Inst. avg",'Averages Pivot Table'!$A$3,"State","WV","Category",10,"Category2","Two-Year")</f>
        <v>37256.994376642338</v>
      </c>
      <c r="I448" s="230">
        <f t="shared" si="61"/>
        <v>8</v>
      </c>
      <c r="J448" s="64">
        <f>+GETPIVOTDATA(" New Undesg. avg",'Averages Pivot Table'!$A$3,"State","WV","Category",10,"Category2","Two-Year")</f>
        <v>36499.097563636366</v>
      </c>
      <c r="K448" s="65">
        <f t="shared" si="62"/>
        <v>4</v>
      </c>
      <c r="L448" s="64">
        <f>+GETPIVOTDATA(" New Single Rnk avg",'Averages Pivot Table'!$A$3,"State","WV","Category",10,"Category2","Two-Year")</f>
        <v>0</v>
      </c>
      <c r="M448" s="230">
        <f t="shared" si="63"/>
        <v>0</v>
      </c>
      <c r="N448" s="64">
        <f>+GETPIVOTDATA(" New All Ranks avg",'Averages Pivot Table'!$A$3,"State","WV","Category",10,"Category2","Two-Year")</f>
        <v>45176.843276502732</v>
      </c>
      <c r="O448" s="230">
        <f t="shared" si="64"/>
        <v>9</v>
      </c>
    </row>
    <row r="449" spans="1:19" ht="30" customHeight="1">
      <c r="A449" s="508" t="s">
        <v>425</v>
      </c>
      <c r="B449" s="508"/>
      <c r="C449" s="508"/>
      <c r="D449" s="508"/>
      <c r="E449" s="508"/>
      <c r="F449" s="508"/>
      <c r="G449" s="508"/>
      <c r="H449" s="508"/>
      <c r="I449" s="508"/>
      <c r="J449" s="508"/>
      <c r="K449" s="508"/>
      <c r="L449" s="508"/>
      <c r="M449" s="508"/>
      <c r="N449" s="508"/>
      <c r="O449" s="508"/>
    </row>
    <row r="450" spans="1:19">
      <c r="O450" s="487" t="s">
        <v>1000</v>
      </c>
    </row>
    <row r="451" spans="1:19" ht="18">
      <c r="A451" s="504" t="s">
        <v>579</v>
      </c>
      <c r="B451" s="504"/>
      <c r="C451" s="504"/>
      <c r="D451" s="504"/>
      <c r="E451" s="504"/>
      <c r="F451" s="504"/>
      <c r="G451" s="504"/>
      <c r="H451" s="504"/>
      <c r="I451" s="504"/>
      <c r="J451" s="504"/>
      <c r="K451" s="504"/>
      <c r="L451" s="504"/>
      <c r="M451" s="504"/>
      <c r="N451" s="504"/>
      <c r="O451" s="504"/>
    </row>
    <row r="452" spans="1:19">
      <c r="A452" s="23"/>
      <c r="B452" s="5"/>
      <c r="C452" s="5"/>
      <c r="D452" s="5"/>
      <c r="E452" s="5"/>
      <c r="F452" s="5"/>
      <c r="G452" s="5"/>
      <c r="H452" s="5"/>
      <c r="I452" s="172"/>
      <c r="J452" s="5"/>
      <c r="K452" s="5"/>
      <c r="L452" s="5"/>
      <c r="M452" s="172"/>
      <c r="N452" s="5"/>
      <c r="O452" s="172"/>
    </row>
    <row r="453" spans="1:19">
      <c r="A453" s="505" t="s">
        <v>557</v>
      </c>
      <c r="B453" s="505"/>
      <c r="C453" s="505"/>
      <c r="D453" s="505"/>
      <c r="E453" s="505"/>
      <c r="F453" s="505"/>
      <c r="G453" s="505"/>
      <c r="H453" s="505"/>
      <c r="I453" s="505"/>
      <c r="J453" s="505"/>
      <c r="K453" s="505"/>
      <c r="L453" s="505"/>
      <c r="M453" s="505"/>
      <c r="N453" s="505"/>
      <c r="O453" s="505"/>
    </row>
    <row r="454" spans="1:19">
      <c r="A454" s="505" t="s">
        <v>42</v>
      </c>
      <c r="B454" s="505"/>
      <c r="C454" s="505"/>
      <c r="D454" s="505"/>
      <c r="E454" s="505"/>
      <c r="F454" s="505"/>
      <c r="G454" s="505"/>
      <c r="H454" s="505"/>
      <c r="I454" s="505"/>
      <c r="J454" s="505"/>
      <c r="K454" s="505"/>
      <c r="L454" s="505"/>
      <c r="M454" s="505"/>
      <c r="N454" s="505"/>
      <c r="O454" s="505"/>
    </row>
    <row r="455" spans="1:19">
      <c r="A455" s="12"/>
      <c r="B455" s="12"/>
      <c r="C455" s="12"/>
      <c r="D455" s="12"/>
      <c r="E455" s="12"/>
      <c r="F455" s="12"/>
      <c r="G455" s="12"/>
      <c r="H455" s="12"/>
      <c r="I455" s="243"/>
      <c r="J455" s="12"/>
      <c r="K455" s="12"/>
      <c r="L455" s="12"/>
      <c r="M455" s="243"/>
      <c r="N455" s="12"/>
      <c r="O455" s="243"/>
    </row>
    <row r="456" spans="1:19" ht="30.75" customHeight="1">
      <c r="A456" s="15"/>
      <c r="B456" s="21" t="s">
        <v>435</v>
      </c>
      <c r="C456" s="22"/>
      <c r="D456" s="152" t="s">
        <v>436</v>
      </c>
      <c r="E456" s="153"/>
      <c r="F456" s="152" t="s">
        <v>437</v>
      </c>
      <c r="G456" s="153"/>
      <c r="H456" s="21" t="s">
        <v>438</v>
      </c>
      <c r="I456" s="253"/>
      <c r="J456" s="152" t="s">
        <v>584</v>
      </c>
      <c r="K456" s="153"/>
      <c r="L456" s="22" t="s">
        <v>413</v>
      </c>
      <c r="M456" s="253"/>
      <c r="N456" s="22" t="s">
        <v>415</v>
      </c>
      <c r="O456" s="253"/>
    </row>
    <row r="457" spans="1:19">
      <c r="A457" s="16"/>
      <c r="B457" s="19" t="s">
        <v>439</v>
      </c>
      <c r="C457" s="18" t="s">
        <v>530</v>
      </c>
      <c r="D457" s="19" t="s">
        <v>439</v>
      </c>
      <c r="E457" s="18" t="s">
        <v>530</v>
      </c>
      <c r="F457" s="19" t="s">
        <v>439</v>
      </c>
      <c r="G457" s="18" t="s">
        <v>530</v>
      </c>
      <c r="H457" s="19" t="s">
        <v>439</v>
      </c>
      <c r="I457" s="254" t="s">
        <v>530</v>
      </c>
      <c r="J457" s="19" t="s">
        <v>439</v>
      </c>
      <c r="K457" s="18" t="s">
        <v>530</v>
      </c>
      <c r="L457" s="19" t="s">
        <v>439</v>
      </c>
      <c r="M457" s="254" t="s">
        <v>530</v>
      </c>
      <c r="N457" s="19" t="s">
        <v>439</v>
      </c>
      <c r="O457" s="254" t="s">
        <v>530</v>
      </c>
    </row>
    <row r="458" spans="1:19" s="168" customFormat="1" ht="18" customHeight="1">
      <c r="A458" s="181" t="s">
        <v>559</v>
      </c>
      <c r="B458" s="185">
        <f>+GETPIVOTDATA(" New Prof avg",'Averages Pivot Table'!$A$3,"Category",11,"Category2","Two-Year")</f>
        <v>67923.747558333329</v>
      </c>
      <c r="C458" s="185"/>
      <c r="D458" s="185">
        <f>+GETPIVOTDATA(" New Asc. avg",'Averages Pivot Table'!$A$3,"Category",11,"Category2","Two-Year")</f>
        <v>59901.250379874211</v>
      </c>
      <c r="E458" s="185"/>
      <c r="F458" s="185">
        <f>+GETPIVOTDATA(" New Ast. avg",'Averages Pivot Table'!$A$3,"Category",11,"Category2","Two-Year")</f>
        <v>54143.926242608693</v>
      </c>
      <c r="G458" s="185"/>
      <c r="H458" s="185">
        <f>+GETPIVOTDATA(" New Inst. avg",'Averages Pivot Table'!$A$3,"Category",11,"Category2","Two-Year")</f>
        <v>47726.916471497585</v>
      </c>
      <c r="I458" s="257"/>
      <c r="J458" s="185">
        <f>+GETPIVOTDATA(" New Undesg. avg",'Averages Pivot Table'!$A$3,"Category",11,"Category2","Two-Year")</f>
        <v>0</v>
      </c>
      <c r="K458" s="185"/>
      <c r="L458" s="185">
        <f>+GETPIVOTDATA(" New Single Rnk avg",'Averages Pivot Table'!$A$3,"Category",11,"Category2","Two-Year")</f>
        <v>0</v>
      </c>
      <c r="M458" s="257"/>
      <c r="N458" s="185">
        <f>+GETPIVOTDATA(" New All Ranks avg",'Averages Pivot Table'!$A$3,"Category",11,"Category2","Two-Year")</f>
        <v>57347.378781491716</v>
      </c>
      <c r="O458" s="244"/>
      <c r="Q458" s="209"/>
      <c r="R458" s="209"/>
      <c r="S458" s="209"/>
    </row>
    <row r="459" spans="1:19" ht="12.95" customHeight="1">
      <c r="A459" s="12"/>
      <c r="B459" s="9"/>
      <c r="C459" s="17"/>
      <c r="D459" s="9"/>
      <c r="E459" s="17"/>
      <c r="F459" s="9"/>
      <c r="G459" s="17"/>
      <c r="H459" s="9"/>
      <c r="I459" s="261"/>
      <c r="J459" s="9"/>
      <c r="K459" s="17"/>
      <c r="L459" s="9"/>
      <c r="M459" s="261"/>
      <c r="N459" s="9"/>
      <c r="O459" s="245"/>
    </row>
    <row r="460" spans="1:19" ht="12.95" customHeight="1">
      <c r="A460" s="12" t="s">
        <v>542</v>
      </c>
      <c r="B460" s="62">
        <f>+GETPIVOTDATA(" New Prof avg",'Averages Pivot Table'!$A$3,"State","AL","Category",11,"Category2","Two-Year")</f>
        <v>0</v>
      </c>
      <c r="C460" s="141">
        <f t="shared" ref="C460:C478" si="66">IF(B460&gt;0,(RANK(B460,B$430:B$448)),0)</f>
        <v>0</v>
      </c>
      <c r="D460" s="62">
        <f>+GETPIVOTDATA(" New Asc. avg",'Averages Pivot Table'!$A$3,"State","AL","Category",11,"Category2","Two-Year")</f>
        <v>0</v>
      </c>
      <c r="E460" s="141">
        <f t="shared" ref="E460:E478" si="67">IF(D460&gt;0,(RANK(D460,D$430:D$448)),0)</f>
        <v>0</v>
      </c>
      <c r="F460" s="62">
        <f>+GETPIVOTDATA(" New Ast. avg",'Averages Pivot Table'!$A$3,"State","AL","Category",11,"Category2","Two-Year")</f>
        <v>0</v>
      </c>
      <c r="G460" s="141">
        <f t="shared" ref="G460:G478" si="68">IF(F460&gt;0,(RANK(F460,F$430:F$448)),0)</f>
        <v>0</v>
      </c>
      <c r="H460" s="62">
        <f>+GETPIVOTDATA(" New Inst. avg",'Averages Pivot Table'!$A$3,"State","AL","Category",11,"Category2","Two-Year")</f>
        <v>0</v>
      </c>
      <c r="I460" s="229">
        <f t="shared" ref="I460:I478" si="69">IF(H460&gt;0,(RANK(H460,H$430:H$448)),0)</f>
        <v>0</v>
      </c>
      <c r="J460" s="62">
        <f>+GETPIVOTDATA(" New Undesg. avg",'Averages Pivot Table'!$A$3,"State","AL","Category",11,"Category2","Two-Year")</f>
        <v>0</v>
      </c>
      <c r="K460" s="141">
        <f t="shared" ref="K460:K478" si="70">IF(J460&gt;0,(RANK(J460,J$430:J$448)),0)</f>
        <v>0</v>
      </c>
      <c r="L460" s="62">
        <f>+GETPIVOTDATA(" New Single Rnk avg",'Averages Pivot Table'!$A$3,"State","AL","Category",11,"Category2","Two-Year")</f>
        <v>0</v>
      </c>
      <c r="M460" s="229">
        <f t="shared" ref="M460:M478" si="71">IF(L460&gt;0,(RANK(L460,L$430:L$448)),0)</f>
        <v>0</v>
      </c>
      <c r="N460" s="62">
        <f>+GETPIVOTDATA(" New All Ranks avg",'Averages Pivot Table'!$A$3,"State","AL","Category",11,"Category2","Two-Year")</f>
        <v>0</v>
      </c>
      <c r="O460" s="229">
        <f t="shared" ref="O460:O478" si="72">IF(N460&gt;0,(RANK(N460,N$430:N$448)),0)</f>
        <v>0</v>
      </c>
    </row>
    <row r="461" spans="1:19" ht="12.95" customHeight="1">
      <c r="A461" s="12" t="s">
        <v>543</v>
      </c>
      <c r="B461" s="62">
        <f>+GETPIVOTDATA(" New Prof avg",'Averages Pivot Table'!$A$3,"State","AR","Category",11,"Category2","Two-Year")</f>
        <v>0</v>
      </c>
      <c r="C461" s="141">
        <f t="shared" si="66"/>
        <v>0</v>
      </c>
      <c r="D461" s="62">
        <f>+GETPIVOTDATA(" New Asc. avg",'Averages Pivot Table'!$A$3,"State","AR","Category",11,"Category2","Two-Year")</f>
        <v>0</v>
      </c>
      <c r="E461" s="141">
        <f t="shared" si="67"/>
        <v>0</v>
      </c>
      <c r="F461" s="62">
        <f>+GETPIVOTDATA(" New Ast. avg",'Averages Pivot Table'!$A$3,"State","AR","Category",11,"Category2","Two-Year")</f>
        <v>0</v>
      </c>
      <c r="G461" s="141">
        <f t="shared" si="68"/>
        <v>0</v>
      </c>
      <c r="H461" s="62">
        <f>+GETPIVOTDATA(" New Inst. avg",'Averages Pivot Table'!$A$3,"State","AR","Category",11,"Category2","Two-Year")</f>
        <v>0</v>
      </c>
      <c r="I461" s="229">
        <f t="shared" si="69"/>
        <v>0</v>
      </c>
      <c r="J461" s="62">
        <f>+GETPIVOTDATA(" New Undesg. avg",'Averages Pivot Table'!$A$3,"State","AR","Category",11,"Category2","Two-Year")</f>
        <v>0</v>
      </c>
      <c r="K461" s="141">
        <f t="shared" si="70"/>
        <v>0</v>
      </c>
      <c r="L461" s="62">
        <f>+GETPIVOTDATA(" New Single Rnk avg",'Averages Pivot Table'!$A$3,"State","AR","Category",11,"Category2","Two-Year")</f>
        <v>0</v>
      </c>
      <c r="M461" s="229">
        <f t="shared" si="71"/>
        <v>0</v>
      </c>
      <c r="N461" s="62">
        <f>+GETPIVOTDATA(" New All Ranks avg",'Averages Pivot Table'!$A$3,"State","AR","Category",11,"Category2","Two-Year")</f>
        <v>0</v>
      </c>
      <c r="O461" s="229">
        <f t="shared" si="72"/>
        <v>0</v>
      </c>
    </row>
    <row r="462" spans="1:19" ht="12.95" customHeight="1">
      <c r="A462" s="12" t="s">
        <v>558</v>
      </c>
      <c r="B462" s="62">
        <f>+GETPIVOTDATA(" New Prof avg",'Averages Pivot Table'!$A$3,"State","DE","Category",11,"Category2","Two-Year")</f>
        <v>0</v>
      </c>
      <c r="C462" s="141">
        <f t="shared" si="66"/>
        <v>0</v>
      </c>
      <c r="D462" s="62">
        <f>+GETPIVOTDATA(" New Asc. avg",'Averages Pivot Table'!$A$3,"State","DE","Category",11,"Category2","Two-Year")</f>
        <v>0</v>
      </c>
      <c r="E462" s="141">
        <f t="shared" si="67"/>
        <v>0</v>
      </c>
      <c r="F462" s="62">
        <f>+GETPIVOTDATA(" New Ast. avg",'Averages Pivot Table'!$A$3,"State","DE","Category",11,"Category2","Two-Year")</f>
        <v>0</v>
      </c>
      <c r="G462" s="141">
        <f t="shared" si="68"/>
        <v>0</v>
      </c>
      <c r="H462" s="62">
        <f>+GETPIVOTDATA(" New Inst. avg",'Averages Pivot Table'!$A$3,"State","DE","Category",11,"Category2","Two-Year")</f>
        <v>0</v>
      </c>
      <c r="I462" s="229">
        <f t="shared" si="69"/>
        <v>0</v>
      </c>
      <c r="J462" s="62">
        <f>+GETPIVOTDATA(" New Undesg. avg",'Averages Pivot Table'!$A$3,"State","DE","Category",11,"Category2","Two-Year")</f>
        <v>0</v>
      </c>
      <c r="K462" s="141">
        <f t="shared" si="70"/>
        <v>0</v>
      </c>
      <c r="L462" s="62">
        <f>+GETPIVOTDATA(" New Single Rnk avg",'Averages Pivot Table'!$A$3,"State","DE","Category",11,"Category2","Two-Year")</f>
        <v>0</v>
      </c>
      <c r="M462" s="229">
        <f t="shared" si="71"/>
        <v>0</v>
      </c>
      <c r="N462" s="62">
        <f>+GETPIVOTDATA(" New All Ranks avg",'Averages Pivot Table'!$A$3,"State","DE","Category",11,"Category2","Two-Year")</f>
        <v>0</v>
      </c>
      <c r="O462" s="229">
        <f t="shared" si="72"/>
        <v>0</v>
      </c>
    </row>
    <row r="463" spans="1:19" ht="12.95" customHeight="1">
      <c r="A463" s="12" t="s">
        <v>544</v>
      </c>
      <c r="B463" s="62">
        <f>+GETPIVOTDATA(" New Prof avg",'Averages Pivot Table'!$A$3,"State","FL","Category",11,"Category2","Two-Year")</f>
        <v>0</v>
      </c>
      <c r="C463" s="141">
        <f t="shared" si="66"/>
        <v>0</v>
      </c>
      <c r="D463" s="62">
        <f>+GETPIVOTDATA(" New Asc. avg",'Averages Pivot Table'!$A$3,"State","FL","Category",11,"Category2","Two-Year")</f>
        <v>0</v>
      </c>
      <c r="E463" s="141">
        <f t="shared" si="67"/>
        <v>0</v>
      </c>
      <c r="F463" s="62">
        <f>+GETPIVOTDATA(" New Ast. avg",'Averages Pivot Table'!$A$3,"State","FL","Category",11,"Category2","Two-Year")</f>
        <v>0</v>
      </c>
      <c r="G463" s="141">
        <f t="shared" si="68"/>
        <v>0</v>
      </c>
      <c r="H463" s="62">
        <f>+GETPIVOTDATA(" New Inst. avg",'Averages Pivot Table'!$A$3,"State","FL","Category",11,"Category2","Two-Year")</f>
        <v>0</v>
      </c>
      <c r="I463" s="229">
        <f t="shared" si="69"/>
        <v>0</v>
      </c>
      <c r="J463" s="62">
        <f>+GETPIVOTDATA(" New Undesg. avg",'Averages Pivot Table'!$A$3,"State","FL","Category",11,"Category2","Two-Year")</f>
        <v>0</v>
      </c>
      <c r="K463" s="141">
        <f t="shared" si="70"/>
        <v>0</v>
      </c>
      <c r="L463" s="62">
        <f>+GETPIVOTDATA(" New Single Rnk avg",'Averages Pivot Table'!$A$3,"State","FL","Category",11,"Category2","Two-Year")</f>
        <v>0</v>
      </c>
      <c r="M463" s="229">
        <f t="shared" si="71"/>
        <v>0</v>
      </c>
      <c r="N463" s="62">
        <f>+GETPIVOTDATA(" New All Ranks avg",'Averages Pivot Table'!$A$3,"State","FL","Category",11,"Category2","Two-Year")</f>
        <v>0</v>
      </c>
      <c r="O463" s="229">
        <f t="shared" si="72"/>
        <v>0</v>
      </c>
    </row>
    <row r="464" spans="1:19" ht="12.95" customHeight="1">
      <c r="A464" s="12"/>
      <c r="B464" s="62"/>
      <c r="C464" s="141">
        <f t="shared" si="66"/>
        <v>0</v>
      </c>
      <c r="D464" s="62"/>
      <c r="E464" s="141">
        <f t="shared" si="67"/>
        <v>0</v>
      </c>
      <c r="F464" s="62"/>
      <c r="G464" s="141">
        <f t="shared" si="68"/>
        <v>0</v>
      </c>
      <c r="H464" s="62"/>
      <c r="I464" s="229">
        <f t="shared" si="69"/>
        <v>0</v>
      </c>
      <c r="J464" s="62"/>
      <c r="K464" s="141">
        <f t="shared" si="70"/>
        <v>0</v>
      </c>
      <c r="L464" s="62"/>
      <c r="M464" s="229">
        <f t="shared" si="71"/>
        <v>0</v>
      </c>
      <c r="N464" s="62"/>
      <c r="O464" s="229">
        <f t="shared" si="72"/>
        <v>0</v>
      </c>
    </row>
    <row r="465" spans="1:15" ht="12.95" customHeight="1">
      <c r="A465" s="12" t="s">
        <v>545</v>
      </c>
      <c r="B465" s="62">
        <f>+GETPIVOTDATA(" New Prof avg",'Averages Pivot Table'!$A$3,"State","GA","Category",11,"Category2","Two-Year")</f>
        <v>0</v>
      </c>
      <c r="C465" s="141">
        <f t="shared" si="66"/>
        <v>0</v>
      </c>
      <c r="D465" s="62">
        <f>+GETPIVOTDATA(" New Asc. avg",'Averages Pivot Table'!$A$3,"State","GA","Category",11,"Category2","Two-Year")</f>
        <v>0</v>
      </c>
      <c r="E465" s="141">
        <f t="shared" si="67"/>
        <v>0</v>
      </c>
      <c r="F465" s="62">
        <f>+GETPIVOTDATA(" New Ast. avg",'Averages Pivot Table'!$A$3,"State","GA","Category",11,"Category2","Two-Year")</f>
        <v>0</v>
      </c>
      <c r="G465" s="141">
        <f t="shared" si="68"/>
        <v>0</v>
      </c>
      <c r="H465" s="62">
        <f>+GETPIVOTDATA(" New Inst. avg",'Averages Pivot Table'!$A$3,"State","GA","Category",11,"Category2","Two-Year")</f>
        <v>0</v>
      </c>
      <c r="I465" s="229">
        <f t="shared" si="69"/>
        <v>0</v>
      </c>
      <c r="J465" s="62">
        <f>+GETPIVOTDATA(" New Undesg. avg",'Averages Pivot Table'!$A$3,"State","GA","Category",11,"Category2","Two-Year")</f>
        <v>0</v>
      </c>
      <c r="K465" s="141">
        <f t="shared" si="70"/>
        <v>0</v>
      </c>
      <c r="L465" s="62">
        <f>+GETPIVOTDATA(" New Single Rnk avg",'Averages Pivot Table'!$A$3,"State","GA","Category",11,"Category2","Two-Year")</f>
        <v>0</v>
      </c>
      <c r="M465" s="229">
        <f t="shared" si="71"/>
        <v>0</v>
      </c>
      <c r="N465" s="62">
        <f>+GETPIVOTDATA(" New All Ranks avg",'Averages Pivot Table'!$A$3,"State","GA","Category",11,"Category2","Two-Year")</f>
        <v>0</v>
      </c>
      <c r="O465" s="229">
        <f t="shared" si="72"/>
        <v>0</v>
      </c>
    </row>
    <row r="466" spans="1:15" ht="12.95" customHeight="1">
      <c r="A466" s="12" t="s">
        <v>546</v>
      </c>
      <c r="B466" s="62">
        <f>+GETPIVOTDATA(" New Prof avg",'Averages Pivot Table'!$A$3,"State","KY","Category",11,"Category2","Two-Year")</f>
        <v>0</v>
      </c>
      <c r="C466" s="141">
        <f t="shared" si="66"/>
        <v>0</v>
      </c>
      <c r="D466" s="62">
        <f>+GETPIVOTDATA(" New Asc. avg",'Averages Pivot Table'!$A$3,"State","KY","Category",11,"Category2","Two-Year")</f>
        <v>0</v>
      </c>
      <c r="E466" s="141">
        <f t="shared" si="67"/>
        <v>0</v>
      </c>
      <c r="F466" s="62">
        <f>+GETPIVOTDATA(" New Ast. avg",'Averages Pivot Table'!$A$3,"State","KY","Category",11,"Category2","Two-Year")</f>
        <v>0</v>
      </c>
      <c r="G466" s="141">
        <f t="shared" si="68"/>
        <v>0</v>
      </c>
      <c r="H466" s="62">
        <f>+GETPIVOTDATA(" New Inst. avg",'Averages Pivot Table'!$A$3,"State","KY","Category",11,"Category2","Two-Year")</f>
        <v>0</v>
      </c>
      <c r="I466" s="229">
        <f t="shared" si="69"/>
        <v>0</v>
      </c>
      <c r="J466" s="62">
        <f>+GETPIVOTDATA(" New Undesg. avg",'Averages Pivot Table'!$A$3,"State","KY","Category",11,"Category2","Two-Year")</f>
        <v>0</v>
      </c>
      <c r="K466" s="141">
        <f t="shared" si="70"/>
        <v>0</v>
      </c>
      <c r="L466" s="62">
        <f>+GETPIVOTDATA(" New Single Rnk avg",'Averages Pivot Table'!$A$3,"State","KY","Category",11,"Category2","Two-Year")</f>
        <v>0</v>
      </c>
      <c r="M466" s="229">
        <f t="shared" si="71"/>
        <v>0</v>
      </c>
      <c r="N466" s="62">
        <f>+GETPIVOTDATA(" New All Ranks avg",'Averages Pivot Table'!$A$3,"State","KY","Category",11,"Category2","Two-Year")</f>
        <v>0</v>
      </c>
      <c r="O466" s="229">
        <f t="shared" si="72"/>
        <v>0</v>
      </c>
    </row>
    <row r="467" spans="1:15" ht="12.95" customHeight="1">
      <c r="A467" s="12" t="s">
        <v>547</v>
      </c>
      <c r="B467" s="62">
        <f>+GETPIVOTDATA(" New Prof avg",'Averages Pivot Table'!$A$3,"State","LA","Category",11,"Category2","Two-Year")</f>
        <v>0</v>
      </c>
      <c r="C467" s="141">
        <f t="shared" si="66"/>
        <v>0</v>
      </c>
      <c r="D467" s="62">
        <f>+GETPIVOTDATA(" New Asc. avg",'Averages Pivot Table'!$A$3,"State","LA","Category",11,"Category2","Two-Year")</f>
        <v>0</v>
      </c>
      <c r="E467" s="141">
        <f t="shared" si="67"/>
        <v>0</v>
      </c>
      <c r="F467" s="62">
        <f>+GETPIVOTDATA(" New Ast. avg",'Averages Pivot Table'!$A$3,"State","LA","Category",11,"Category2","Two-Year")</f>
        <v>0</v>
      </c>
      <c r="G467" s="141">
        <f t="shared" si="68"/>
        <v>0</v>
      </c>
      <c r="H467" s="62">
        <f>+GETPIVOTDATA(" New Inst. avg",'Averages Pivot Table'!$A$3,"State","LA","Category",11,"Category2","Two-Year")</f>
        <v>0</v>
      </c>
      <c r="I467" s="229">
        <f t="shared" si="69"/>
        <v>0</v>
      </c>
      <c r="J467" s="62">
        <f>+GETPIVOTDATA(" New Undesg. avg",'Averages Pivot Table'!$A$3,"State","LA","Category",11,"Category2","Two-Year")</f>
        <v>0</v>
      </c>
      <c r="K467" s="141">
        <f t="shared" si="70"/>
        <v>0</v>
      </c>
      <c r="L467" s="62">
        <f>+GETPIVOTDATA(" New Single Rnk avg",'Averages Pivot Table'!$A$3,"State","LA","Category",11,"Category2","Two-Year")</f>
        <v>0</v>
      </c>
      <c r="M467" s="229">
        <f t="shared" si="71"/>
        <v>0</v>
      </c>
      <c r="N467" s="62">
        <f>+GETPIVOTDATA(" New All Ranks avg",'Averages Pivot Table'!$A$3,"State","LA","Category",11,"Category2","Two-Year")</f>
        <v>0</v>
      </c>
      <c r="O467" s="229">
        <f t="shared" si="72"/>
        <v>0</v>
      </c>
    </row>
    <row r="468" spans="1:15" ht="12.95" customHeight="1">
      <c r="A468" s="12" t="s">
        <v>548</v>
      </c>
      <c r="B468" s="62">
        <f>+GETPIVOTDATA(" New Prof avg",'Averages Pivot Table'!$A$3,"State","MD","Category",11,"Category2","Two-Year")</f>
        <v>0</v>
      </c>
      <c r="C468" s="141">
        <f t="shared" si="66"/>
        <v>0</v>
      </c>
      <c r="D468" s="62">
        <f>+GETPIVOTDATA(" New Asc. avg",'Averages Pivot Table'!$A$3,"State","MD","Category",11,"Category2","Two-Year")</f>
        <v>0</v>
      </c>
      <c r="E468" s="141">
        <f t="shared" si="67"/>
        <v>0</v>
      </c>
      <c r="F468" s="62">
        <f>+GETPIVOTDATA(" New Ast. avg",'Averages Pivot Table'!$A$3,"State","MD","Category",11,"Category2","Two-Year")</f>
        <v>0</v>
      </c>
      <c r="G468" s="141">
        <f t="shared" si="68"/>
        <v>0</v>
      </c>
      <c r="H468" s="62">
        <f>+GETPIVOTDATA(" New Inst. avg",'Averages Pivot Table'!$A$3,"State","MD","Category",11,"Category2","Two-Year")</f>
        <v>0</v>
      </c>
      <c r="I468" s="229">
        <f t="shared" si="69"/>
        <v>0</v>
      </c>
      <c r="J468" s="62">
        <f>+GETPIVOTDATA(" New Undesg. avg",'Averages Pivot Table'!$A$3,"State","MD","Category",11,"Category2","Two-Year")</f>
        <v>0</v>
      </c>
      <c r="K468" s="141">
        <f t="shared" si="70"/>
        <v>0</v>
      </c>
      <c r="L468" s="62">
        <f>+GETPIVOTDATA(" New Single Rnk avg",'Averages Pivot Table'!$A$3,"State","MD","Category",11,"Category2","Two-Year")</f>
        <v>0</v>
      </c>
      <c r="M468" s="229">
        <f t="shared" si="71"/>
        <v>0</v>
      </c>
      <c r="N468" s="62">
        <f>+GETPIVOTDATA(" New All Ranks avg",'Averages Pivot Table'!$A$3,"State","MD","Category",11,"Category2","Two-Year")</f>
        <v>0</v>
      </c>
      <c r="O468" s="229">
        <f t="shared" si="72"/>
        <v>0</v>
      </c>
    </row>
    <row r="469" spans="1:15" ht="12.95" customHeight="1">
      <c r="A469" s="12"/>
      <c r="B469" s="62"/>
      <c r="C469" s="141">
        <f t="shared" si="66"/>
        <v>0</v>
      </c>
      <c r="D469" s="62"/>
      <c r="E469" s="141">
        <f t="shared" si="67"/>
        <v>0</v>
      </c>
      <c r="F469" s="62"/>
      <c r="G469" s="141">
        <f t="shared" si="68"/>
        <v>0</v>
      </c>
      <c r="H469" s="62"/>
      <c r="I469" s="229">
        <f t="shared" si="69"/>
        <v>0</v>
      </c>
      <c r="J469" s="62"/>
      <c r="K469" s="141">
        <f t="shared" si="70"/>
        <v>0</v>
      </c>
      <c r="L469" s="62"/>
      <c r="M469" s="229">
        <f t="shared" si="71"/>
        <v>0</v>
      </c>
      <c r="N469" s="62"/>
      <c r="O469" s="229">
        <f t="shared" si="72"/>
        <v>0</v>
      </c>
    </row>
    <row r="470" spans="1:15" ht="12.95" customHeight="1">
      <c r="A470" s="12" t="s">
        <v>549</v>
      </c>
      <c r="B470" s="62">
        <f>+GETPIVOTDATA(" New Prof avg",'Averages Pivot Table'!$A$3,"State","MS","Category",11,"Category2","Two-Year")</f>
        <v>0</v>
      </c>
      <c r="C470" s="141">
        <f t="shared" si="66"/>
        <v>0</v>
      </c>
      <c r="D470" s="62">
        <f>+GETPIVOTDATA(" New Asc. avg",'Averages Pivot Table'!$A$3,"State","MS","Category",11,"Category2","Two-Year")</f>
        <v>0</v>
      </c>
      <c r="E470" s="141">
        <f t="shared" si="67"/>
        <v>0</v>
      </c>
      <c r="F470" s="62">
        <f>+GETPIVOTDATA(" New Ast. avg",'Averages Pivot Table'!$A$3,"State","MS","Category",11,"Category2","Two-Year")</f>
        <v>0</v>
      </c>
      <c r="G470" s="141">
        <f t="shared" si="68"/>
        <v>0</v>
      </c>
      <c r="H470" s="62">
        <f>+GETPIVOTDATA(" New Inst. avg",'Averages Pivot Table'!$A$3,"State","MS","Category",11,"Category2","Two-Year")</f>
        <v>0</v>
      </c>
      <c r="I470" s="229">
        <f t="shared" si="69"/>
        <v>0</v>
      </c>
      <c r="J470" s="62">
        <f>+GETPIVOTDATA(" New Undesg. avg",'Averages Pivot Table'!$A$3,"State","MS","Category",11,"Category2","Two-Year")</f>
        <v>0</v>
      </c>
      <c r="K470" s="141">
        <f t="shared" si="70"/>
        <v>0</v>
      </c>
      <c r="L470" s="62">
        <f>+GETPIVOTDATA(" New Single Rnk avg",'Averages Pivot Table'!$A$3,"State","MS","Category",11,"Category2","Two-Year")</f>
        <v>0</v>
      </c>
      <c r="M470" s="229">
        <f t="shared" si="71"/>
        <v>0</v>
      </c>
      <c r="N470" s="62">
        <f>+GETPIVOTDATA(" New All Ranks avg",'Averages Pivot Table'!$A$3,"State","MS","Category",11,"Category2","Two-Year")</f>
        <v>0</v>
      </c>
      <c r="O470" s="229">
        <f t="shared" si="72"/>
        <v>0</v>
      </c>
    </row>
    <row r="471" spans="1:15" ht="12.95" customHeight="1">
      <c r="A471" s="12" t="s">
        <v>550</v>
      </c>
      <c r="B471" s="62">
        <f>+GETPIVOTDATA(" New Prof avg",'Averages Pivot Table'!$A$3,"State","NC","Category",11,"Category2","Two-Year")</f>
        <v>0</v>
      </c>
      <c r="C471" s="141">
        <f t="shared" si="66"/>
        <v>0</v>
      </c>
      <c r="D471" s="62">
        <f>+GETPIVOTDATA(" New Asc. avg",'Averages Pivot Table'!$A$3,"State","NC","Category",11,"Category2","Two-Year")</f>
        <v>0</v>
      </c>
      <c r="E471" s="141">
        <f t="shared" si="67"/>
        <v>0</v>
      </c>
      <c r="F471" s="62">
        <f>+GETPIVOTDATA(" New Ast. avg",'Averages Pivot Table'!$A$3,"State","NC","Category",11,"Category2","Two-Year")</f>
        <v>0</v>
      </c>
      <c r="G471" s="141">
        <f t="shared" si="68"/>
        <v>0</v>
      </c>
      <c r="H471" s="62">
        <f>+GETPIVOTDATA(" New Inst. avg",'Averages Pivot Table'!$A$3,"State","NC","Category",11,"Category2","Two-Year")</f>
        <v>0</v>
      </c>
      <c r="I471" s="229">
        <f t="shared" si="69"/>
        <v>0</v>
      </c>
      <c r="J471" s="62">
        <f>+GETPIVOTDATA(" New Undesg. avg",'Averages Pivot Table'!$A$3,"State","NC","Category",11,"Category2","Two-Year")</f>
        <v>0</v>
      </c>
      <c r="K471" s="141">
        <f t="shared" si="70"/>
        <v>0</v>
      </c>
      <c r="L471" s="62">
        <f>+GETPIVOTDATA(" New Single Rnk avg",'Averages Pivot Table'!$A$3,"State","NC","Category",11,"Category2","Two-Year")</f>
        <v>0</v>
      </c>
      <c r="M471" s="229">
        <f t="shared" si="71"/>
        <v>0</v>
      </c>
      <c r="N471" s="62">
        <f>+GETPIVOTDATA(" New All Ranks avg",'Averages Pivot Table'!$A$3,"State","NC","Category",11,"Category2","Two-Year")</f>
        <v>0</v>
      </c>
      <c r="O471" s="229">
        <f t="shared" si="72"/>
        <v>0</v>
      </c>
    </row>
    <row r="472" spans="1:15" ht="12.95" customHeight="1">
      <c r="A472" s="12" t="s">
        <v>551</v>
      </c>
      <c r="B472" s="62">
        <f>+GETPIVOTDATA(" New Prof avg",'Averages Pivot Table'!$A$3,"State","OK","Category",11,"Category2","Two-Year")</f>
        <v>0</v>
      </c>
      <c r="C472" s="141">
        <f t="shared" si="66"/>
        <v>0</v>
      </c>
      <c r="D472" s="62">
        <f>+GETPIVOTDATA(" New Asc. avg",'Averages Pivot Table'!$A$3,"State","OK","Category",11,"Category2","Two-Year")</f>
        <v>0</v>
      </c>
      <c r="E472" s="141">
        <f t="shared" si="67"/>
        <v>0</v>
      </c>
      <c r="F472" s="62">
        <f>+GETPIVOTDATA(" New Ast. avg",'Averages Pivot Table'!$A$3,"State","OK","Category",11,"Category2","Two-Year")</f>
        <v>0</v>
      </c>
      <c r="G472" s="141">
        <f t="shared" si="68"/>
        <v>0</v>
      </c>
      <c r="H472" s="62">
        <f>+GETPIVOTDATA(" New Inst. avg",'Averages Pivot Table'!$A$3,"State","OK","Category",11,"Category2","Two-Year")</f>
        <v>0</v>
      </c>
      <c r="I472" s="229">
        <f t="shared" si="69"/>
        <v>0</v>
      </c>
      <c r="J472" s="62">
        <f>+GETPIVOTDATA(" New Undesg. avg",'Averages Pivot Table'!$A$3,"State","OK","Category",11,"Category2","Two-Year")</f>
        <v>0</v>
      </c>
      <c r="K472" s="141">
        <f t="shared" si="70"/>
        <v>0</v>
      </c>
      <c r="L472" s="62">
        <f>+GETPIVOTDATA(" New Single Rnk avg",'Averages Pivot Table'!$A$3,"State","OK","Category",11,"Category2","Two-Year")</f>
        <v>0</v>
      </c>
      <c r="M472" s="229">
        <f t="shared" si="71"/>
        <v>0</v>
      </c>
      <c r="N472" s="62">
        <f>+GETPIVOTDATA(" New All Ranks avg",'Averages Pivot Table'!$A$3,"State","OK","Category",11,"Category2","Two-Year")</f>
        <v>0</v>
      </c>
      <c r="O472" s="229">
        <f t="shared" si="72"/>
        <v>0</v>
      </c>
    </row>
    <row r="473" spans="1:15" ht="12.95" customHeight="1">
      <c r="A473" s="12" t="s">
        <v>552</v>
      </c>
      <c r="B473" s="62">
        <f>+GETPIVOTDATA(" New Prof avg",'Averages Pivot Table'!$A$3,"State","SC","Category",11,"Category2","Two-Year")</f>
        <v>0</v>
      </c>
      <c r="C473" s="141">
        <f t="shared" si="66"/>
        <v>0</v>
      </c>
      <c r="D473" s="62">
        <f>+GETPIVOTDATA(" New Asc. avg",'Averages Pivot Table'!$A$3,"State","SC","Category",11,"Category2","Two-Year")</f>
        <v>0</v>
      </c>
      <c r="E473" s="141">
        <f t="shared" si="67"/>
        <v>0</v>
      </c>
      <c r="F473" s="62">
        <f>+GETPIVOTDATA(" New Ast. avg",'Averages Pivot Table'!$A$3,"State","SC","Category",11,"Category2","Two-Year")</f>
        <v>0</v>
      </c>
      <c r="G473" s="141">
        <f t="shared" si="68"/>
        <v>0</v>
      </c>
      <c r="H473" s="62">
        <f>+GETPIVOTDATA(" New Inst. avg",'Averages Pivot Table'!$A$3,"State","SC","Category",11,"Category2","Two-Year")</f>
        <v>0</v>
      </c>
      <c r="I473" s="229">
        <f t="shared" si="69"/>
        <v>0</v>
      </c>
      <c r="J473" s="62">
        <f>+GETPIVOTDATA(" New Undesg. avg",'Averages Pivot Table'!$A$3,"State","SC","Category",11,"Category2","Two-Year")</f>
        <v>0</v>
      </c>
      <c r="K473" s="141">
        <f t="shared" si="70"/>
        <v>0</v>
      </c>
      <c r="L473" s="62">
        <f>+GETPIVOTDATA(" New Single Rnk avg",'Averages Pivot Table'!$A$3,"State","SC","Category",11,"Category2","Two-Year")</f>
        <v>0</v>
      </c>
      <c r="M473" s="229">
        <f t="shared" si="71"/>
        <v>0</v>
      </c>
      <c r="N473" s="62">
        <f>+GETPIVOTDATA(" New All Ranks avg",'Averages Pivot Table'!$A$3,"State","SC","Category",11,"Category2","Two-Year")</f>
        <v>0</v>
      </c>
      <c r="O473" s="229">
        <f t="shared" si="72"/>
        <v>0</v>
      </c>
    </row>
    <row r="474" spans="1:15" ht="12.95" customHeight="1">
      <c r="A474" s="12"/>
      <c r="B474" s="62"/>
      <c r="C474" s="141">
        <f t="shared" si="66"/>
        <v>0</v>
      </c>
      <c r="D474" s="62"/>
      <c r="E474" s="141">
        <f t="shared" si="67"/>
        <v>0</v>
      </c>
      <c r="F474" s="62"/>
      <c r="G474" s="141">
        <f t="shared" si="68"/>
        <v>0</v>
      </c>
      <c r="H474" s="62"/>
      <c r="I474" s="229">
        <f t="shared" si="69"/>
        <v>0</v>
      </c>
      <c r="J474" s="62"/>
      <c r="K474" s="141">
        <f t="shared" si="70"/>
        <v>0</v>
      </c>
      <c r="L474" s="62"/>
      <c r="M474" s="229">
        <f t="shared" si="71"/>
        <v>0</v>
      </c>
      <c r="N474" s="62"/>
      <c r="O474" s="229">
        <f t="shared" si="72"/>
        <v>0</v>
      </c>
    </row>
    <row r="475" spans="1:15" ht="12.95" customHeight="1">
      <c r="A475" s="12" t="s">
        <v>553</v>
      </c>
      <c r="B475" s="140">
        <f>+GETPIVOTDATA(" New Prof avg",'Averages Pivot Table'!$A$3,"State","TN","Category",11,"Category2","Two-Year")</f>
        <v>0</v>
      </c>
      <c r="C475" s="141">
        <f t="shared" si="66"/>
        <v>0</v>
      </c>
      <c r="D475" s="140">
        <f>+GETPIVOTDATA(" New Asc. avg",'Averages Pivot Table'!$A$3,"State","TN","Category",11,"Category2","Two-Year")</f>
        <v>0</v>
      </c>
      <c r="E475" s="141">
        <f t="shared" si="67"/>
        <v>0</v>
      </c>
      <c r="F475" s="140">
        <f>+GETPIVOTDATA(" New Ast. avg",'Averages Pivot Table'!$A$3,"State","TN","Category",11,"Category2","Two-Year")</f>
        <v>0</v>
      </c>
      <c r="G475" s="141">
        <f t="shared" si="68"/>
        <v>0</v>
      </c>
      <c r="H475" s="140">
        <f>+GETPIVOTDATA(" New Inst. avg",'Averages Pivot Table'!$A$3,"State","TN","Category",11,"Category2","Two-Year")</f>
        <v>0</v>
      </c>
      <c r="I475" s="229">
        <f t="shared" si="69"/>
        <v>0</v>
      </c>
      <c r="J475" s="140">
        <f>+GETPIVOTDATA(" New Undesg. avg",'Averages Pivot Table'!$A$3,"State","TN","Category",11,"Category2","Two-Year")</f>
        <v>0</v>
      </c>
      <c r="K475" s="141">
        <f t="shared" si="70"/>
        <v>0</v>
      </c>
      <c r="L475" s="140">
        <f>+GETPIVOTDATA(" New Single Rnk avg",'Averages Pivot Table'!$A$3,"State","TN","Category",11,"Category2","Two-Year")</f>
        <v>0</v>
      </c>
      <c r="M475" s="229">
        <f t="shared" si="71"/>
        <v>0</v>
      </c>
      <c r="N475" s="62">
        <f>+GETPIVOTDATA(" New All Ranks avg",'Averages Pivot Table'!$A$3,"State","TN","Category",11,"Category2","Two-Year")</f>
        <v>0</v>
      </c>
      <c r="O475" s="229">
        <f t="shared" si="72"/>
        <v>0</v>
      </c>
    </row>
    <row r="476" spans="1:15" ht="12.95" customHeight="1">
      <c r="A476" s="12" t="s">
        <v>554</v>
      </c>
      <c r="B476" s="140">
        <f>+GETPIVOTDATA(" New Prof avg",'Averages Pivot Table'!$A$3,"State","TX","Category",11,"Category2","Two-Year")</f>
        <v>0</v>
      </c>
      <c r="C476" s="141">
        <f t="shared" si="66"/>
        <v>0</v>
      </c>
      <c r="D476" s="140">
        <f>+GETPIVOTDATA(" New Asc. avg",'Averages Pivot Table'!$A$3,"State","TX","Category",11,"Category2","Two-Year")</f>
        <v>0</v>
      </c>
      <c r="E476" s="141">
        <f t="shared" si="67"/>
        <v>0</v>
      </c>
      <c r="F476" s="140">
        <f>+GETPIVOTDATA(" New Ast. avg",'Averages Pivot Table'!$A$3,"State","TX","Category",11,"Category2","Two-Year")</f>
        <v>0</v>
      </c>
      <c r="G476" s="141">
        <f t="shared" si="68"/>
        <v>0</v>
      </c>
      <c r="H476" s="140">
        <f>+GETPIVOTDATA(" New Inst. avg",'Averages Pivot Table'!$A$3,"State","TX","Category",11,"Category2","Two-Year")</f>
        <v>0</v>
      </c>
      <c r="I476" s="229">
        <f t="shared" si="69"/>
        <v>0</v>
      </c>
      <c r="J476" s="140">
        <f>+GETPIVOTDATA(" New Undesg. avg",'Averages Pivot Table'!$A$3,"State","TX","Category",11,"Category2","Two-Year")</f>
        <v>0</v>
      </c>
      <c r="K476" s="141">
        <f t="shared" si="70"/>
        <v>0</v>
      </c>
      <c r="L476" s="140">
        <f>+GETPIVOTDATA(" New Single Rnk avg",'Averages Pivot Table'!$A$3,"State","TX","Category",11,"Category2","Two-Year")</f>
        <v>0</v>
      </c>
      <c r="M476" s="229">
        <f t="shared" si="71"/>
        <v>0</v>
      </c>
      <c r="N476" s="62">
        <f>+GETPIVOTDATA(" New All Ranks avg",'Averages Pivot Table'!$A$3,"State","TX","Category",11,"Category2","Two-Year")</f>
        <v>0</v>
      </c>
      <c r="O476" s="229">
        <f t="shared" si="72"/>
        <v>0</v>
      </c>
    </row>
    <row r="477" spans="1:15" ht="12.95" customHeight="1">
      <c r="A477" s="12" t="s">
        <v>555</v>
      </c>
      <c r="B477" s="140">
        <f>+GETPIVOTDATA(" New Prof avg",'Averages Pivot Table'!$A$3,"State","VA","Category",11,"Category2","Two-Year")</f>
        <v>67923.747558333329</v>
      </c>
      <c r="C477" s="141">
        <f>IF(B477&gt;0,(RANK(B477,$B$460:$B$478)),0)</f>
        <v>1</v>
      </c>
      <c r="D477" s="140">
        <f>+GETPIVOTDATA(" New Asc. avg",'Averages Pivot Table'!$A$3,"State","VA","Category",11,"Category2","Two-Year")</f>
        <v>59901.250379874211</v>
      </c>
      <c r="E477" s="141">
        <f>IF(D477&gt;0,(RANK(D477,$D$460:$D$478)),0)</f>
        <v>1</v>
      </c>
      <c r="F477" s="140">
        <f>+GETPIVOTDATA(" New Ast. avg",'Averages Pivot Table'!$A$3,"State","VA","Category",11,"Category2","Two-Year")</f>
        <v>54143.926242608693</v>
      </c>
      <c r="G477" s="141">
        <f>IF(F477&gt;0,(RANK(F477,$F$460:$F$478)),0)</f>
        <v>1</v>
      </c>
      <c r="H477" s="140">
        <f>+GETPIVOTDATA(" New Inst. avg",'Averages Pivot Table'!$A$3,"State","VA","Category",11,"Category2","Two-Year")</f>
        <v>47726.916471497585</v>
      </c>
      <c r="I477" s="229">
        <f>IF(H477&gt;0,(RANK(H477,$H$460:$H$478)),0)</f>
        <v>1</v>
      </c>
      <c r="J477" s="140">
        <f>+GETPIVOTDATA(" New Undesg. avg",'Averages Pivot Table'!$A$3,"State","VA","Category",11,"Category2","Two-Year")</f>
        <v>0</v>
      </c>
      <c r="K477" s="141">
        <f>IF(J477&gt;0,(RANK(J477,$J$460:$J$478)),0)</f>
        <v>0</v>
      </c>
      <c r="L477" s="140">
        <f>+GETPIVOTDATA(" New Single Rnk avg",'Averages Pivot Table'!$A$3,"State","VA","Category",11,"Category2","Two-Year")</f>
        <v>0</v>
      </c>
      <c r="M477" s="229">
        <f t="shared" si="71"/>
        <v>0</v>
      </c>
      <c r="N477" s="62">
        <f>+GETPIVOTDATA(" New All Ranks avg",'Averages Pivot Table'!$A$3,"State","VA","Category",11,"Category2","Two-Year")</f>
        <v>57347.378781491716</v>
      </c>
      <c r="O477" s="229">
        <f>IF(N477&gt;0,(RANK(N477,$N$460:$N$478)),0)</f>
        <v>1</v>
      </c>
    </row>
    <row r="478" spans="1:15" ht="12.95" customHeight="1">
      <c r="A478" s="11" t="s">
        <v>556</v>
      </c>
      <c r="B478" s="64">
        <f>+GETPIVOTDATA(" New Prof avg",'Averages Pivot Table'!$A$3,"State","WV","Category",11,"Category2","Two-Year")</f>
        <v>0</v>
      </c>
      <c r="C478" s="65">
        <f t="shared" si="66"/>
        <v>0</v>
      </c>
      <c r="D478" s="64">
        <f>+GETPIVOTDATA(" New Asc. avg",'Averages Pivot Table'!$A$3,"State","WV","Category",11,"Category2","Two-Year")</f>
        <v>0</v>
      </c>
      <c r="E478" s="65">
        <f t="shared" si="67"/>
        <v>0</v>
      </c>
      <c r="F478" s="64">
        <f>+GETPIVOTDATA(" New Ast. avg",'Averages Pivot Table'!$A$3,"State","WV","Category",11,"Category2","Two-Year")</f>
        <v>0</v>
      </c>
      <c r="G478" s="65">
        <f t="shared" si="68"/>
        <v>0</v>
      </c>
      <c r="H478" s="64">
        <f>+GETPIVOTDATA(" New Inst. avg",'Averages Pivot Table'!$A$3,"State","WV","Category",11,"Category2","Two-Year")</f>
        <v>0</v>
      </c>
      <c r="I478" s="230">
        <f t="shared" si="69"/>
        <v>0</v>
      </c>
      <c r="J478" s="64">
        <f>+GETPIVOTDATA(" New Undesg. avg",'Averages Pivot Table'!$A$3,"State","WV","Category",11,"Category2","Two-Year")</f>
        <v>0</v>
      </c>
      <c r="K478" s="65">
        <f t="shared" si="70"/>
        <v>0</v>
      </c>
      <c r="L478" s="64">
        <f>+GETPIVOTDATA(" New Single Rnk avg",'Averages Pivot Table'!$A$3,"State","WV","Category",11,"Category2","Two-Year")</f>
        <v>0</v>
      </c>
      <c r="M478" s="230">
        <f t="shared" si="71"/>
        <v>0</v>
      </c>
      <c r="N478" s="64">
        <f>+GETPIVOTDATA(" New All Ranks avg",'Averages Pivot Table'!$A$3,"State","WV","Category",11,"Category2","Two-Year")</f>
        <v>0</v>
      </c>
      <c r="O478" s="230">
        <f t="shared" si="72"/>
        <v>0</v>
      </c>
    </row>
    <row r="479" spans="1:15" ht="30" customHeight="1">
      <c r="A479" s="508" t="s">
        <v>425</v>
      </c>
      <c r="B479" s="508"/>
      <c r="C479" s="508"/>
      <c r="D479" s="508"/>
      <c r="E479" s="508"/>
      <c r="F479" s="508"/>
      <c r="G479" s="508"/>
      <c r="H479" s="508"/>
      <c r="I479" s="508"/>
      <c r="J479" s="508"/>
      <c r="K479" s="508"/>
      <c r="L479" s="508"/>
      <c r="M479" s="508"/>
      <c r="N479" s="508"/>
      <c r="O479" s="508"/>
    </row>
    <row r="480" spans="1:15">
      <c r="O480" s="487" t="s">
        <v>1000</v>
      </c>
    </row>
    <row r="481" spans="1:19" ht="18">
      <c r="A481" s="504" t="s">
        <v>580</v>
      </c>
      <c r="B481" s="504"/>
      <c r="C481" s="504"/>
      <c r="D481" s="504"/>
      <c r="E481" s="504"/>
      <c r="F481" s="504"/>
      <c r="G481" s="504"/>
      <c r="H481" s="504"/>
      <c r="I481" s="504"/>
      <c r="J481" s="504"/>
      <c r="K481" s="504"/>
      <c r="L481" s="504"/>
      <c r="M481" s="504"/>
      <c r="N481" s="504"/>
      <c r="O481" s="504"/>
    </row>
    <row r="482" spans="1:19">
      <c r="A482" s="23"/>
      <c r="B482" s="5"/>
      <c r="C482" s="5"/>
      <c r="D482" s="5"/>
      <c r="E482" s="5"/>
      <c r="F482" s="5"/>
      <c r="G482" s="5"/>
      <c r="H482" s="5"/>
      <c r="I482" s="172"/>
      <c r="J482" s="5"/>
      <c r="K482" s="5"/>
      <c r="L482" s="5"/>
      <c r="M482" s="172"/>
      <c r="N482" s="5"/>
      <c r="O482" s="172"/>
    </row>
    <row r="483" spans="1:19">
      <c r="A483" s="505" t="s">
        <v>557</v>
      </c>
      <c r="B483" s="505"/>
      <c r="C483" s="505"/>
      <c r="D483" s="505"/>
      <c r="E483" s="505"/>
      <c r="F483" s="505"/>
      <c r="G483" s="505"/>
      <c r="H483" s="505"/>
      <c r="I483" s="505"/>
      <c r="J483" s="505"/>
      <c r="K483" s="505"/>
      <c r="L483" s="505"/>
      <c r="M483" s="505"/>
      <c r="N483" s="505"/>
      <c r="O483" s="505"/>
    </row>
    <row r="484" spans="1:19">
      <c r="A484" s="505" t="s">
        <v>30</v>
      </c>
      <c r="B484" s="505"/>
      <c r="C484" s="505"/>
      <c r="D484" s="505"/>
      <c r="E484" s="505"/>
      <c r="F484" s="505"/>
      <c r="G484" s="505"/>
      <c r="H484" s="505"/>
      <c r="I484" s="505"/>
      <c r="J484" s="505"/>
      <c r="K484" s="505"/>
      <c r="L484" s="505"/>
      <c r="M484" s="505"/>
      <c r="N484" s="505"/>
      <c r="O484" s="505"/>
    </row>
    <row r="485" spans="1:19">
      <c r="A485" s="12"/>
      <c r="B485" s="5"/>
      <c r="C485" s="5"/>
      <c r="D485" s="5"/>
      <c r="E485" s="5"/>
      <c r="F485" s="5"/>
      <c r="G485" s="5"/>
      <c r="H485" s="5"/>
      <c r="I485" s="172"/>
      <c r="J485" s="5"/>
      <c r="K485" s="5"/>
      <c r="L485" s="5"/>
      <c r="M485" s="172"/>
      <c r="N485" s="5"/>
      <c r="O485" s="172"/>
    </row>
    <row r="486" spans="1:19" ht="31.5" customHeight="1">
      <c r="A486" s="15"/>
      <c r="B486" s="21" t="s">
        <v>435</v>
      </c>
      <c r="C486" s="22"/>
      <c r="D486" s="152" t="s">
        <v>436</v>
      </c>
      <c r="E486" s="153"/>
      <c r="F486" s="152" t="s">
        <v>437</v>
      </c>
      <c r="G486" s="153"/>
      <c r="H486" s="21" t="s">
        <v>438</v>
      </c>
      <c r="I486" s="253"/>
      <c r="J486" s="152" t="s">
        <v>584</v>
      </c>
      <c r="K486" s="153"/>
      <c r="L486" s="22" t="s">
        <v>413</v>
      </c>
      <c r="M486" s="253"/>
      <c r="N486" s="22" t="s">
        <v>415</v>
      </c>
      <c r="O486" s="253"/>
    </row>
    <row r="487" spans="1:19">
      <c r="A487" s="25"/>
      <c r="B487" s="19" t="s">
        <v>439</v>
      </c>
      <c r="C487" s="18" t="s">
        <v>530</v>
      </c>
      <c r="D487" s="19" t="s">
        <v>439</v>
      </c>
      <c r="E487" s="18" t="s">
        <v>530</v>
      </c>
      <c r="F487" s="19" t="s">
        <v>439</v>
      </c>
      <c r="G487" s="18" t="s">
        <v>530</v>
      </c>
      <c r="H487" s="19" t="s">
        <v>439</v>
      </c>
      <c r="I487" s="254" t="s">
        <v>530</v>
      </c>
      <c r="J487" s="19" t="s">
        <v>439</v>
      </c>
      <c r="K487" s="18" t="s">
        <v>530</v>
      </c>
      <c r="L487" s="19" t="s">
        <v>439</v>
      </c>
      <c r="M487" s="254" t="s">
        <v>530</v>
      </c>
      <c r="N487" s="19" t="s">
        <v>439</v>
      </c>
      <c r="O487" s="254" t="s">
        <v>530</v>
      </c>
    </row>
    <row r="488" spans="1:19" s="168" customFormat="1" ht="18" customHeight="1">
      <c r="A488" s="181" t="s">
        <v>559</v>
      </c>
      <c r="B488" s="185">
        <f>+GETPIVOTDATA(" New Prof avg",'Averages Pivot Table'!$A$3,"Category2","Technical Institutes")</f>
        <v>63245.396475000001</v>
      </c>
      <c r="C488" s="185"/>
      <c r="D488" s="185">
        <f>+GETPIVOTDATA(" New Asc. avg",'Averages Pivot Table'!$A$3,"Category2","Technical Institutes")</f>
        <v>50188.768854545458</v>
      </c>
      <c r="E488" s="185"/>
      <c r="F488" s="185">
        <f>+GETPIVOTDATA(" New Ast. avg",'Averages Pivot Table'!$A$3,"Category2","Technical Institutes")</f>
        <v>44668.492733333333</v>
      </c>
      <c r="G488" s="185"/>
      <c r="H488" s="185">
        <f>+GETPIVOTDATA(" New Inst. avg",'Averages Pivot Table'!$A$3,"Category2","Technical Institutes")</f>
        <v>39724.401357647061</v>
      </c>
      <c r="I488" s="257"/>
      <c r="J488" s="185">
        <f>+GETPIVOTDATA(" New Undesg. avg",'Averages Pivot Table'!$A$3,"Category2","Technical Institutes")</f>
        <v>25000</v>
      </c>
      <c r="K488" s="185"/>
      <c r="L488" s="185">
        <f>+GETPIVOTDATA(" New Single Rnk avg",'Averages Pivot Table'!$A$3,"Category2","Technical Institutes")</f>
        <v>43913.413931238254</v>
      </c>
      <c r="M488" s="257"/>
      <c r="N488" s="185">
        <f>+GETPIVOTDATA(" New All Ranks avg",'Averages Pivot Table'!$A$3,"Category2","Technical Institutes")</f>
        <v>43840.405358662356</v>
      </c>
      <c r="O488" s="244"/>
      <c r="Q488" s="209"/>
      <c r="R488" s="209"/>
      <c r="S488" s="209"/>
    </row>
    <row r="489" spans="1:19" ht="12.95" customHeight="1">
      <c r="A489" s="12"/>
      <c r="B489" s="9"/>
      <c r="C489" s="17"/>
      <c r="D489" s="9"/>
      <c r="E489" s="17"/>
      <c r="F489" s="9"/>
      <c r="G489" s="17"/>
      <c r="H489" s="9"/>
      <c r="I489" s="261"/>
      <c r="J489" s="9"/>
      <c r="K489" s="17"/>
      <c r="L489" s="9"/>
      <c r="M489" s="261"/>
      <c r="N489" s="9"/>
      <c r="O489" s="245"/>
    </row>
    <row r="490" spans="1:19" ht="12.95" customHeight="1">
      <c r="A490" s="12" t="s">
        <v>542</v>
      </c>
      <c r="B490" s="62">
        <f>+GETPIVOTDATA(" New Prof avg",'Averages Pivot Table'!$A$3,"State","AL","Category2","Technical Institutes")</f>
        <v>0</v>
      </c>
      <c r="C490" s="141">
        <f>IF(B490&gt;0,(RANK(B490,B$490:B$508)),0)</f>
        <v>0</v>
      </c>
      <c r="D490" s="62">
        <f>+GETPIVOTDATA(" New Asc. avg",'Averages Pivot Table'!$A$3,"State","AL","Category2","Technical Institutes")</f>
        <v>0</v>
      </c>
      <c r="E490" s="141">
        <f>IF(D490&gt;0,(RANK(D490,D$490:D$508)),0)</f>
        <v>0</v>
      </c>
      <c r="F490" s="62">
        <f>+GETPIVOTDATA(" New Ast. avg",'Averages Pivot Table'!$A$3,"State","AL","Category2","Technical Institutes")</f>
        <v>0</v>
      </c>
      <c r="G490" s="141">
        <f t="shared" ref="G490:G508" si="73">IF(F490&gt;0,(RANK(F490,F$490:F$508)),0)</f>
        <v>0</v>
      </c>
      <c r="H490" s="62">
        <f>+GETPIVOTDATA(" New Inst. avg",'Averages Pivot Table'!$A$3,"State","AL","Category2","Technical Institutes")</f>
        <v>0</v>
      </c>
      <c r="I490" s="229">
        <f t="shared" ref="I490:I508" si="74">IF(H490&gt;0,(RANK(H490,H$490:H$508)),0)</f>
        <v>0</v>
      </c>
      <c r="J490" s="62">
        <f>+GETPIVOTDATA(" New Undesg. avg",'Averages Pivot Table'!$A$3,"State","AL","Category2","Technical Institutes")</f>
        <v>0</v>
      </c>
      <c r="K490" s="141">
        <f t="shared" ref="K490:K508" si="75">IF(J490&gt;0,(RANK(J490,J$490:J$508)),0)</f>
        <v>0</v>
      </c>
      <c r="L490" s="62">
        <f>+GETPIVOTDATA(" New Single Rnk avg",'Averages Pivot Table'!$A$3,"State","AL","Category2","Technical Institutes")</f>
        <v>56172.371456774192</v>
      </c>
      <c r="M490" s="229">
        <f t="shared" ref="M490:M508" si="76">IF(L490&gt;0,(RANK(L490,L$490:L$508)),0)</f>
        <v>1</v>
      </c>
      <c r="N490" s="62">
        <f>+GETPIVOTDATA(" New All Ranks avg",'Averages Pivot Table'!$A$3,"State","AL","Category2","Technical Institutes")</f>
        <v>56172.371456774192</v>
      </c>
      <c r="O490" s="229">
        <f t="shared" ref="O490:O508" si="77">IF(N490&gt;0,(RANK(N490,N$490:N$508)),0)</f>
        <v>1</v>
      </c>
    </row>
    <row r="491" spans="1:19" ht="12.95" customHeight="1">
      <c r="A491" s="12" t="s">
        <v>543</v>
      </c>
      <c r="B491" s="62">
        <f>+GETPIVOTDATA(" New Prof avg",'Averages Pivot Table'!$A$3,"State","AR","Category2","Technical Institutes")</f>
        <v>0</v>
      </c>
      <c r="C491" s="141">
        <f t="shared" ref="C491:E508" si="78">IF(B491&gt;0,(RANK(B491,B$490:B$508)),0)</f>
        <v>0</v>
      </c>
      <c r="D491" s="62">
        <f>+GETPIVOTDATA(" New Asc. avg",'Averages Pivot Table'!$A$3,"State","AR","Category2","Technical Institutes")</f>
        <v>0</v>
      </c>
      <c r="E491" s="141">
        <f t="shared" si="78"/>
        <v>0</v>
      </c>
      <c r="F491" s="62">
        <f>+GETPIVOTDATA(" New Ast. avg",'Averages Pivot Table'!$A$3,"State","AR","Category2","Technical Institutes")</f>
        <v>0</v>
      </c>
      <c r="G491" s="141">
        <f t="shared" si="73"/>
        <v>0</v>
      </c>
      <c r="H491" s="62">
        <f>+GETPIVOTDATA(" New Inst. avg",'Averages Pivot Table'!$A$3,"State","AR","Category2","Technical Institutes")</f>
        <v>0</v>
      </c>
      <c r="I491" s="229">
        <f t="shared" si="74"/>
        <v>0</v>
      </c>
      <c r="J491" s="62">
        <f>+GETPIVOTDATA(" New Undesg. avg",'Averages Pivot Table'!$A$3,"State","AR","Category2","Technical Institutes")</f>
        <v>0</v>
      </c>
      <c r="K491" s="141">
        <f t="shared" si="75"/>
        <v>0</v>
      </c>
      <c r="L491" s="62">
        <f>+GETPIVOTDATA(" New Single Rnk avg",'Averages Pivot Table'!$A$3,"State","AR","Category2","Technical Institutes")</f>
        <v>0</v>
      </c>
      <c r="M491" s="229">
        <f t="shared" si="76"/>
        <v>0</v>
      </c>
      <c r="N491" s="62">
        <f>+GETPIVOTDATA(" New All Ranks avg",'Averages Pivot Table'!$A$3,"State","AR","Category2","Technical Institutes")</f>
        <v>0</v>
      </c>
      <c r="O491" s="229">
        <f t="shared" si="77"/>
        <v>0</v>
      </c>
    </row>
    <row r="492" spans="1:19" ht="12.95" customHeight="1">
      <c r="A492" s="12" t="s">
        <v>558</v>
      </c>
      <c r="B492" s="62">
        <f>+GETPIVOTDATA(" New Prof avg",'Averages Pivot Table'!$A$3,"State","DE","Category2","Technical Institutes")</f>
        <v>0</v>
      </c>
      <c r="C492" s="141">
        <f t="shared" si="78"/>
        <v>0</v>
      </c>
      <c r="D492" s="62">
        <f>+GETPIVOTDATA(" New Asc. avg",'Averages Pivot Table'!$A$3,"State","DE","Category2","Technical Institutes")</f>
        <v>0</v>
      </c>
      <c r="E492" s="141">
        <f t="shared" si="78"/>
        <v>0</v>
      </c>
      <c r="F492" s="62">
        <f>+GETPIVOTDATA(" New Ast. avg",'Averages Pivot Table'!$A$3,"State","DE","Category2","Technical Institutes")</f>
        <v>0</v>
      </c>
      <c r="G492" s="141">
        <f t="shared" si="73"/>
        <v>0</v>
      </c>
      <c r="H492" s="62">
        <f>+GETPIVOTDATA(" New Inst. avg",'Averages Pivot Table'!$A$3,"State","DE","Category2","Technical Institutes")</f>
        <v>0</v>
      </c>
      <c r="I492" s="229">
        <f t="shared" si="74"/>
        <v>0</v>
      </c>
      <c r="J492" s="62">
        <f>+GETPIVOTDATA(" New Undesg. avg",'Averages Pivot Table'!$A$3,"State","DE","Category2","Technical Institutes")</f>
        <v>0</v>
      </c>
      <c r="K492" s="141">
        <f t="shared" si="75"/>
        <v>0</v>
      </c>
      <c r="L492" s="62">
        <f>+GETPIVOTDATA(" New Single Rnk avg",'Averages Pivot Table'!$A$3,"State","DE","Category2","Technical Institutes")</f>
        <v>0</v>
      </c>
      <c r="M492" s="229">
        <f t="shared" si="76"/>
        <v>0</v>
      </c>
      <c r="N492" s="62">
        <f>+GETPIVOTDATA(" New All Ranks avg",'Averages Pivot Table'!$A$3,"State","DE","Category2","Technical Institutes")</f>
        <v>0</v>
      </c>
      <c r="O492" s="229">
        <f t="shared" si="77"/>
        <v>0</v>
      </c>
    </row>
    <row r="493" spans="1:19" ht="12.95" customHeight="1">
      <c r="A493" s="12" t="s">
        <v>544</v>
      </c>
      <c r="B493" s="62">
        <f>+GETPIVOTDATA(" New Prof avg",'Averages Pivot Table'!$A$3,"State","FL","Category2","Technical Institutes")</f>
        <v>0</v>
      </c>
      <c r="C493" s="141">
        <f t="shared" si="78"/>
        <v>0</v>
      </c>
      <c r="D493" s="62">
        <f>+GETPIVOTDATA(" New Asc. avg",'Averages Pivot Table'!$A$3,"State","FL","Category2","Technical Institutes")</f>
        <v>0</v>
      </c>
      <c r="E493" s="141">
        <f t="shared" si="78"/>
        <v>0</v>
      </c>
      <c r="F493" s="62">
        <f>+GETPIVOTDATA(" New Ast. avg",'Averages Pivot Table'!$A$3,"State","FL","Category2","Technical Institutes")</f>
        <v>0</v>
      </c>
      <c r="G493" s="141">
        <f t="shared" si="73"/>
        <v>0</v>
      </c>
      <c r="H493" s="62">
        <f>+GETPIVOTDATA(" New Inst. avg",'Averages Pivot Table'!$A$3,"State","FL","Category2","Technical Institutes")</f>
        <v>0</v>
      </c>
      <c r="I493" s="229">
        <f t="shared" si="74"/>
        <v>0</v>
      </c>
      <c r="J493" s="62">
        <f>+GETPIVOTDATA(" New Undesg. avg",'Averages Pivot Table'!$A$3,"State","FL","Category2","Technical Institutes")</f>
        <v>0</v>
      </c>
      <c r="K493" s="141">
        <f t="shared" si="75"/>
        <v>0</v>
      </c>
      <c r="L493" s="62">
        <f>+GETPIVOTDATA(" New Single Rnk avg",'Averages Pivot Table'!$A$3,"State","FL","Category2","Technical Institutes")</f>
        <v>0</v>
      </c>
      <c r="M493" s="229">
        <f t="shared" si="76"/>
        <v>0</v>
      </c>
      <c r="N493" s="62">
        <f>+GETPIVOTDATA(" New All Ranks avg",'Averages Pivot Table'!$A$3,"State","FL","Category2","Technical Institutes")</f>
        <v>0</v>
      </c>
      <c r="O493" s="229">
        <f t="shared" si="77"/>
        <v>0</v>
      </c>
    </row>
    <row r="494" spans="1:19" ht="12.95" customHeight="1">
      <c r="A494" s="12"/>
      <c r="B494" s="62"/>
      <c r="C494" s="141">
        <f t="shared" si="78"/>
        <v>0</v>
      </c>
      <c r="D494" s="62"/>
      <c r="E494" s="141">
        <f t="shared" si="78"/>
        <v>0</v>
      </c>
      <c r="F494" s="62"/>
      <c r="G494" s="141">
        <f t="shared" si="73"/>
        <v>0</v>
      </c>
      <c r="H494" s="62"/>
      <c r="I494" s="229">
        <f t="shared" si="74"/>
        <v>0</v>
      </c>
      <c r="J494" s="62"/>
      <c r="K494" s="141">
        <f t="shared" si="75"/>
        <v>0</v>
      </c>
      <c r="L494" s="62"/>
      <c r="M494" s="229">
        <f t="shared" si="76"/>
        <v>0</v>
      </c>
      <c r="N494" s="62"/>
      <c r="O494" s="229">
        <f t="shared" si="77"/>
        <v>0</v>
      </c>
    </row>
    <row r="495" spans="1:19" ht="12.95" customHeight="1">
      <c r="A495" s="12" t="s">
        <v>545</v>
      </c>
      <c r="B495" s="62">
        <f>+GETPIVOTDATA(" New Prof avg",'Averages Pivot Table'!$A$3,"State","GA","Category2","Technical Institutes")</f>
        <v>0</v>
      </c>
      <c r="C495" s="141">
        <f t="shared" si="78"/>
        <v>0</v>
      </c>
      <c r="D495" s="62">
        <f>+GETPIVOTDATA(" New Asc. avg",'Averages Pivot Table'!$A$3,"State","GA","Category2","Technical Institutes")</f>
        <v>0</v>
      </c>
      <c r="E495" s="141">
        <f t="shared" si="78"/>
        <v>0</v>
      </c>
      <c r="F495" s="62">
        <f>+GETPIVOTDATA(" New Ast. avg",'Averages Pivot Table'!$A$3,"State","GA","Category2","Technical Institutes")</f>
        <v>0</v>
      </c>
      <c r="G495" s="141">
        <f t="shared" si="73"/>
        <v>0</v>
      </c>
      <c r="H495" s="62">
        <f>+GETPIVOTDATA(" New Inst. avg",'Averages Pivot Table'!$A$3,"State","GA","Category2","Technical Institutes")</f>
        <v>0</v>
      </c>
      <c r="I495" s="229">
        <f t="shared" si="74"/>
        <v>0</v>
      </c>
      <c r="J495" s="62">
        <f>+GETPIVOTDATA(" New Undesg. avg",'Averages Pivot Table'!$A$3,"State","GA","Category2","Technical Institutes")</f>
        <v>0</v>
      </c>
      <c r="K495" s="141">
        <f t="shared" si="75"/>
        <v>0</v>
      </c>
      <c r="L495" s="62">
        <f>+GETPIVOTDATA(" New Single Rnk avg",'Averages Pivot Table'!$A$3,"State","GA","Category2","Technical Institutes")</f>
        <v>44217.878427607902</v>
      </c>
      <c r="M495" s="229">
        <f t="shared" si="76"/>
        <v>3</v>
      </c>
      <c r="N495" s="62">
        <f>+GETPIVOTDATA(" New All Ranks avg",'Averages Pivot Table'!$A$3,"State","GA","Category2","Technical Institutes")</f>
        <v>44217.878427607902</v>
      </c>
      <c r="O495" s="229">
        <f t="shared" si="77"/>
        <v>4</v>
      </c>
    </row>
    <row r="496" spans="1:19" ht="12.95" customHeight="1">
      <c r="A496" s="12" t="s">
        <v>546</v>
      </c>
      <c r="B496" s="62">
        <f>+GETPIVOTDATA(" New Prof avg",'Averages Pivot Table'!$A$3,"State","KY","Category2","Technical Institutes")</f>
        <v>63245.396475000001</v>
      </c>
      <c r="C496" s="141">
        <f t="shared" si="78"/>
        <v>1</v>
      </c>
      <c r="D496" s="62">
        <f>+GETPIVOTDATA(" New Asc. avg",'Averages Pivot Table'!$A$3,"State","KY","Category2","Technical Institutes")</f>
        <v>50188.768854545458</v>
      </c>
      <c r="E496" s="141">
        <f t="shared" si="78"/>
        <v>1</v>
      </c>
      <c r="F496" s="62">
        <f>+GETPIVOTDATA(" New Ast. avg",'Averages Pivot Table'!$A$3,"State","KY","Category2","Technical Institutes")</f>
        <v>44668.492733333333</v>
      </c>
      <c r="G496" s="141">
        <f t="shared" si="73"/>
        <v>1</v>
      </c>
      <c r="H496" s="62">
        <f>+GETPIVOTDATA(" New Inst. avg",'Averages Pivot Table'!$A$3,"State","KY","Category2","Technical Institutes")</f>
        <v>37759.07741818182</v>
      </c>
      <c r="I496" s="229">
        <f t="shared" si="74"/>
        <v>2</v>
      </c>
      <c r="J496" s="62">
        <f>+GETPIVOTDATA(" New Undesg. avg",'Averages Pivot Table'!$A$3,"State","KY","Category2","Technical Institutes")</f>
        <v>0</v>
      </c>
      <c r="K496" s="141">
        <f t="shared" si="75"/>
        <v>0</v>
      </c>
      <c r="L496" s="62">
        <f>+GETPIVOTDATA(" New Single Rnk avg",'Averages Pivot Table'!$A$3,"State","KY","Category2","Technical Institutes")</f>
        <v>0</v>
      </c>
      <c r="M496" s="229">
        <f t="shared" si="76"/>
        <v>0</v>
      </c>
      <c r="N496" s="62">
        <f>+GETPIVOTDATA(" New All Ranks avg",'Averages Pivot Table'!$A$3,"State","KY","Category2","Technical Institutes")</f>
        <v>44303.800137777776</v>
      </c>
      <c r="O496" s="229">
        <f t="shared" si="77"/>
        <v>3</v>
      </c>
    </row>
    <row r="497" spans="1:15" ht="12.95" customHeight="1">
      <c r="A497" s="12" t="s">
        <v>547</v>
      </c>
      <c r="B497" s="62">
        <f>+GETPIVOTDATA(" New Prof avg",'Averages Pivot Table'!$A$3,"State","LA","Category2","Technical Institutes")</f>
        <v>0</v>
      </c>
      <c r="C497" s="141">
        <f t="shared" si="78"/>
        <v>0</v>
      </c>
      <c r="D497" s="62">
        <f>+GETPIVOTDATA(" New Asc. avg",'Averages Pivot Table'!$A$3,"State","LA","Category2","Technical Institutes")</f>
        <v>0</v>
      </c>
      <c r="E497" s="141">
        <f t="shared" si="78"/>
        <v>0</v>
      </c>
      <c r="F497" s="62">
        <f>+GETPIVOTDATA(" New Ast. avg",'Averages Pivot Table'!$A$3,"State","LA","Category2","Technical Institutes")</f>
        <v>0</v>
      </c>
      <c r="G497" s="141">
        <f t="shared" si="73"/>
        <v>0</v>
      </c>
      <c r="H497" s="62">
        <f>+GETPIVOTDATA(" New Inst. avg",'Averages Pivot Table'!$A$3,"State","LA","Category2","Technical Institutes")</f>
        <v>40664.338893913038</v>
      </c>
      <c r="I497" s="229">
        <f t="shared" si="74"/>
        <v>1</v>
      </c>
      <c r="J497" s="62">
        <f>+GETPIVOTDATA(" New Undesg. avg",'Averages Pivot Table'!$A$3,"State","LA","Category2","Technical Institutes")</f>
        <v>25000</v>
      </c>
      <c r="K497" s="141">
        <f t="shared" si="75"/>
        <v>1</v>
      </c>
      <c r="L497" s="62">
        <f>+GETPIVOTDATA(" New Single Rnk avg",'Averages Pivot Table'!$A$3,"State","LA","Category2","Technical Institutes")</f>
        <v>34482.075575237992</v>
      </c>
      <c r="M497" s="229">
        <f t="shared" si="76"/>
        <v>5</v>
      </c>
      <c r="N497" s="62">
        <f>+GETPIVOTDATA(" New All Ranks avg",'Averages Pivot Table'!$A$3,"State","LA","Category2","Technical Institutes")</f>
        <v>35588.508076929458</v>
      </c>
      <c r="O497" s="229">
        <f t="shared" si="77"/>
        <v>6</v>
      </c>
    </row>
    <row r="498" spans="1:15" ht="12.95" customHeight="1">
      <c r="A498" s="12" t="s">
        <v>548</v>
      </c>
      <c r="B498" s="62">
        <f>+GETPIVOTDATA(" New Prof avg",'Averages Pivot Table'!$A$3,"State","MD","Category2","Technical Institutes")</f>
        <v>0</v>
      </c>
      <c r="C498" s="141">
        <f t="shared" si="78"/>
        <v>0</v>
      </c>
      <c r="D498" s="62">
        <f>+GETPIVOTDATA(" New Asc. avg",'Averages Pivot Table'!$A$3,"State","MD","Category2","Technical Institutes")</f>
        <v>0</v>
      </c>
      <c r="E498" s="141">
        <f t="shared" si="78"/>
        <v>0</v>
      </c>
      <c r="F498" s="62">
        <f>+GETPIVOTDATA(" New Ast. avg",'Averages Pivot Table'!$A$3,"State","MD","Category2","Technical Institutes")</f>
        <v>0</v>
      </c>
      <c r="G498" s="141">
        <f t="shared" si="73"/>
        <v>0</v>
      </c>
      <c r="H498" s="62">
        <f>+GETPIVOTDATA(" New Inst. avg",'Averages Pivot Table'!$A$3,"State","MD","Category2","Technical Institutes")</f>
        <v>0</v>
      </c>
      <c r="I498" s="229">
        <f t="shared" si="74"/>
        <v>0</v>
      </c>
      <c r="J498" s="62">
        <f>+GETPIVOTDATA(" New Undesg. avg",'Averages Pivot Table'!$A$3,"State","MD","Category2","Technical Institutes")</f>
        <v>0</v>
      </c>
      <c r="K498" s="141">
        <f t="shared" si="75"/>
        <v>0</v>
      </c>
      <c r="L498" s="62">
        <f>+GETPIVOTDATA(" New Single Rnk avg",'Averages Pivot Table'!$A$3,"State","MD","Category2","Technical Institutes")</f>
        <v>0</v>
      </c>
      <c r="M498" s="229">
        <f t="shared" si="76"/>
        <v>0</v>
      </c>
      <c r="N498" s="62">
        <f>+GETPIVOTDATA(" New All Ranks avg",'Averages Pivot Table'!$A$3,"State","MD","Category2","Technical Institutes")</f>
        <v>0</v>
      </c>
      <c r="O498" s="229">
        <f t="shared" si="77"/>
        <v>0</v>
      </c>
    </row>
    <row r="499" spans="1:15" ht="12.95" customHeight="1">
      <c r="A499" s="12"/>
      <c r="B499" s="62"/>
      <c r="C499" s="141">
        <f t="shared" si="78"/>
        <v>0</v>
      </c>
      <c r="D499" s="62"/>
      <c r="E499" s="141">
        <f t="shared" si="78"/>
        <v>0</v>
      </c>
      <c r="F499" s="62"/>
      <c r="G499" s="141">
        <f t="shared" si="73"/>
        <v>0</v>
      </c>
      <c r="H499" s="62"/>
      <c r="I499" s="229">
        <f t="shared" si="74"/>
        <v>0</v>
      </c>
      <c r="J499" s="62"/>
      <c r="K499" s="141">
        <f t="shared" si="75"/>
        <v>0</v>
      </c>
      <c r="L499" s="62"/>
      <c r="M499" s="229">
        <f t="shared" si="76"/>
        <v>0</v>
      </c>
      <c r="N499" s="62"/>
      <c r="O499" s="229">
        <f t="shared" si="77"/>
        <v>0</v>
      </c>
    </row>
    <row r="500" spans="1:15" ht="12.95" customHeight="1">
      <c r="A500" s="12" t="s">
        <v>549</v>
      </c>
      <c r="B500" s="62">
        <f>+GETPIVOTDATA(" New Prof avg",'Averages Pivot Table'!$A$3,"State","MS","Category2","Technical Institutes")</f>
        <v>0</v>
      </c>
      <c r="C500" s="141">
        <f t="shared" si="78"/>
        <v>0</v>
      </c>
      <c r="D500" s="62">
        <f>+GETPIVOTDATA(" New Asc. avg",'Averages Pivot Table'!$A$3,"State","MS","Category2","Technical Institutes")</f>
        <v>0</v>
      </c>
      <c r="E500" s="141">
        <f t="shared" si="78"/>
        <v>0</v>
      </c>
      <c r="F500" s="62">
        <f>+GETPIVOTDATA(" New Ast. avg",'Averages Pivot Table'!$A$3,"State","MS","Category2","Technical Institutes")</f>
        <v>0</v>
      </c>
      <c r="G500" s="141">
        <f t="shared" si="73"/>
        <v>0</v>
      </c>
      <c r="H500" s="62">
        <f>+GETPIVOTDATA(" New Inst. avg",'Averages Pivot Table'!$A$3,"State","MS","Category2","Technical Institutes")</f>
        <v>0</v>
      </c>
      <c r="I500" s="229">
        <f t="shared" si="74"/>
        <v>0</v>
      </c>
      <c r="J500" s="62">
        <f>+GETPIVOTDATA(" New Undesg. avg",'Averages Pivot Table'!$A$3,"State","MS","Category2","Technical Institutes")</f>
        <v>0</v>
      </c>
      <c r="K500" s="141">
        <f t="shared" si="75"/>
        <v>0</v>
      </c>
      <c r="L500" s="62">
        <f>+GETPIVOTDATA(" New Single Rnk avg",'Averages Pivot Table'!$A$3,"State","MS","Category2","Technical Institutes")</f>
        <v>0</v>
      </c>
      <c r="M500" s="229">
        <f t="shared" si="76"/>
        <v>0</v>
      </c>
      <c r="N500" s="62">
        <f>+GETPIVOTDATA(" New All Ranks avg",'Averages Pivot Table'!$A$3,"State","MS","Category2","Technical Institutes")</f>
        <v>0</v>
      </c>
      <c r="O500" s="229">
        <f t="shared" si="77"/>
        <v>0</v>
      </c>
    </row>
    <row r="501" spans="1:15" ht="12.95" customHeight="1">
      <c r="A501" s="12" t="s">
        <v>550</v>
      </c>
      <c r="B501" s="62">
        <f>+GETPIVOTDATA(" New Prof avg",'Averages Pivot Table'!$A$3,"State","NC","Category2","Technical Institutes")</f>
        <v>0</v>
      </c>
      <c r="C501" s="141">
        <f t="shared" si="78"/>
        <v>0</v>
      </c>
      <c r="D501" s="62">
        <f>+GETPIVOTDATA(" New Asc. avg",'Averages Pivot Table'!$A$3,"State","NC","Category2","Technical Institutes")</f>
        <v>0</v>
      </c>
      <c r="E501" s="141">
        <f t="shared" si="78"/>
        <v>0</v>
      </c>
      <c r="F501" s="62">
        <f>+GETPIVOTDATA(" New Ast. avg",'Averages Pivot Table'!$A$3,"State","NC","Category2","Technical Institutes")</f>
        <v>0</v>
      </c>
      <c r="G501" s="141">
        <f t="shared" si="73"/>
        <v>0</v>
      </c>
      <c r="H501" s="62">
        <f>+GETPIVOTDATA(" New Inst. avg",'Averages Pivot Table'!$A$3,"State","NC","Category2","Technical Institutes")</f>
        <v>0</v>
      </c>
      <c r="I501" s="229">
        <f t="shared" si="74"/>
        <v>0</v>
      </c>
      <c r="J501" s="62">
        <f>+GETPIVOTDATA(" New Undesg. avg",'Averages Pivot Table'!$A$3,"State","NC","Category2","Technical Institutes")</f>
        <v>0</v>
      </c>
      <c r="K501" s="141">
        <f t="shared" si="75"/>
        <v>0</v>
      </c>
      <c r="L501" s="62">
        <f>+GETPIVOTDATA(" New Single Rnk avg",'Averages Pivot Table'!$A$3,"State","NC","Category2","Technical Institutes")</f>
        <v>0</v>
      </c>
      <c r="M501" s="229">
        <f t="shared" si="76"/>
        <v>0</v>
      </c>
      <c r="N501" s="62">
        <f>+GETPIVOTDATA(" New All Ranks avg",'Averages Pivot Table'!$A$3,"State","NC","Category2","Technical Institutes")</f>
        <v>0</v>
      </c>
      <c r="O501" s="229">
        <f t="shared" si="77"/>
        <v>0</v>
      </c>
    </row>
    <row r="502" spans="1:15" ht="12.95" customHeight="1">
      <c r="A502" s="12" t="s">
        <v>551</v>
      </c>
      <c r="B502" s="62">
        <f>+GETPIVOTDATA(" New Prof avg",'Averages Pivot Table'!$A$3,"State","OK","Category2","Technical Institutes")</f>
        <v>0</v>
      </c>
      <c r="C502" s="141">
        <f t="shared" si="78"/>
        <v>0</v>
      </c>
      <c r="D502" s="62">
        <f>+GETPIVOTDATA(" New Asc. avg",'Averages Pivot Table'!$A$3,"State","OK","Category2","Technical Institutes")</f>
        <v>0</v>
      </c>
      <c r="E502" s="141">
        <f t="shared" si="78"/>
        <v>0</v>
      </c>
      <c r="F502" s="62">
        <f>+GETPIVOTDATA(" New Ast. avg",'Averages Pivot Table'!$A$3,"State","OK","Category2","Technical Institutes")</f>
        <v>0</v>
      </c>
      <c r="G502" s="141">
        <f t="shared" si="73"/>
        <v>0</v>
      </c>
      <c r="H502" s="62">
        <f>+GETPIVOTDATA(" New Inst. avg",'Averages Pivot Table'!$A$3,"State","OK","Category2","Technical Institutes")</f>
        <v>0</v>
      </c>
      <c r="I502" s="229">
        <f t="shared" si="74"/>
        <v>0</v>
      </c>
      <c r="J502" s="62">
        <f>+GETPIVOTDATA(" New Undesg. avg",'Averages Pivot Table'!$A$3,"State","OK","Category2","Technical Institutes")</f>
        <v>0</v>
      </c>
      <c r="K502" s="141">
        <f t="shared" si="75"/>
        <v>0</v>
      </c>
      <c r="L502" s="62">
        <f>+GETPIVOTDATA(" New Single Rnk avg",'Averages Pivot Table'!$A$3,"State","OK","Category2","Technical Institutes")</f>
        <v>48572.948606145255</v>
      </c>
      <c r="M502" s="229">
        <f t="shared" si="76"/>
        <v>2</v>
      </c>
      <c r="N502" s="62">
        <f>+GETPIVOTDATA(" New All Ranks avg",'Averages Pivot Table'!$A$3,"State","OK","Category2","Technical Institutes")</f>
        <v>48572.948606145255</v>
      </c>
      <c r="O502" s="229">
        <f t="shared" si="77"/>
        <v>2</v>
      </c>
    </row>
    <row r="503" spans="1:15" ht="12.95" customHeight="1">
      <c r="A503" s="12" t="s">
        <v>552</v>
      </c>
      <c r="B503" s="62">
        <f>+GETPIVOTDATA(" New Prof avg",'Averages Pivot Table'!$A$3,"State","SC","Category2","Technical Institutes")</f>
        <v>0</v>
      </c>
      <c r="C503" s="141">
        <f t="shared" si="78"/>
        <v>0</v>
      </c>
      <c r="D503" s="62">
        <f>+GETPIVOTDATA(" New Asc. avg",'Averages Pivot Table'!$A$3,"State","SC","Category2","Technical Institutes")</f>
        <v>0</v>
      </c>
      <c r="E503" s="141">
        <f t="shared" si="78"/>
        <v>0</v>
      </c>
      <c r="F503" s="62">
        <f>+GETPIVOTDATA(" New Ast. avg",'Averages Pivot Table'!$A$3,"State","SC","Category2","Technical Institutes")</f>
        <v>0</v>
      </c>
      <c r="G503" s="141">
        <f t="shared" si="73"/>
        <v>0</v>
      </c>
      <c r="H503" s="62">
        <f>+GETPIVOTDATA(" New Inst. avg",'Averages Pivot Table'!$A$3,"State","SC","Category2","Technical Institutes")</f>
        <v>0</v>
      </c>
      <c r="I503" s="229">
        <f t="shared" si="74"/>
        <v>0</v>
      </c>
      <c r="J503" s="62">
        <f>+GETPIVOTDATA(" New Undesg. avg",'Averages Pivot Table'!$A$3,"State","SC","Category2","Technical Institutes")</f>
        <v>0</v>
      </c>
      <c r="K503" s="141">
        <f t="shared" si="75"/>
        <v>0</v>
      </c>
      <c r="L503" s="62">
        <f>+GETPIVOTDATA(" New Single Rnk avg",'Averages Pivot Table'!$A$3,"State","SC","Category2","Technical Institutes")</f>
        <v>0</v>
      </c>
      <c r="M503" s="229">
        <f t="shared" si="76"/>
        <v>0</v>
      </c>
      <c r="N503" s="62">
        <f>+GETPIVOTDATA(" New All Ranks avg",'Averages Pivot Table'!$A$3,"State","SC","Category2","Technical Institutes")</f>
        <v>0</v>
      </c>
      <c r="O503" s="229">
        <f t="shared" si="77"/>
        <v>0</v>
      </c>
    </row>
    <row r="504" spans="1:15" ht="12.95" customHeight="1">
      <c r="A504" s="12"/>
      <c r="B504" s="62"/>
      <c r="C504" s="141">
        <f t="shared" si="78"/>
        <v>0</v>
      </c>
      <c r="D504" s="62"/>
      <c r="E504" s="141">
        <f t="shared" si="78"/>
        <v>0</v>
      </c>
      <c r="F504" s="62"/>
      <c r="G504" s="141">
        <f t="shared" si="73"/>
        <v>0</v>
      </c>
      <c r="H504" s="62"/>
      <c r="I504" s="229">
        <f t="shared" si="74"/>
        <v>0</v>
      </c>
      <c r="J504" s="62"/>
      <c r="K504" s="141">
        <f t="shared" si="75"/>
        <v>0</v>
      </c>
      <c r="L504" s="62"/>
      <c r="M504" s="229">
        <f t="shared" si="76"/>
        <v>0</v>
      </c>
      <c r="N504" s="62"/>
      <c r="O504" s="229">
        <f t="shared" si="77"/>
        <v>0</v>
      </c>
    </row>
    <row r="505" spans="1:15" ht="12.95" customHeight="1">
      <c r="A505" s="12" t="s">
        <v>553</v>
      </c>
      <c r="B505" s="140">
        <f>+GETPIVOTDATA(" New Prof avg",'Averages Pivot Table'!$A$3,"State","TN","Category2","Technical Institutes")</f>
        <v>0</v>
      </c>
      <c r="C505" s="141">
        <f t="shared" si="78"/>
        <v>0</v>
      </c>
      <c r="D505" s="140">
        <f>+GETPIVOTDATA(" New Asc. avg",'Averages Pivot Table'!$A$3,"State","TN","Category2","Technical Institutes")</f>
        <v>0</v>
      </c>
      <c r="E505" s="141">
        <f t="shared" si="78"/>
        <v>0</v>
      </c>
      <c r="F505" s="140">
        <f>+GETPIVOTDATA(" New Ast. avg",'Averages Pivot Table'!$A$3,"State","TN","Category2","Technical Institutes")</f>
        <v>0</v>
      </c>
      <c r="G505" s="141">
        <f t="shared" si="73"/>
        <v>0</v>
      </c>
      <c r="H505" s="140">
        <f>+GETPIVOTDATA(" New Inst. avg",'Averages Pivot Table'!$A$3,"State","TN","Category2","Technical Institutes")</f>
        <v>0</v>
      </c>
      <c r="I505" s="229">
        <f t="shared" si="74"/>
        <v>0</v>
      </c>
      <c r="J505" s="140">
        <f>+GETPIVOTDATA(" New Undesg. avg",'Averages Pivot Table'!$A$3,"State","TN","Category2","Technical Institutes")</f>
        <v>0</v>
      </c>
      <c r="K505" s="141">
        <f t="shared" si="75"/>
        <v>0</v>
      </c>
      <c r="L505" s="140">
        <f>+GETPIVOTDATA(" New Single Rnk avg",'Averages Pivot Table'!$A$3,"State","TN","Category2","Technical Institutes")</f>
        <v>37686.683148729797</v>
      </c>
      <c r="M505" s="229">
        <f t="shared" si="76"/>
        <v>4</v>
      </c>
      <c r="N505" s="62">
        <f>+GETPIVOTDATA(" New All Ranks avg",'Averages Pivot Table'!$A$3,"State","TN","Category2","Technical Institutes")</f>
        <v>37686.683148729797</v>
      </c>
      <c r="O505" s="229">
        <f t="shared" si="77"/>
        <v>5</v>
      </c>
    </row>
    <row r="506" spans="1:15" ht="12.95" customHeight="1">
      <c r="A506" s="12" t="s">
        <v>554</v>
      </c>
      <c r="B506" s="140">
        <f>+GETPIVOTDATA(" New Prof avg",'Averages Pivot Table'!$A$3,"State","TX","Category2","Technical Institutes")</f>
        <v>0</v>
      </c>
      <c r="C506" s="141">
        <f t="shared" si="78"/>
        <v>0</v>
      </c>
      <c r="D506" s="140">
        <f>+GETPIVOTDATA(" New Asc. avg",'Averages Pivot Table'!$A$3,"State","TX","Category2","Technical Institutes")</f>
        <v>0</v>
      </c>
      <c r="E506" s="141">
        <f t="shared" si="78"/>
        <v>0</v>
      </c>
      <c r="F506" s="140">
        <f>+GETPIVOTDATA(" New Ast. avg",'Averages Pivot Table'!$A$3,"State","TX","Category2","Technical Institutes")</f>
        <v>0</v>
      </c>
      <c r="G506" s="141">
        <f t="shared" si="73"/>
        <v>0</v>
      </c>
      <c r="H506" s="140">
        <f>+GETPIVOTDATA(" New Inst. avg",'Averages Pivot Table'!$A$3,"State","TX","Category2","Technical Institutes")</f>
        <v>0</v>
      </c>
      <c r="I506" s="229">
        <f t="shared" si="74"/>
        <v>0</v>
      </c>
      <c r="J506" s="140">
        <f>+GETPIVOTDATA(" New Undesg. avg",'Averages Pivot Table'!$A$3,"State","TX","Category2","Technical Institutes")</f>
        <v>0</v>
      </c>
      <c r="K506" s="141">
        <f t="shared" si="75"/>
        <v>0</v>
      </c>
      <c r="L506" s="140">
        <f>+GETPIVOTDATA(" New Single Rnk avg",'Averages Pivot Table'!$A$3,"State","TX","Category2","Technical Institutes")</f>
        <v>0</v>
      </c>
      <c r="M506" s="229">
        <f t="shared" si="76"/>
        <v>0</v>
      </c>
      <c r="N506" s="62">
        <f>+GETPIVOTDATA(" New All Ranks avg",'Averages Pivot Table'!$A$3,"State","TX","Category2","Technical Institutes")</f>
        <v>0</v>
      </c>
      <c r="O506" s="229">
        <f t="shared" si="77"/>
        <v>0</v>
      </c>
    </row>
    <row r="507" spans="1:15" ht="12.95" customHeight="1">
      <c r="A507" s="12" t="s">
        <v>555</v>
      </c>
      <c r="B507" s="140">
        <f>+GETPIVOTDATA(" New Prof avg",'Averages Pivot Table'!$A$3,"State","VA","Category2","Technical Institutes")</f>
        <v>0</v>
      </c>
      <c r="C507" s="141">
        <f t="shared" si="78"/>
        <v>0</v>
      </c>
      <c r="D507" s="140">
        <f>+GETPIVOTDATA(" New Asc. avg",'Averages Pivot Table'!$A$3,"State","VA","Category2","Technical Institutes")</f>
        <v>0</v>
      </c>
      <c r="E507" s="141">
        <f t="shared" si="78"/>
        <v>0</v>
      </c>
      <c r="F507" s="140">
        <f>+GETPIVOTDATA(" New Ast. avg",'Averages Pivot Table'!$A$3,"State","VA","Category2","Technical Institutes")</f>
        <v>0</v>
      </c>
      <c r="G507" s="141">
        <f t="shared" si="73"/>
        <v>0</v>
      </c>
      <c r="H507" s="140">
        <f>+GETPIVOTDATA(" New Inst. avg",'Averages Pivot Table'!$A$3,"State","VA","Category2","Technical Institutes")</f>
        <v>0</v>
      </c>
      <c r="I507" s="229">
        <f t="shared" si="74"/>
        <v>0</v>
      </c>
      <c r="J507" s="140">
        <f>+GETPIVOTDATA(" New Undesg. avg",'Averages Pivot Table'!$A$3,"State","VA","Category2","Technical Institutes")</f>
        <v>0</v>
      </c>
      <c r="K507" s="141">
        <f t="shared" si="75"/>
        <v>0</v>
      </c>
      <c r="L507" s="140">
        <f>+GETPIVOTDATA(" New Single Rnk avg",'Averages Pivot Table'!$A$3,"State","VA","Category2","Technical Institutes")</f>
        <v>0</v>
      </c>
      <c r="M507" s="229">
        <f t="shared" si="76"/>
        <v>0</v>
      </c>
      <c r="N507" s="62">
        <f>+GETPIVOTDATA(" New All Ranks avg",'Averages Pivot Table'!$A$3,"State","VA","Category2","Technical Institutes")</f>
        <v>0</v>
      </c>
      <c r="O507" s="229">
        <f t="shared" si="77"/>
        <v>0</v>
      </c>
    </row>
    <row r="508" spans="1:15" ht="12.95" customHeight="1">
      <c r="A508" s="11" t="s">
        <v>556</v>
      </c>
      <c r="B508" s="64">
        <f>+GETPIVOTDATA(" New Prof avg",'Averages Pivot Table'!$A$3,"State","WV","Category2","Technical Institutes")</f>
        <v>0</v>
      </c>
      <c r="C508" s="65">
        <f t="shared" si="78"/>
        <v>0</v>
      </c>
      <c r="D508" s="64">
        <f>+GETPIVOTDATA(" New Asc. avg",'Averages Pivot Table'!$A$3,"State","WV","Category2","Technical Institutes")</f>
        <v>0</v>
      </c>
      <c r="E508" s="65">
        <f t="shared" si="78"/>
        <v>0</v>
      </c>
      <c r="F508" s="64">
        <f>+GETPIVOTDATA(" New Ast. avg",'Averages Pivot Table'!$A$3,"State","WV","Category2","Technical Institutes")</f>
        <v>0</v>
      </c>
      <c r="G508" s="65">
        <f t="shared" si="73"/>
        <v>0</v>
      </c>
      <c r="H508" s="64">
        <f>+GETPIVOTDATA(" New Inst. avg",'Averages Pivot Table'!$A$3,"State","WV","Category2","Technical Institutes")</f>
        <v>0</v>
      </c>
      <c r="I508" s="230">
        <f t="shared" si="74"/>
        <v>0</v>
      </c>
      <c r="J508" s="64">
        <f>+GETPIVOTDATA(" New Undesg. avg",'Averages Pivot Table'!$A$3,"State","WV","Category2","Technical Institutes")</f>
        <v>0</v>
      </c>
      <c r="K508" s="65">
        <f t="shared" si="75"/>
        <v>0</v>
      </c>
      <c r="L508" s="64">
        <f>+GETPIVOTDATA(" New Single Rnk avg",'Averages Pivot Table'!$A$3,"State","WV","Category2","Technical Institutes")</f>
        <v>0</v>
      </c>
      <c r="M508" s="230">
        <f t="shared" si="76"/>
        <v>0</v>
      </c>
      <c r="N508" s="64">
        <f>+GETPIVOTDATA(" New All Ranks avg",'Averages Pivot Table'!$A$3,"State","WV","Category2","Technical Institutes")</f>
        <v>0</v>
      </c>
      <c r="O508" s="230">
        <f t="shared" si="77"/>
        <v>0</v>
      </c>
    </row>
    <row r="509" spans="1:15" ht="30" customHeight="1">
      <c r="A509" s="508" t="s">
        <v>425</v>
      </c>
      <c r="B509" s="508"/>
      <c r="C509" s="508"/>
      <c r="D509" s="508"/>
      <c r="E509" s="508"/>
      <c r="F509" s="508"/>
      <c r="G509" s="508"/>
      <c r="H509" s="508"/>
      <c r="I509" s="508"/>
      <c r="J509" s="508"/>
      <c r="K509" s="508"/>
      <c r="L509" s="508"/>
      <c r="M509" s="508"/>
      <c r="N509" s="508"/>
      <c r="O509" s="508"/>
    </row>
    <row r="510" spans="1:15">
      <c r="O510" s="487" t="s">
        <v>1000</v>
      </c>
    </row>
    <row r="511" spans="1:15" ht="18">
      <c r="A511" s="504" t="s">
        <v>581</v>
      </c>
      <c r="B511" s="504"/>
      <c r="C511" s="504"/>
      <c r="D511" s="504"/>
      <c r="E511" s="504"/>
      <c r="F511" s="504"/>
      <c r="G511" s="504"/>
      <c r="H511" s="504"/>
      <c r="I511" s="504"/>
      <c r="J511" s="504"/>
      <c r="K511" s="504"/>
      <c r="L511" s="504"/>
      <c r="M511" s="504"/>
      <c r="N511" s="504"/>
      <c r="O511" s="504"/>
    </row>
    <row r="512" spans="1:15">
      <c r="A512" s="23"/>
      <c r="B512" s="5"/>
      <c r="C512" s="5"/>
      <c r="D512" s="5"/>
      <c r="E512" s="5"/>
      <c r="F512" s="5"/>
      <c r="G512" s="5"/>
      <c r="H512" s="5"/>
      <c r="I512" s="172"/>
      <c r="J512" s="5"/>
      <c r="K512" s="5"/>
      <c r="L512" s="5"/>
      <c r="M512" s="172"/>
      <c r="N512" s="5"/>
      <c r="O512" s="172"/>
    </row>
    <row r="513" spans="1:19">
      <c r="A513" s="505" t="s">
        <v>557</v>
      </c>
      <c r="B513" s="505"/>
      <c r="C513" s="505"/>
      <c r="D513" s="505"/>
      <c r="E513" s="505"/>
      <c r="F513" s="505"/>
      <c r="G513" s="505"/>
      <c r="H513" s="505"/>
      <c r="I513" s="505"/>
      <c r="J513" s="505"/>
      <c r="K513" s="505"/>
      <c r="L513" s="505"/>
      <c r="M513" s="505"/>
      <c r="N513" s="505"/>
      <c r="O513" s="505"/>
    </row>
    <row r="514" spans="1:19">
      <c r="A514" s="505" t="s">
        <v>43</v>
      </c>
      <c r="B514" s="505"/>
      <c r="C514" s="505"/>
      <c r="D514" s="505"/>
      <c r="E514" s="505"/>
      <c r="F514" s="505"/>
      <c r="G514" s="505"/>
      <c r="H514" s="505"/>
      <c r="I514" s="505"/>
      <c r="J514" s="505"/>
      <c r="K514" s="505"/>
      <c r="L514" s="505"/>
      <c r="M514" s="505"/>
      <c r="N514" s="505"/>
      <c r="O514" s="505"/>
    </row>
    <row r="515" spans="1:19">
      <c r="A515" s="12"/>
      <c r="B515" s="5"/>
      <c r="C515" s="5"/>
      <c r="D515" s="5"/>
      <c r="E515" s="5"/>
      <c r="F515" s="5"/>
      <c r="G515" s="5"/>
      <c r="H515" s="5"/>
      <c r="I515" s="172"/>
      <c r="J515" s="5"/>
      <c r="K515" s="5"/>
      <c r="L515" s="5"/>
      <c r="M515" s="172"/>
      <c r="N515" s="5"/>
      <c r="O515" s="172"/>
    </row>
    <row r="516" spans="1:19" ht="31.5" customHeight="1">
      <c r="A516" s="15"/>
      <c r="B516" s="21" t="s">
        <v>435</v>
      </c>
      <c r="C516" s="22"/>
      <c r="D516" s="152" t="s">
        <v>436</v>
      </c>
      <c r="E516" s="153"/>
      <c r="F516" s="152" t="s">
        <v>437</v>
      </c>
      <c r="G516" s="153"/>
      <c r="H516" s="21" t="s">
        <v>438</v>
      </c>
      <c r="I516" s="253"/>
      <c r="J516" s="152" t="s">
        <v>584</v>
      </c>
      <c r="K516" s="153"/>
      <c r="L516" s="22" t="s">
        <v>413</v>
      </c>
      <c r="M516" s="253"/>
      <c r="N516" s="22" t="s">
        <v>415</v>
      </c>
      <c r="O516" s="253"/>
    </row>
    <row r="517" spans="1:19">
      <c r="A517" s="25"/>
      <c r="B517" s="19" t="s">
        <v>439</v>
      </c>
      <c r="C517" s="18" t="s">
        <v>530</v>
      </c>
      <c r="D517" s="19" t="s">
        <v>439</v>
      </c>
      <c r="E517" s="18" t="s">
        <v>530</v>
      </c>
      <c r="F517" s="19" t="s">
        <v>439</v>
      </c>
      <c r="G517" s="18" t="s">
        <v>530</v>
      </c>
      <c r="H517" s="19" t="s">
        <v>439</v>
      </c>
      <c r="I517" s="254" t="s">
        <v>530</v>
      </c>
      <c r="J517" s="19" t="s">
        <v>439</v>
      </c>
      <c r="K517" s="18" t="s">
        <v>530</v>
      </c>
      <c r="L517" s="19" t="s">
        <v>439</v>
      </c>
      <c r="M517" s="254" t="s">
        <v>530</v>
      </c>
      <c r="N517" s="19" t="s">
        <v>439</v>
      </c>
      <c r="O517" s="254" t="s">
        <v>530</v>
      </c>
    </row>
    <row r="518" spans="1:19" s="168" customFormat="1" ht="18" customHeight="1">
      <c r="A518" s="181" t="s">
        <v>559</v>
      </c>
      <c r="B518" s="185">
        <f>+GETPIVOTDATA(" New Prof avg",'Averages Pivot Table'!$A$3,"Category",12,"Category2","Technical Institutes")</f>
        <v>63245.396475000001</v>
      </c>
      <c r="C518" s="185"/>
      <c r="D518" s="185">
        <f>+GETPIVOTDATA(" New Asc. avg",'Averages Pivot Table'!$A$3,"Category",12,"Category2","Technical Institutes")</f>
        <v>50188.768854545458</v>
      </c>
      <c r="E518" s="185"/>
      <c r="F518" s="185">
        <f>+GETPIVOTDATA(" New Ast. avg",'Averages Pivot Table'!$A$3,"Category",12,"Category2","Technical Institutes")</f>
        <v>44668.492733333333</v>
      </c>
      <c r="G518" s="185"/>
      <c r="H518" s="185">
        <f>+GETPIVOTDATA(" New Inst. avg",'Averages Pivot Table'!$A$3,"Category",12,"Category2","Technical Institutes")</f>
        <v>40363.982195238095</v>
      </c>
      <c r="I518" s="257"/>
      <c r="J518" s="185">
        <f>+GETPIVOTDATA(" New Undesg. avg",'Averages Pivot Table'!$A$3,"Category",12,"Category2","Technical Institutes")</f>
        <v>0</v>
      </c>
      <c r="K518" s="185"/>
      <c r="L518" s="185">
        <f>+GETPIVOTDATA(" New Single Rnk avg",'Averages Pivot Table'!$A$3,"Category",12,"Category2","Technical Institutes")</f>
        <v>45839.492787694966</v>
      </c>
      <c r="M518" s="257"/>
      <c r="N518" s="185">
        <f>+GETPIVOTDATA(" New All Ranks avg",'Averages Pivot Table'!$A$3,"Category",12,"Category2","Technical Institutes")</f>
        <v>45659.377434844864</v>
      </c>
      <c r="O518" s="244"/>
      <c r="Q518" s="209"/>
      <c r="R518" s="209"/>
      <c r="S518" s="209"/>
    </row>
    <row r="519" spans="1:19" ht="12.95" customHeight="1">
      <c r="A519" s="12"/>
      <c r="B519" s="9"/>
      <c r="C519" s="17"/>
      <c r="D519" s="9"/>
      <c r="E519" s="17"/>
      <c r="F519" s="9"/>
      <c r="G519" s="17"/>
      <c r="H519" s="9"/>
      <c r="I519" s="261"/>
      <c r="J519" s="9"/>
      <c r="K519" s="17"/>
      <c r="L519" s="9"/>
      <c r="M519" s="261"/>
      <c r="N519" s="9"/>
      <c r="O519" s="245"/>
    </row>
    <row r="520" spans="1:19" ht="12.95" customHeight="1">
      <c r="A520" s="12" t="s">
        <v>542</v>
      </c>
      <c r="B520" s="62">
        <f>+GETPIVOTDATA(" New Prof avg",'Averages Pivot Table'!$A$3,"State","AL","Category",12,"Category2","Technical Institutes")</f>
        <v>0</v>
      </c>
      <c r="C520" s="141">
        <f>IF(B520&gt;0,(RANK(B520,B$520:B$538)),0)</f>
        <v>0</v>
      </c>
      <c r="D520" s="62">
        <f>+GETPIVOTDATA(" New Asc. avg",'Averages Pivot Table'!$A$3,"State","AL","Category",12,"Category2","Technical Institutes")</f>
        <v>0</v>
      </c>
      <c r="E520" s="141">
        <f>IF(D520&gt;0,(RANK(D520,D$520:D$538)),0)</f>
        <v>0</v>
      </c>
      <c r="F520" s="62">
        <f>+GETPIVOTDATA(" New Ast. avg",'Averages Pivot Table'!$A$3,"State","AL","Category",12,"Category2","Technical Institutes")</f>
        <v>0</v>
      </c>
      <c r="G520" s="141">
        <f t="shared" ref="G520:G538" si="79">IF(F520&gt;0,(RANK(F520,F$520:F$538)),0)</f>
        <v>0</v>
      </c>
      <c r="H520" s="62">
        <f>+GETPIVOTDATA(" New Inst. avg",'Averages Pivot Table'!$A$3,"State","AL","Category",12,"Category2","Technical Institutes")</f>
        <v>0</v>
      </c>
      <c r="I520" s="229">
        <f t="shared" ref="I520:I538" si="80">IF(H520&gt;0,(RANK(H520,H$520:H$538)),0)</f>
        <v>0</v>
      </c>
      <c r="J520" s="62">
        <f>+GETPIVOTDATA(" New Undesg. avg",'Averages Pivot Table'!$A$3,"State","AL","Category",12,"Category2","Technical Institutes")</f>
        <v>0</v>
      </c>
      <c r="K520" s="141">
        <f t="shared" ref="K520:K538" si="81">IF(J520&gt;0,(RANK(J520,J$520:J$538)),0)</f>
        <v>0</v>
      </c>
      <c r="L520" s="62">
        <f>+GETPIVOTDATA(" New Single Rnk avg",'Averages Pivot Table'!$A$3,"State","AL","Category",12,"Category2","Technical Institutes")</f>
        <v>54893.849078787876</v>
      </c>
      <c r="M520" s="229">
        <f t="shared" ref="M520:M538" si="82">IF(L520&gt;0,(RANK(L520,L$520:L$538)),0)</f>
        <v>1</v>
      </c>
      <c r="N520" s="62">
        <f>+GETPIVOTDATA(" New All Ranks avg",'Averages Pivot Table'!$A$3,"State","AL","Category",12,"Category2","Technical Institutes")</f>
        <v>54893.849078787876</v>
      </c>
      <c r="O520" s="229">
        <f t="shared" ref="O520:O538" si="83">IF(N520&gt;0,(RANK(N520,N$520:N$538)),0)</f>
        <v>1</v>
      </c>
    </row>
    <row r="521" spans="1:19" ht="12.95" customHeight="1">
      <c r="A521" s="12" t="s">
        <v>543</v>
      </c>
      <c r="B521" s="62">
        <f>+GETPIVOTDATA(" New Prof avg",'Averages Pivot Table'!$A$3,"State","AR","Category",12,"Category2","Technical Institutes")</f>
        <v>0</v>
      </c>
      <c r="C521" s="141">
        <f t="shared" ref="C521:E538" si="84">IF(B521&gt;0,(RANK(B521,B$520:B$538)),0)</f>
        <v>0</v>
      </c>
      <c r="D521" s="62">
        <f>+GETPIVOTDATA(" New Asc. avg",'Averages Pivot Table'!$A$3,"State","AR","Category",12,"Category2","Technical Institutes")</f>
        <v>0</v>
      </c>
      <c r="E521" s="141">
        <f t="shared" si="84"/>
        <v>0</v>
      </c>
      <c r="F521" s="62">
        <f>+GETPIVOTDATA(" New Ast. avg",'Averages Pivot Table'!$A$3,"State","AR","Category",12,"Category2","Technical Institutes")</f>
        <v>0</v>
      </c>
      <c r="G521" s="141">
        <f t="shared" si="79"/>
        <v>0</v>
      </c>
      <c r="H521" s="62">
        <f>+GETPIVOTDATA(" New Inst. avg",'Averages Pivot Table'!$A$3,"State","AR","Category",12,"Category2","Technical Institutes")</f>
        <v>0</v>
      </c>
      <c r="I521" s="229">
        <f t="shared" si="80"/>
        <v>0</v>
      </c>
      <c r="J521" s="62">
        <f>+GETPIVOTDATA(" New Undesg. avg",'Averages Pivot Table'!$A$3,"State","AR","Category",12,"Category2","Technical Institutes")</f>
        <v>0</v>
      </c>
      <c r="K521" s="141">
        <f t="shared" si="81"/>
        <v>0</v>
      </c>
      <c r="L521" s="62">
        <f>+GETPIVOTDATA(" New Single Rnk avg",'Averages Pivot Table'!$A$3,"State","AR","Category",12,"Category2","Technical Institutes")</f>
        <v>0</v>
      </c>
      <c r="M521" s="229">
        <f t="shared" si="82"/>
        <v>0</v>
      </c>
      <c r="N521" s="62">
        <f>+GETPIVOTDATA(" New All Ranks avg",'Averages Pivot Table'!$A$3,"State","AR","Category",12,"Category2","Technical Institutes")</f>
        <v>0</v>
      </c>
      <c r="O521" s="229">
        <f t="shared" si="83"/>
        <v>0</v>
      </c>
    </row>
    <row r="522" spans="1:19" ht="12.95" customHeight="1">
      <c r="A522" s="12" t="s">
        <v>558</v>
      </c>
      <c r="B522" s="62">
        <f>+GETPIVOTDATA(" New Prof avg",'Averages Pivot Table'!$A$3,"State","DE","Category",12,"Category2","Technical Institutes")</f>
        <v>0</v>
      </c>
      <c r="C522" s="141">
        <f t="shared" si="84"/>
        <v>0</v>
      </c>
      <c r="D522" s="62">
        <f>+GETPIVOTDATA(" New Asc. avg",'Averages Pivot Table'!$A$3,"State","DE","Category",12,"Category2","Technical Institutes")</f>
        <v>0</v>
      </c>
      <c r="E522" s="141">
        <f t="shared" si="84"/>
        <v>0</v>
      </c>
      <c r="F522" s="62">
        <f>+GETPIVOTDATA(" New Ast. avg",'Averages Pivot Table'!$A$3,"State","DE","Category",12,"Category2","Technical Institutes")</f>
        <v>0</v>
      </c>
      <c r="G522" s="141">
        <f t="shared" si="79"/>
        <v>0</v>
      </c>
      <c r="H522" s="62">
        <f>+GETPIVOTDATA(" New Inst. avg",'Averages Pivot Table'!$A$3,"State","DE","Category",12,"Category2","Technical Institutes")</f>
        <v>0</v>
      </c>
      <c r="I522" s="229">
        <f t="shared" si="80"/>
        <v>0</v>
      </c>
      <c r="J522" s="62">
        <f>+GETPIVOTDATA(" New Undesg. avg",'Averages Pivot Table'!$A$3,"State","DE","Category",12,"Category2","Technical Institutes")</f>
        <v>0</v>
      </c>
      <c r="K522" s="141">
        <f t="shared" si="81"/>
        <v>0</v>
      </c>
      <c r="L522" s="62">
        <f>+GETPIVOTDATA(" New Single Rnk avg",'Averages Pivot Table'!$A$3,"State","DE","Category",12,"Category2","Technical Institutes")</f>
        <v>0</v>
      </c>
      <c r="M522" s="229">
        <f t="shared" si="82"/>
        <v>0</v>
      </c>
      <c r="N522" s="62">
        <f>+GETPIVOTDATA(" New All Ranks avg",'Averages Pivot Table'!$A$3,"State","DE","Category",12,"Category2","Technical Institutes")</f>
        <v>0</v>
      </c>
      <c r="O522" s="229">
        <f t="shared" si="83"/>
        <v>0</v>
      </c>
    </row>
    <row r="523" spans="1:19" ht="12.95" customHeight="1">
      <c r="A523" s="12" t="s">
        <v>544</v>
      </c>
      <c r="B523" s="62">
        <f>+GETPIVOTDATA(" New Prof avg",'Averages Pivot Table'!$A$3,"State","FL","Category",12,"Category2","Technical Institutes")</f>
        <v>0</v>
      </c>
      <c r="C523" s="141">
        <f t="shared" si="84"/>
        <v>0</v>
      </c>
      <c r="D523" s="62">
        <f>+GETPIVOTDATA(" New Asc. avg",'Averages Pivot Table'!$A$3,"State","FL","Category",12,"Category2","Technical Institutes")</f>
        <v>0</v>
      </c>
      <c r="E523" s="141">
        <f t="shared" si="84"/>
        <v>0</v>
      </c>
      <c r="F523" s="62">
        <f>+GETPIVOTDATA(" New Ast. avg",'Averages Pivot Table'!$A$3,"State","FL","Category",12,"Category2","Technical Institutes")</f>
        <v>0</v>
      </c>
      <c r="G523" s="141">
        <f t="shared" si="79"/>
        <v>0</v>
      </c>
      <c r="H523" s="62">
        <f>+GETPIVOTDATA(" New Inst. avg",'Averages Pivot Table'!$A$3,"State","FL","Category",12,"Category2","Technical Institutes")</f>
        <v>0</v>
      </c>
      <c r="I523" s="229">
        <f t="shared" si="80"/>
        <v>0</v>
      </c>
      <c r="J523" s="62">
        <f>+GETPIVOTDATA(" New Undesg. avg",'Averages Pivot Table'!$A$3,"State","FL","Category",12,"Category2","Technical Institutes")</f>
        <v>0</v>
      </c>
      <c r="K523" s="141">
        <f t="shared" si="81"/>
        <v>0</v>
      </c>
      <c r="L523" s="62">
        <f>+GETPIVOTDATA(" New Single Rnk avg",'Averages Pivot Table'!$A$3,"State","FL","Category",12,"Category2","Technical Institutes")</f>
        <v>0</v>
      </c>
      <c r="M523" s="229">
        <f t="shared" si="82"/>
        <v>0</v>
      </c>
      <c r="N523" s="62">
        <f>+GETPIVOTDATA(" New All Ranks avg",'Averages Pivot Table'!$A$3,"State","FL","Category",12,"Category2","Technical Institutes")</f>
        <v>0</v>
      </c>
      <c r="O523" s="229">
        <f t="shared" si="83"/>
        <v>0</v>
      </c>
    </row>
    <row r="524" spans="1:19" ht="12.95" customHeight="1">
      <c r="A524" s="12"/>
      <c r="B524" s="62"/>
      <c r="C524" s="141">
        <f t="shared" si="84"/>
        <v>0</v>
      </c>
      <c r="D524" s="62"/>
      <c r="E524" s="141">
        <f t="shared" si="84"/>
        <v>0</v>
      </c>
      <c r="F524" s="62"/>
      <c r="G524" s="141">
        <f t="shared" si="79"/>
        <v>0</v>
      </c>
      <c r="H524" s="62"/>
      <c r="I524" s="229">
        <f t="shared" si="80"/>
        <v>0</v>
      </c>
      <c r="J524" s="62"/>
      <c r="K524" s="141">
        <f t="shared" si="81"/>
        <v>0</v>
      </c>
      <c r="L524" s="62"/>
      <c r="M524" s="229">
        <f t="shared" si="82"/>
        <v>0</v>
      </c>
      <c r="N524" s="62"/>
      <c r="O524" s="229">
        <f t="shared" si="83"/>
        <v>0</v>
      </c>
    </row>
    <row r="525" spans="1:19" ht="12.95" customHeight="1">
      <c r="A525" s="12" t="s">
        <v>545</v>
      </c>
      <c r="B525" s="62">
        <f>+GETPIVOTDATA(" New Prof avg",'Averages Pivot Table'!$A$3,"State","GA","Category",12,"Category2","Technical Institutes")</f>
        <v>0</v>
      </c>
      <c r="C525" s="141">
        <f t="shared" si="84"/>
        <v>0</v>
      </c>
      <c r="D525" s="62">
        <f>+GETPIVOTDATA(" New Asc. avg",'Averages Pivot Table'!$A$3,"State","GA","Category",12,"Category2","Technical Institutes")</f>
        <v>0</v>
      </c>
      <c r="E525" s="141">
        <f t="shared" si="84"/>
        <v>0</v>
      </c>
      <c r="F525" s="62">
        <f>+GETPIVOTDATA(" New Ast. avg",'Averages Pivot Table'!$A$3,"State","GA","Category",12,"Category2","Technical Institutes")</f>
        <v>0</v>
      </c>
      <c r="G525" s="141">
        <f t="shared" si="79"/>
        <v>0</v>
      </c>
      <c r="H525" s="62">
        <f>+GETPIVOTDATA(" New Inst. avg",'Averages Pivot Table'!$A$3,"State","GA","Category",12,"Category2","Technical Institutes")</f>
        <v>0</v>
      </c>
      <c r="I525" s="229">
        <f t="shared" si="80"/>
        <v>0</v>
      </c>
      <c r="J525" s="62">
        <f>+GETPIVOTDATA(" New Undesg. avg",'Averages Pivot Table'!$A$3,"State","GA","Category",12,"Category2","Technical Institutes")</f>
        <v>0</v>
      </c>
      <c r="K525" s="141">
        <f t="shared" si="81"/>
        <v>0</v>
      </c>
      <c r="L525" s="62">
        <f>+GETPIVOTDATA(" New Single Rnk avg",'Averages Pivot Table'!$A$3,"State","GA","Category",12,"Category2","Technical Institutes")</f>
        <v>44695.738556866629</v>
      </c>
      <c r="M525" s="229">
        <f t="shared" si="82"/>
        <v>3</v>
      </c>
      <c r="N525" s="62">
        <f>+GETPIVOTDATA(" New All Ranks avg",'Averages Pivot Table'!$A$3,"State","GA","Category",12,"Category2","Technical Institutes")</f>
        <v>44695.738556866629</v>
      </c>
      <c r="O525" s="229">
        <f t="shared" si="83"/>
        <v>3</v>
      </c>
    </row>
    <row r="526" spans="1:19" ht="12.95" customHeight="1">
      <c r="A526" s="12" t="s">
        <v>546</v>
      </c>
      <c r="B526" s="62">
        <f>+GETPIVOTDATA(" New Prof avg",'Averages Pivot Table'!$A$3,"State","KY","Category",12,"Category2","Technical Institutes")</f>
        <v>63245.396475000001</v>
      </c>
      <c r="C526" s="141">
        <f t="shared" si="84"/>
        <v>1</v>
      </c>
      <c r="D526" s="62">
        <f>+GETPIVOTDATA(" New Asc. avg",'Averages Pivot Table'!$A$3,"State","KY","Category",12,"Category2","Technical Institutes")</f>
        <v>50188.768854545458</v>
      </c>
      <c r="E526" s="141">
        <f t="shared" si="84"/>
        <v>1</v>
      </c>
      <c r="F526" s="62">
        <f>+GETPIVOTDATA(" New Ast. avg",'Averages Pivot Table'!$A$3,"State","KY","Category",12,"Category2","Technical Institutes")</f>
        <v>44668.492733333333</v>
      </c>
      <c r="G526" s="141">
        <f t="shared" si="79"/>
        <v>1</v>
      </c>
      <c r="H526" s="62">
        <f>+GETPIVOTDATA(" New Inst. avg",'Averages Pivot Table'!$A$3,"State","KY","Category",12,"Category2","Technical Institutes")</f>
        <v>37759.07741818182</v>
      </c>
      <c r="I526" s="229">
        <f t="shared" si="80"/>
        <v>2</v>
      </c>
      <c r="J526" s="62">
        <f>+GETPIVOTDATA(" New Undesg. avg",'Averages Pivot Table'!$A$3,"State","KY","Category",12,"Category2","Technical Institutes")</f>
        <v>0</v>
      </c>
      <c r="K526" s="141">
        <f t="shared" si="81"/>
        <v>0</v>
      </c>
      <c r="L526" s="62">
        <f>+GETPIVOTDATA(" New Single Rnk avg",'Averages Pivot Table'!$A$3,"State","KY","Category",12,"Category2","Technical Institutes")</f>
        <v>0</v>
      </c>
      <c r="M526" s="229">
        <f t="shared" si="82"/>
        <v>0</v>
      </c>
      <c r="N526" s="62">
        <f>+GETPIVOTDATA(" New All Ranks avg",'Averages Pivot Table'!$A$3,"State","KY","Category",12,"Category2","Technical Institutes")</f>
        <v>44303.800137777776</v>
      </c>
      <c r="O526" s="229">
        <f t="shared" si="83"/>
        <v>4</v>
      </c>
    </row>
    <row r="527" spans="1:19" ht="12.95" customHeight="1">
      <c r="A527" s="12" t="s">
        <v>547</v>
      </c>
      <c r="B527" s="62">
        <f>+GETPIVOTDATA(" New Prof avg",'Averages Pivot Table'!$A$3,"State","LA","Category",12,"Category2","Technical Institutes")</f>
        <v>0</v>
      </c>
      <c r="C527" s="141">
        <f t="shared" si="84"/>
        <v>0</v>
      </c>
      <c r="D527" s="62">
        <f>+GETPIVOTDATA(" New Asc. avg",'Averages Pivot Table'!$A$3,"State","LA","Category",12,"Category2","Technical Institutes")</f>
        <v>0</v>
      </c>
      <c r="E527" s="141">
        <f t="shared" si="84"/>
        <v>0</v>
      </c>
      <c r="F527" s="62">
        <f>+GETPIVOTDATA(" New Ast. avg",'Averages Pivot Table'!$A$3,"State","LA","Category",12,"Category2","Technical Institutes")</f>
        <v>0</v>
      </c>
      <c r="G527" s="141">
        <f t="shared" si="79"/>
        <v>0</v>
      </c>
      <c r="H527" s="62">
        <f>+GETPIVOTDATA(" New Inst. avg",'Averages Pivot Table'!$A$3,"State","LA","Category",12,"Category2","Technical Institutes")</f>
        <v>42381.866177464792</v>
      </c>
      <c r="I527" s="229">
        <f t="shared" si="80"/>
        <v>1</v>
      </c>
      <c r="J527" s="62">
        <f>+GETPIVOTDATA(" New Undesg. avg",'Averages Pivot Table'!$A$3,"State","LA","Category",12,"Category2","Technical Institutes")</f>
        <v>0</v>
      </c>
      <c r="K527" s="141">
        <f t="shared" si="81"/>
        <v>0</v>
      </c>
      <c r="L527" s="62">
        <f>+GETPIVOTDATA(" New Single Rnk avg",'Averages Pivot Table'!$A$3,"State","LA","Category",12,"Category2","Technical Institutes")</f>
        <v>0</v>
      </c>
      <c r="M527" s="229">
        <f t="shared" si="82"/>
        <v>0</v>
      </c>
      <c r="N527" s="62">
        <f>+GETPIVOTDATA(" New All Ranks avg",'Averages Pivot Table'!$A$3,"State","LA","Category",12,"Category2","Technical Institutes")</f>
        <v>42381.866177464792</v>
      </c>
      <c r="O527" s="229">
        <f t="shared" si="83"/>
        <v>5</v>
      </c>
    </row>
    <row r="528" spans="1:19" ht="12.95" customHeight="1">
      <c r="A528" s="12" t="s">
        <v>548</v>
      </c>
      <c r="B528" s="62">
        <f>+GETPIVOTDATA(" New Prof avg",'Averages Pivot Table'!$A$3,"State","MD","Category",12,"Category2","Technical Institutes")</f>
        <v>0</v>
      </c>
      <c r="C528" s="141">
        <f t="shared" si="84"/>
        <v>0</v>
      </c>
      <c r="D528" s="62">
        <f>+GETPIVOTDATA(" New Asc. avg",'Averages Pivot Table'!$A$3,"State","MD","Category",12,"Category2","Technical Institutes")</f>
        <v>0</v>
      </c>
      <c r="E528" s="141">
        <f t="shared" si="84"/>
        <v>0</v>
      </c>
      <c r="F528" s="62">
        <f>+GETPIVOTDATA(" New Ast. avg",'Averages Pivot Table'!$A$3,"State","MD","Category",12,"Category2","Technical Institutes")</f>
        <v>0</v>
      </c>
      <c r="G528" s="141">
        <f t="shared" si="79"/>
        <v>0</v>
      </c>
      <c r="H528" s="62">
        <f>+GETPIVOTDATA(" New Inst. avg",'Averages Pivot Table'!$A$3,"State","MD","Category",12,"Category2","Technical Institutes")</f>
        <v>0</v>
      </c>
      <c r="I528" s="229">
        <f t="shared" si="80"/>
        <v>0</v>
      </c>
      <c r="J528" s="62">
        <f>+GETPIVOTDATA(" New Undesg. avg",'Averages Pivot Table'!$A$3,"State","MD","Category",12,"Category2","Technical Institutes")</f>
        <v>0</v>
      </c>
      <c r="K528" s="141">
        <f t="shared" si="81"/>
        <v>0</v>
      </c>
      <c r="L528" s="62">
        <f>+GETPIVOTDATA(" New Single Rnk avg",'Averages Pivot Table'!$A$3,"State","MD","Category",12,"Category2","Technical Institutes")</f>
        <v>0</v>
      </c>
      <c r="M528" s="229">
        <f t="shared" si="82"/>
        <v>0</v>
      </c>
      <c r="N528" s="62">
        <f>+GETPIVOTDATA(" New All Ranks avg",'Averages Pivot Table'!$A$3,"State","MD","Category",12,"Category2","Technical Institutes")</f>
        <v>0</v>
      </c>
      <c r="O528" s="229">
        <f t="shared" si="83"/>
        <v>0</v>
      </c>
    </row>
    <row r="529" spans="1:15" ht="12.95" customHeight="1">
      <c r="A529" s="12"/>
      <c r="B529" s="62"/>
      <c r="C529" s="141">
        <f t="shared" si="84"/>
        <v>0</v>
      </c>
      <c r="D529" s="62"/>
      <c r="E529" s="141">
        <f t="shared" si="84"/>
        <v>0</v>
      </c>
      <c r="F529" s="62"/>
      <c r="G529" s="141">
        <f t="shared" si="79"/>
        <v>0</v>
      </c>
      <c r="H529" s="62"/>
      <c r="I529" s="229">
        <f t="shared" si="80"/>
        <v>0</v>
      </c>
      <c r="J529" s="62"/>
      <c r="K529" s="141">
        <f t="shared" si="81"/>
        <v>0</v>
      </c>
      <c r="L529" s="62"/>
      <c r="M529" s="229">
        <f t="shared" si="82"/>
        <v>0</v>
      </c>
      <c r="N529" s="62"/>
      <c r="O529" s="229">
        <f t="shared" si="83"/>
        <v>0</v>
      </c>
    </row>
    <row r="530" spans="1:15" ht="12.95" customHeight="1">
      <c r="A530" s="12" t="s">
        <v>549</v>
      </c>
      <c r="B530" s="62">
        <f>+GETPIVOTDATA(" New Prof avg",'Averages Pivot Table'!$A$3,"State","MS","Category",12,"Category2","Technical Institutes")</f>
        <v>0</v>
      </c>
      <c r="C530" s="141">
        <f t="shared" si="84"/>
        <v>0</v>
      </c>
      <c r="D530" s="62">
        <f>+GETPIVOTDATA(" New Asc. avg",'Averages Pivot Table'!$A$3,"State","MS","Category",12,"Category2","Technical Institutes")</f>
        <v>0</v>
      </c>
      <c r="E530" s="141">
        <f t="shared" si="84"/>
        <v>0</v>
      </c>
      <c r="F530" s="62">
        <f>+GETPIVOTDATA(" New Ast. avg",'Averages Pivot Table'!$A$3,"State","MS","Category",12,"Category2","Technical Institutes")</f>
        <v>0</v>
      </c>
      <c r="G530" s="141">
        <f t="shared" si="79"/>
        <v>0</v>
      </c>
      <c r="H530" s="62">
        <f>+GETPIVOTDATA(" New Inst. avg",'Averages Pivot Table'!$A$3,"State","MS","Category",12,"Category2","Technical Institutes")</f>
        <v>0</v>
      </c>
      <c r="I530" s="229">
        <f t="shared" si="80"/>
        <v>0</v>
      </c>
      <c r="J530" s="62">
        <f>+GETPIVOTDATA(" New Undesg. avg",'Averages Pivot Table'!$A$3,"State","MS","Category",12,"Category2","Technical Institutes")</f>
        <v>0</v>
      </c>
      <c r="K530" s="141">
        <f t="shared" si="81"/>
        <v>0</v>
      </c>
      <c r="L530" s="62">
        <f>+GETPIVOTDATA(" New Single Rnk avg",'Averages Pivot Table'!$A$3,"State","MS","Category",12,"Category2","Technical Institutes")</f>
        <v>0</v>
      </c>
      <c r="M530" s="229">
        <f t="shared" si="82"/>
        <v>0</v>
      </c>
      <c r="N530" s="62">
        <f>+GETPIVOTDATA(" New All Ranks avg",'Averages Pivot Table'!$A$3,"State","MS","Category",12,"Category2","Technical Institutes")</f>
        <v>0</v>
      </c>
      <c r="O530" s="229">
        <f t="shared" si="83"/>
        <v>0</v>
      </c>
    </row>
    <row r="531" spans="1:15" ht="12.95" customHeight="1">
      <c r="A531" s="12" t="s">
        <v>550</v>
      </c>
      <c r="B531" s="62">
        <f>+GETPIVOTDATA(" New Prof avg",'Averages Pivot Table'!$A$3,"State","NC","Category",12,"Category2","Technical Institutes")</f>
        <v>0</v>
      </c>
      <c r="C531" s="141">
        <f t="shared" si="84"/>
        <v>0</v>
      </c>
      <c r="D531" s="62">
        <f>+GETPIVOTDATA(" New Asc. avg",'Averages Pivot Table'!$A$3,"State","NC","Category",12,"Category2","Technical Institutes")</f>
        <v>0</v>
      </c>
      <c r="E531" s="141">
        <f t="shared" si="84"/>
        <v>0</v>
      </c>
      <c r="F531" s="62">
        <f>+GETPIVOTDATA(" New Ast. avg",'Averages Pivot Table'!$A$3,"State","NC","Category",12,"Category2","Technical Institutes")</f>
        <v>0</v>
      </c>
      <c r="G531" s="141">
        <f t="shared" si="79"/>
        <v>0</v>
      </c>
      <c r="H531" s="62">
        <f>+GETPIVOTDATA(" New Inst. avg",'Averages Pivot Table'!$A$3,"State","NC","Category",12,"Category2","Technical Institutes")</f>
        <v>0</v>
      </c>
      <c r="I531" s="229">
        <f t="shared" si="80"/>
        <v>0</v>
      </c>
      <c r="J531" s="62">
        <f>+GETPIVOTDATA(" New Undesg. avg",'Averages Pivot Table'!$A$3,"State","NC","Category",12,"Category2","Technical Institutes")</f>
        <v>0</v>
      </c>
      <c r="K531" s="141">
        <f t="shared" si="81"/>
        <v>0</v>
      </c>
      <c r="L531" s="62">
        <f>+GETPIVOTDATA(" New Single Rnk avg",'Averages Pivot Table'!$A$3,"State","NC","Category",12,"Category2","Technical Institutes")</f>
        <v>0</v>
      </c>
      <c r="M531" s="229">
        <f t="shared" si="82"/>
        <v>0</v>
      </c>
      <c r="N531" s="62">
        <f>+GETPIVOTDATA(" New All Ranks avg",'Averages Pivot Table'!$A$3,"State","NC","Category",12,"Category2","Technical Institutes")</f>
        <v>0</v>
      </c>
      <c r="O531" s="229">
        <f t="shared" si="83"/>
        <v>0</v>
      </c>
    </row>
    <row r="532" spans="1:15" ht="12.95" customHeight="1">
      <c r="A532" s="12" t="s">
        <v>551</v>
      </c>
      <c r="B532" s="62">
        <f>+GETPIVOTDATA(" New Prof avg",'Averages Pivot Table'!$A$3,"State","OK","Category",12,"Category2","Technical Institutes")</f>
        <v>0</v>
      </c>
      <c r="C532" s="141">
        <f t="shared" si="84"/>
        <v>0</v>
      </c>
      <c r="D532" s="62">
        <f>+GETPIVOTDATA(" New Asc. avg",'Averages Pivot Table'!$A$3,"State","OK","Category",12,"Category2","Technical Institutes")</f>
        <v>0</v>
      </c>
      <c r="E532" s="141">
        <f t="shared" si="84"/>
        <v>0</v>
      </c>
      <c r="F532" s="62">
        <f>+GETPIVOTDATA(" New Ast. avg",'Averages Pivot Table'!$A$3,"State","OK","Category",12,"Category2","Technical Institutes")</f>
        <v>0</v>
      </c>
      <c r="G532" s="141">
        <f t="shared" si="79"/>
        <v>0</v>
      </c>
      <c r="H532" s="62">
        <f>+GETPIVOTDATA(" New Inst. avg",'Averages Pivot Table'!$A$3,"State","OK","Category",12,"Category2","Technical Institutes")</f>
        <v>0</v>
      </c>
      <c r="I532" s="229">
        <f t="shared" si="80"/>
        <v>0</v>
      </c>
      <c r="J532" s="62">
        <f>+GETPIVOTDATA(" New Undesg. avg",'Averages Pivot Table'!$A$3,"State","OK","Category",12,"Category2","Technical Institutes")</f>
        <v>0</v>
      </c>
      <c r="K532" s="141">
        <f t="shared" si="81"/>
        <v>0</v>
      </c>
      <c r="L532" s="62">
        <f>+GETPIVOTDATA(" New Single Rnk avg",'Averages Pivot Table'!$A$3,"State","OK","Category",12,"Category2","Technical Institutes")</f>
        <v>53436.669536000001</v>
      </c>
      <c r="M532" s="229">
        <f t="shared" si="82"/>
        <v>2</v>
      </c>
      <c r="N532" s="62">
        <f>+GETPIVOTDATA(" New All Ranks avg",'Averages Pivot Table'!$A$3,"State","OK","Category",12,"Category2","Technical Institutes")</f>
        <v>53436.669536000001</v>
      </c>
      <c r="O532" s="229">
        <f t="shared" si="83"/>
        <v>2</v>
      </c>
    </row>
    <row r="533" spans="1:15" ht="12.95" customHeight="1">
      <c r="A533" s="12" t="s">
        <v>552</v>
      </c>
      <c r="B533" s="62">
        <f>+GETPIVOTDATA(" New Prof avg",'Averages Pivot Table'!$A$3,"State","SC","Category",12,"Category2","Technical Institutes")</f>
        <v>0</v>
      </c>
      <c r="C533" s="141">
        <f t="shared" si="84"/>
        <v>0</v>
      </c>
      <c r="D533" s="62">
        <f>+GETPIVOTDATA(" New Asc. avg",'Averages Pivot Table'!$A$3,"State","SC","Category",12,"Category2","Technical Institutes")</f>
        <v>0</v>
      </c>
      <c r="E533" s="141">
        <f t="shared" si="84"/>
        <v>0</v>
      </c>
      <c r="F533" s="62">
        <f>+GETPIVOTDATA(" New Ast. avg",'Averages Pivot Table'!$A$3,"State","SC","Category",12,"Category2","Technical Institutes")</f>
        <v>0</v>
      </c>
      <c r="G533" s="141">
        <f t="shared" si="79"/>
        <v>0</v>
      </c>
      <c r="H533" s="62">
        <f>+GETPIVOTDATA(" New Inst. avg",'Averages Pivot Table'!$A$3,"State","SC","Category",12,"Category2","Technical Institutes")</f>
        <v>0</v>
      </c>
      <c r="I533" s="229">
        <f t="shared" si="80"/>
        <v>0</v>
      </c>
      <c r="J533" s="62">
        <f>+GETPIVOTDATA(" New Undesg. avg",'Averages Pivot Table'!$A$3,"State","SC","Category",12,"Category2","Technical Institutes")</f>
        <v>0</v>
      </c>
      <c r="K533" s="141">
        <f t="shared" si="81"/>
        <v>0</v>
      </c>
      <c r="L533" s="62">
        <f>+GETPIVOTDATA(" New Single Rnk avg",'Averages Pivot Table'!$A$3,"State","SC","Category",12,"Category2","Technical Institutes")</f>
        <v>0</v>
      </c>
      <c r="M533" s="229">
        <f t="shared" si="82"/>
        <v>0</v>
      </c>
      <c r="N533" s="62">
        <f>+GETPIVOTDATA(" New All Ranks avg",'Averages Pivot Table'!$A$3,"State","SC","Category",12,"Category2","Technical Institutes")</f>
        <v>0</v>
      </c>
      <c r="O533" s="229">
        <f t="shared" si="83"/>
        <v>0</v>
      </c>
    </row>
    <row r="534" spans="1:15" ht="12.95" customHeight="1">
      <c r="A534" s="12"/>
      <c r="B534" s="62"/>
      <c r="C534" s="141">
        <f t="shared" si="84"/>
        <v>0</v>
      </c>
      <c r="D534" s="62"/>
      <c r="E534" s="141">
        <f t="shared" si="84"/>
        <v>0</v>
      </c>
      <c r="F534" s="62"/>
      <c r="G534" s="141">
        <f t="shared" si="79"/>
        <v>0</v>
      </c>
      <c r="H534" s="62"/>
      <c r="I534" s="229">
        <f t="shared" si="80"/>
        <v>0</v>
      </c>
      <c r="J534" s="62"/>
      <c r="K534" s="141">
        <f t="shared" si="81"/>
        <v>0</v>
      </c>
      <c r="L534" s="62"/>
      <c r="M534" s="229">
        <f t="shared" si="82"/>
        <v>0</v>
      </c>
      <c r="N534" s="62"/>
      <c r="O534" s="229">
        <f t="shared" si="83"/>
        <v>0</v>
      </c>
    </row>
    <row r="535" spans="1:15" ht="12.95" customHeight="1">
      <c r="A535" s="12" t="s">
        <v>553</v>
      </c>
      <c r="B535" s="140">
        <f>+GETPIVOTDATA(" New Prof avg",'Averages Pivot Table'!$A$3,"State","TN","Category",12,"Category2","Technical Institutes")</f>
        <v>0</v>
      </c>
      <c r="C535" s="141">
        <f t="shared" si="84"/>
        <v>0</v>
      </c>
      <c r="D535" s="140">
        <f>+GETPIVOTDATA(" New Asc. avg",'Averages Pivot Table'!$A$3,"State","TN","Category",12,"Category2","Technical Institutes")</f>
        <v>0</v>
      </c>
      <c r="E535" s="141">
        <f t="shared" si="84"/>
        <v>0</v>
      </c>
      <c r="F535" s="140">
        <f>+GETPIVOTDATA(" New Ast. avg",'Averages Pivot Table'!$A$3,"State","TN","Category",12,"Category2","Technical Institutes")</f>
        <v>0</v>
      </c>
      <c r="G535" s="141">
        <f t="shared" si="79"/>
        <v>0</v>
      </c>
      <c r="H535" s="140">
        <f>+GETPIVOTDATA(" New Inst. avg",'Averages Pivot Table'!$A$3,"State","TN","Category",12,"Category2","Technical Institutes")</f>
        <v>0</v>
      </c>
      <c r="I535" s="229">
        <f t="shared" si="80"/>
        <v>0</v>
      </c>
      <c r="J535" s="140">
        <f>+GETPIVOTDATA(" New Undesg. avg",'Averages Pivot Table'!$A$3,"State","TN","Category",12,"Category2","Technical Institutes")</f>
        <v>0</v>
      </c>
      <c r="K535" s="141">
        <f t="shared" si="81"/>
        <v>0</v>
      </c>
      <c r="L535" s="140">
        <f>+GETPIVOTDATA(" New Single Rnk avg",'Averages Pivot Table'!$A$3,"State","TN","Category",12,"Category2","Technical Institutes")</f>
        <v>0</v>
      </c>
      <c r="M535" s="229">
        <f t="shared" si="82"/>
        <v>0</v>
      </c>
      <c r="N535" s="62">
        <f>+GETPIVOTDATA(" New All Ranks avg",'Averages Pivot Table'!$A$3,"State","TN","Category",12,"Category2","Technical Institutes")</f>
        <v>0</v>
      </c>
      <c r="O535" s="229">
        <f t="shared" si="83"/>
        <v>0</v>
      </c>
    </row>
    <row r="536" spans="1:15" ht="12.95" customHeight="1">
      <c r="A536" s="12" t="s">
        <v>554</v>
      </c>
      <c r="B536" s="140">
        <f>+GETPIVOTDATA(" New Prof avg",'Averages Pivot Table'!$A$3,"State","TX","Category",12,"Category2","Technical Institutes")</f>
        <v>0</v>
      </c>
      <c r="C536" s="141">
        <f t="shared" si="84"/>
        <v>0</v>
      </c>
      <c r="D536" s="140">
        <f>+GETPIVOTDATA(" New Asc. avg",'Averages Pivot Table'!$A$3,"State","TX","Category",12,"Category2","Technical Institutes")</f>
        <v>0</v>
      </c>
      <c r="E536" s="141">
        <f t="shared" si="84"/>
        <v>0</v>
      </c>
      <c r="F536" s="140">
        <f>+GETPIVOTDATA(" New Ast. avg",'Averages Pivot Table'!$A$3,"State","TX","Category",12,"Category2","Technical Institutes")</f>
        <v>0</v>
      </c>
      <c r="G536" s="141">
        <f t="shared" si="79"/>
        <v>0</v>
      </c>
      <c r="H536" s="140">
        <f>+GETPIVOTDATA(" New Inst. avg",'Averages Pivot Table'!$A$3,"State","TX","Category",12,"Category2","Technical Institutes")</f>
        <v>0</v>
      </c>
      <c r="I536" s="229">
        <f t="shared" si="80"/>
        <v>0</v>
      </c>
      <c r="J536" s="140">
        <f>+GETPIVOTDATA(" New Undesg. avg",'Averages Pivot Table'!$A$3,"State","TX","Category",12,"Category2","Technical Institutes")</f>
        <v>0</v>
      </c>
      <c r="K536" s="141">
        <f t="shared" si="81"/>
        <v>0</v>
      </c>
      <c r="L536" s="140">
        <f>+GETPIVOTDATA(" New Single Rnk avg",'Averages Pivot Table'!$A$3,"State","TX","Category",12,"Category2","Technical Institutes")</f>
        <v>0</v>
      </c>
      <c r="M536" s="229">
        <f t="shared" si="82"/>
        <v>0</v>
      </c>
      <c r="N536" s="62">
        <f>+GETPIVOTDATA(" New All Ranks avg",'Averages Pivot Table'!$A$3,"State","TX","Category",12,"Category2","Technical Institutes")</f>
        <v>0</v>
      </c>
      <c r="O536" s="229">
        <f t="shared" si="83"/>
        <v>0</v>
      </c>
    </row>
    <row r="537" spans="1:15" ht="12.95" customHeight="1">
      <c r="A537" s="12" t="s">
        <v>555</v>
      </c>
      <c r="B537" s="140">
        <f>+GETPIVOTDATA(" New Prof avg",'Averages Pivot Table'!$A$3,"State","VA","Category",12,"Category2","Technical Institutes")</f>
        <v>0</v>
      </c>
      <c r="C537" s="141">
        <f t="shared" si="84"/>
        <v>0</v>
      </c>
      <c r="D537" s="140">
        <f>+GETPIVOTDATA(" New Asc. avg",'Averages Pivot Table'!$A$3,"State","VA","Category",12,"Category2","Technical Institutes")</f>
        <v>0</v>
      </c>
      <c r="E537" s="141">
        <f t="shared" si="84"/>
        <v>0</v>
      </c>
      <c r="F537" s="140">
        <f>+GETPIVOTDATA(" New Ast. avg",'Averages Pivot Table'!$A$3,"State","VA","Category",12,"Category2","Technical Institutes")</f>
        <v>0</v>
      </c>
      <c r="G537" s="141">
        <f t="shared" si="79"/>
        <v>0</v>
      </c>
      <c r="H537" s="140">
        <f>+GETPIVOTDATA(" New Inst. avg",'Averages Pivot Table'!$A$3,"State","VA","Category",12,"Category2","Technical Institutes")</f>
        <v>0</v>
      </c>
      <c r="I537" s="229">
        <f t="shared" si="80"/>
        <v>0</v>
      </c>
      <c r="J537" s="140">
        <f>+GETPIVOTDATA(" New Undesg. avg",'Averages Pivot Table'!$A$3,"State","VA","Category",12,"Category2","Technical Institutes")</f>
        <v>0</v>
      </c>
      <c r="K537" s="141">
        <f t="shared" si="81"/>
        <v>0</v>
      </c>
      <c r="L537" s="140">
        <f>+GETPIVOTDATA(" New Single Rnk avg",'Averages Pivot Table'!$A$3,"State","VA","Category",12,"Category2","Technical Institutes")</f>
        <v>0</v>
      </c>
      <c r="M537" s="229">
        <f t="shared" si="82"/>
        <v>0</v>
      </c>
      <c r="N537" s="62">
        <f>+GETPIVOTDATA(" New All Ranks avg",'Averages Pivot Table'!$A$3,"State","VA","Category",12,"Category2","Technical Institutes")</f>
        <v>0</v>
      </c>
      <c r="O537" s="229">
        <f t="shared" si="83"/>
        <v>0</v>
      </c>
    </row>
    <row r="538" spans="1:15" ht="12.95" customHeight="1">
      <c r="A538" s="11" t="s">
        <v>556</v>
      </c>
      <c r="B538" s="64">
        <f>+GETPIVOTDATA(" New Prof avg",'Averages Pivot Table'!$A$3,"State","WV","Category",12,"Category2","Technical Institutes")</f>
        <v>0</v>
      </c>
      <c r="C538" s="65">
        <f t="shared" si="84"/>
        <v>0</v>
      </c>
      <c r="D538" s="64">
        <f>+GETPIVOTDATA(" New Asc. avg",'Averages Pivot Table'!$A$3,"State","WV","Category",12,"Category2","Technical Institutes")</f>
        <v>0</v>
      </c>
      <c r="E538" s="65">
        <f t="shared" si="84"/>
        <v>0</v>
      </c>
      <c r="F538" s="64">
        <f>+GETPIVOTDATA(" New Ast. avg",'Averages Pivot Table'!$A$3,"State","WV","Category",12,"Category2","Technical Institutes")</f>
        <v>0</v>
      </c>
      <c r="G538" s="65">
        <f t="shared" si="79"/>
        <v>0</v>
      </c>
      <c r="H538" s="64">
        <f>+GETPIVOTDATA(" New Inst. avg",'Averages Pivot Table'!$A$3,"State","WV","Category",12,"Category2","Technical Institutes")</f>
        <v>0</v>
      </c>
      <c r="I538" s="230">
        <f t="shared" si="80"/>
        <v>0</v>
      </c>
      <c r="J538" s="64">
        <f>+GETPIVOTDATA(" New Undesg. avg",'Averages Pivot Table'!$A$3,"State","WV","Category",12,"Category2","Technical Institutes")</f>
        <v>0</v>
      </c>
      <c r="K538" s="65">
        <f t="shared" si="81"/>
        <v>0</v>
      </c>
      <c r="L538" s="64">
        <f>+GETPIVOTDATA(" New Single Rnk avg",'Averages Pivot Table'!$A$3,"State","WV","Category",12,"Category2","Technical Institutes")</f>
        <v>0</v>
      </c>
      <c r="M538" s="230">
        <f t="shared" si="82"/>
        <v>0</v>
      </c>
      <c r="N538" s="64">
        <f>+GETPIVOTDATA(" New All Ranks avg",'Averages Pivot Table'!$A$3,"State","WV","Category",12,"Category2","Technical Institutes")</f>
        <v>0</v>
      </c>
      <c r="O538" s="230">
        <f t="shared" si="83"/>
        <v>0</v>
      </c>
    </row>
    <row r="539" spans="1:15" ht="30" customHeight="1">
      <c r="A539" s="508" t="s">
        <v>425</v>
      </c>
      <c r="B539" s="508"/>
      <c r="C539" s="508"/>
      <c r="D539" s="508"/>
      <c r="E539" s="508"/>
      <c r="F539" s="508"/>
      <c r="G539" s="508"/>
      <c r="H539" s="508"/>
      <c r="I539" s="508"/>
      <c r="J539" s="508"/>
      <c r="K539" s="508"/>
      <c r="L539" s="508"/>
      <c r="M539" s="508"/>
      <c r="N539" s="508"/>
      <c r="O539" s="508"/>
    </row>
    <row r="540" spans="1:15">
      <c r="O540" s="487" t="s">
        <v>1000</v>
      </c>
    </row>
    <row r="541" spans="1:15" ht="18">
      <c r="A541" s="504" t="s">
        <v>582</v>
      </c>
      <c r="B541" s="504"/>
      <c r="C541" s="504"/>
      <c r="D541" s="504"/>
      <c r="E541" s="504"/>
      <c r="F541" s="504"/>
      <c r="G541" s="504"/>
      <c r="H541" s="504"/>
      <c r="I541" s="504"/>
      <c r="J541" s="504"/>
      <c r="K541" s="504"/>
      <c r="L541" s="504"/>
      <c r="M541" s="504"/>
      <c r="N541" s="504"/>
      <c r="O541" s="504"/>
    </row>
    <row r="542" spans="1:15">
      <c r="A542" s="23"/>
      <c r="B542" s="5"/>
      <c r="C542" s="5"/>
      <c r="D542" s="5"/>
      <c r="E542" s="5"/>
      <c r="F542" s="5"/>
      <c r="G542" s="5"/>
      <c r="H542" s="5"/>
      <c r="I542" s="172"/>
      <c r="J542" s="5"/>
      <c r="K542" s="5"/>
      <c r="L542" s="5"/>
      <c r="M542" s="172"/>
      <c r="N542" s="5"/>
      <c r="O542" s="172"/>
    </row>
    <row r="543" spans="1:15">
      <c r="A543" s="505" t="s">
        <v>557</v>
      </c>
      <c r="B543" s="505"/>
      <c r="C543" s="505"/>
      <c r="D543" s="505"/>
      <c r="E543" s="505"/>
      <c r="F543" s="505"/>
      <c r="G543" s="505"/>
      <c r="H543" s="505"/>
      <c r="I543" s="505"/>
      <c r="J543" s="505"/>
      <c r="K543" s="505"/>
      <c r="L543" s="505"/>
      <c r="M543" s="505"/>
      <c r="N543" s="505"/>
      <c r="O543" s="505"/>
    </row>
    <row r="544" spans="1:15">
      <c r="A544" s="505" t="s">
        <v>44</v>
      </c>
      <c r="B544" s="505"/>
      <c r="C544" s="505"/>
      <c r="D544" s="505"/>
      <c r="E544" s="505"/>
      <c r="F544" s="505"/>
      <c r="G544" s="505"/>
      <c r="H544" s="505"/>
      <c r="I544" s="505"/>
      <c r="J544" s="505"/>
      <c r="K544" s="505"/>
      <c r="L544" s="505"/>
      <c r="M544" s="505"/>
      <c r="N544" s="505"/>
      <c r="O544" s="505"/>
    </row>
    <row r="545" spans="1:19">
      <c r="A545" s="12"/>
      <c r="B545" s="5"/>
      <c r="C545" s="5"/>
      <c r="D545" s="5"/>
      <c r="E545" s="5"/>
      <c r="F545" s="5"/>
      <c r="G545" s="5"/>
      <c r="H545" s="5"/>
      <c r="I545" s="172"/>
      <c r="J545" s="5"/>
      <c r="K545" s="5"/>
      <c r="L545" s="5"/>
      <c r="M545" s="172"/>
      <c r="N545" s="5"/>
      <c r="O545" s="172"/>
    </row>
    <row r="546" spans="1:19" ht="31.5" customHeight="1">
      <c r="A546" s="15"/>
      <c r="B546" s="21" t="s">
        <v>435</v>
      </c>
      <c r="C546" s="22"/>
      <c r="D546" s="152" t="s">
        <v>436</v>
      </c>
      <c r="E546" s="153"/>
      <c r="F546" s="152" t="s">
        <v>437</v>
      </c>
      <c r="G546" s="153"/>
      <c r="H546" s="21" t="s">
        <v>438</v>
      </c>
      <c r="I546" s="253"/>
      <c r="J546" s="152" t="s">
        <v>584</v>
      </c>
      <c r="K546" s="153"/>
      <c r="L546" s="22" t="s">
        <v>413</v>
      </c>
      <c r="M546" s="253"/>
      <c r="N546" s="22" t="s">
        <v>415</v>
      </c>
      <c r="O546" s="253"/>
    </row>
    <row r="547" spans="1:19">
      <c r="A547" s="25"/>
      <c r="B547" s="19" t="s">
        <v>439</v>
      </c>
      <c r="C547" s="18" t="s">
        <v>530</v>
      </c>
      <c r="D547" s="19" t="s">
        <v>439</v>
      </c>
      <c r="E547" s="18" t="s">
        <v>530</v>
      </c>
      <c r="F547" s="19" t="s">
        <v>439</v>
      </c>
      <c r="G547" s="18" t="s">
        <v>530</v>
      </c>
      <c r="H547" s="19" t="s">
        <v>439</v>
      </c>
      <c r="I547" s="254" t="s">
        <v>530</v>
      </c>
      <c r="J547" s="19" t="s">
        <v>439</v>
      </c>
      <c r="K547" s="18" t="s">
        <v>530</v>
      </c>
      <c r="L547" s="19" t="s">
        <v>439</v>
      </c>
      <c r="M547" s="254" t="s">
        <v>530</v>
      </c>
      <c r="N547" s="19" t="s">
        <v>439</v>
      </c>
      <c r="O547" s="254" t="s">
        <v>530</v>
      </c>
    </row>
    <row r="548" spans="1:19" s="168" customFormat="1" ht="18" customHeight="1">
      <c r="A548" s="181" t="s">
        <v>559</v>
      </c>
      <c r="B548" s="185">
        <f>+GETPIVOTDATA(" New Prof avg",'Averages Pivot Table'!$A$3,"Category",13,"Category2","Technical Institutes")</f>
        <v>0</v>
      </c>
      <c r="C548" s="185"/>
      <c r="D548" s="185">
        <f>+GETPIVOTDATA(" New Asc. avg",'Averages Pivot Table'!$A$3,"Category",13,"Category2","Technical Institutes")</f>
        <v>0</v>
      </c>
      <c r="E548" s="185"/>
      <c r="F548" s="185">
        <f>+GETPIVOTDATA(" New Ast. avg",'Averages Pivot Table'!$A$3,"Category",13,"Category2","Technical Institutes")</f>
        <v>0</v>
      </c>
      <c r="G548" s="185"/>
      <c r="H548" s="185">
        <f>+GETPIVOTDATA(" New Inst. avg",'Averages Pivot Table'!$A$3,"Category",13,"Category2","Technical Institutes")</f>
        <v>37892.874413636368</v>
      </c>
      <c r="I548" s="257"/>
      <c r="J548" s="185">
        <f>+GETPIVOTDATA(" New Undesg. avg",'Averages Pivot Table'!$A$3,"Category",13,"Category2","Technical Institutes")</f>
        <v>25000</v>
      </c>
      <c r="K548" s="185"/>
      <c r="L548" s="185">
        <f>+GETPIVOTDATA(" New Single Rnk avg",'Averages Pivot Table'!$A$3,"Category",13,"Category2","Technical Institutes")</f>
        <v>44192.275317617234</v>
      </c>
      <c r="M548" s="257"/>
      <c r="N548" s="185">
        <f>+GETPIVOTDATA(" New All Ranks avg",'Averages Pivot Table'!$A$3,"Category",13,"Category2","Technical Institutes")</f>
        <v>44009.67154984596</v>
      </c>
      <c r="O548" s="244"/>
      <c r="Q548" s="209"/>
      <c r="R548" s="209"/>
      <c r="S548" s="209"/>
    </row>
    <row r="549" spans="1:19" ht="12.95" customHeight="1">
      <c r="A549" s="12"/>
      <c r="B549" s="9"/>
      <c r="C549" s="17"/>
      <c r="D549" s="9"/>
      <c r="E549" s="17"/>
      <c r="F549" s="9"/>
      <c r="G549" s="17"/>
      <c r="H549" s="9"/>
      <c r="I549" s="261"/>
      <c r="J549" s="9"/>
      <c r="K549" s="17"/>
      <c r="L549" s="9"/>
      <c r="M549" s="261"/>
      <c r="N549" s="9"/>
      <c r="O549" s="245"/>
    </row>
    <row r="550" spans="1:19" ht="12.95" customHeight="1">
      <c r="A550" s="12" t="s">
        <v>542</v>
      </c>
      <c r="B550" s="62">
        <f>+GETPIVOTDATA(" New Prof avg",'Averages Pivot Table'!$A$3,"State","AL","Category",13,"Category2","Technical Institutes")</f>
        <v>0</v>
      </c>
      <c r="C550" s="141">
        <f>IF(B550&gt;0,(RANK(B550,B$550:B$568)),0)</f>
        <v>0</v>
      </c>
      <c r="D550" s="62">
        <f>+GETPIVOTDATA(" New Asc. avg",'Averages Pivot Table'!$A$3,"State","AL","Category",13,"Category2","Technical Institutes")</f>
        <v>0</v>
      </c>
      <c r="E550" s="141">
        <f>IF(D550&gt;0,(RANK(D550,D$550:D$568)),0)</f>
        <v>0</v>
      </c>
      <c r="F550" s="62">
        <f>+GETPIVOTDATA(" New Ast. avg",'Averages Pivot Table'!$A$3,"State","AL","Category",13,"Category2","Technical Institutes")</f>
        <v>0</v>
      </c>
      <c r="G550" s="141">
        <f t="shared" ref="G550:G568" si="85">IF(F550&gt;0,(RANK(F550,F$550:F$568)),0)</f>
        <v>0</v>
      </c>
      <c r="H550" s="62">
        <f>+GETPIVOTDATA(" New Inst. avg",'Averages Pivot Table'!$A$3,"State","AL","Category",13,"Category2","Technical Institutes")</f>
        <v>0</v>
      </c>
      <c r="I550" s="229">
        <f t="shared" ref="I550:I568" si="86">IF(H550&gt;0,(RANK(H550,H$550:H$568)),0)</f>
        <v>0</v>
      </c>
      <c r="J550" s="62">
        <f>+GETPIVOTDATA(" New Undesg. avg",'Averages Pivot Table'!$A$3,"State","AL","Category",13,"Category2","Technical Institutes")</f>
        <v>0</v>
      </c>
      <c r="K550" s="141">
        <f t="shared" ref="K550:K568" si="87">IF(J550&gt;0,(RANK(J550,J$550:J$568)),0)</f>
        <v>0</v>
      </c>
      <c r="L550" s="62">
        <f>+GETPIVOTDATA(" New Single Rnk avg",'Averages Pivot Table'!$A$3,"State","AL","Category",13,"Category2","Technical Institutes")</f>
        <v>57120.489175280898</v>
      </c>
      <c r="M550" s="229">
        <f t="shared" ref="M550:M568" si="88">IF(L550&gt;0,(RANK(L550,L$550:L$568)),0)</f>
        <v>1</v>
      </c>
      <c r="N550" s="62">
        <f>+GETPIVOTDATA(" New All Ranks avg",'Averages Pivot Table'!$A$3,"State","AL","Category",13,"Category2","Technical Institutes")</f>
        <v>57120.489175280898</v>
      </c>
      <c r="O550" s="229">
        <f t="shared" ref="O550:O568" si="89">IF(N550&gt;0,(RANK(N550,N$550:N$568)),0)</f>
        <v>1</v>
      </c>
    </row>
    <row r="551" spans="1:19" ht="12.95" customHeight="1">
      <c r="A551" s="12" t="s">
        <v>543</v>
      </c>
      <c r="B551" s="62">
        <f>+GETPIVOTDATA(" New Prof avg",'Averages Pivot Table'!$A$3,"State","AR","Category",13,"Category2","Technical Institutes")</f>
        <v>0</v>
      </c>
      <c r="C551" s="141">
        <f t="shared" ref="C551:E568" si="90">IF(B551&gt;0,(RANK(B551,B$550:B$568)),0)</f>
        <v>0</v>
      </c>
      <c r="D551" s="62">
        <f>+GETPIVOTDATA(" New Asc. avg",'Averages Pivot Table'!$A$3,"State","AR","Category",13,"Category2","Technical Institutes")</f>
        <v>0</v>
      </c>
      <c r="E551" s="141">
        <f t="shared" si="90"/>
        <v>0</v>
      </c>
      <c r="F551" s="62">
        <f>+GETPIVOTDATA(" New Ast. avg",'Averages Pivot Table'!$A$3,"State","AR","Category",13,"Category2","Technical Institutes")</f>
        <v>0</v>
      </c>
      <c r="G551" s="141">
        <f t="shared" si="85"/>
        <v>0</v>
      </c>
      <c r="H551" s="62">
        <f>+GETPIVOTDATA(" New Inst. avg",'Averages Pivot Table'!$A$3,"State","AR","Category",13,"Category2","Technical Institutes")</f>
        <v>0</v>
      </c>
      <c r="I551" s="229">
        <f t="shared" si="86"/>
        <v>0</v>
      </c>
      <c r="J551" s="62">
        <f>+GETPIVOTDATA(" New Undesg. avg",'Averages Pivot Table'!$A$3,"State","AR","Category",13,"Category2","Technical Institutes")</f>
        <v>0</v>
      </c>
      <c r="K551" s="141">
        <f t="shared" si="87"/>
        <v>0</v>
      </c>
      <c r="L551" s="62">
        <f>+GETPIVOTDATA(" New Single Rnk avg",'Averages Pivot Table'!$A$3,"State","AR","Category",13,"Category2","Technical Institutes")</f>
        <v>0</v>
      </c>
      <c r="M551" s="229">
        <f t="shared" si="88"/>
        <v>0</v>
      </c>
      <c r="N551" s="62">
        <f>+GETPIVOTDATA(" New All Ranks avg",'Averages Pivot Table'!$A$3,"State","AR","Category",13,"Category2","Technical Institutes")</f>
        <v>0</v>
      </c>
      <c r="O551" s="229">
        <f t="shared" si="89"/>
        <v>0</v>
      </c>
    </row>
    <row r="552" spans="1:19" ht="12.95" customHeight="1">
      <c r="A552" s="12" t="s">
        <v>558</v>
      </c>
      <c r="B552" s="62">
        <f>+GETPIVOTDATA(" New Prof avg",'Averages Pivot Table'!$A$3,"State","DE","Category",13,"Category2","Technical Institutes")</f>
        <v>0</v>
      </c>
      <c r="C552" s="141">
        <f t="shared" si="90"/>
        <v>0</v>
      </c>
      <c r="D552" s="62">
        <f>+GETPIVOTDATA(" New Asc. avg",'Averages Pivot Table'!$A$3,"State","DE","Category",13,"Category2","Technical Institutes")</f>
        <v>0</v>
      </c>
      <c r="E552" s="141">
        <f t="shared" si="90"/>
        <v>0</v>
      </c>
      <c r="F552" s="62">
        <f>+GETPIVOTDATA(" New Ast. avg",'Averages Pivot Table'!$A$3,"State","DE","Category",13,"Category2","Technical Institutes")</f>
        <v>0</v>
      </c>
      <c r="G552" s="141">
        <f t="shared" si="85"/>
        <v>0</v>
      </c>
      <c r="H552" s="62">
        <f>+GETPIVOTDATA(" New Inst. avg",'Averages Pivot Table'!$A$3,"State","DE","Category",13,"Category2","Technical Institutes")</f>
        <v>0</v>
      </c>
      <c r="I552" s="229">
        <f t="shared" si="86"/>
        <v>0</v>
      </c>
      <c r="J552" s="62">
        <f>+GETPIVOTDATA(" New Undesg. avg",'Averages Pivot Table'!$A$3,"State","DE","Category",13,"Category2","Technical Institutes")</f>
        <v>0</v>
      </c>
      <c r="K552" s="141">
        <f t="shared" si="87"/>
        <v>0</v>
      </c>
      <c r="L552" s="62">
        <f>+GETPIVOTDATA(" New Single Rnk avg",'Averages Pivot Table'!$A$3,"State","DE","Category",13,"Category2","Technical Institutes")</f>
        <v>0</v>
      </c>
      <c r="M552" s="229">
        <f t="shared" si="88"/>
        <v>0</v>
      </c>
      <c r="N552" s="62">
        <f>+GETPIVOTDATA(" New All Ranks avg",'Averages Pivot Table'!$A$3,"State","DE","Category",13,"Category2","Technical Institutes")</f>
        <v>0</v>
      </c>
      <c r="O552" s="229">
        <f t="shared" si="89"/>
        <v>0</v>
      </c>
    </row>
    <row r="553" spans="1:19" ht="12.95" customHeight="1">
      <c r="A553" s="12" t="s">
        <v>544</v>
      </c>
      <c r="B553" s="62">
        <f>+GETPIVOTDATA(" New Prof avg",'Averages Pivot Table'!$A$3,"State","FL","Category",13,"Category2","Technical Institutes")</f>
        <v>0</v>
      </c>
      <c r="C553" s="141">
        <f t="shared" si="90"/>
        <v>0</v>
      </c>
      <c r="D553" s="62">
        <f>+GETPIVOTDATA(" New Asc. avg",'Averages Pivot Table'!$A$3,"State","FL","Category",13,"Category2","Technical Institutes")</f>
        <v>0</v>
      </c>
      <c r="E553" s="141">
        <f t="shared" si="90"/>
        <v>0</v>
      </c>
      <c r="F553" s="62">
        <f>+GETPIVOTDATA(" New Ast. avg",'Averages Pivot Table'!$A$3,"State","FL","Category",13,"Category2","Technical Institutes")</f>
        <v>0</v>
      </c>
      <c r="G553" s="141">
        <f t="shared" si="85"/>
        <v>0</v>
      </c>
      <c r="H553" s="62">
        <f>+GETPIVOTDATA(" New Inst. avg",'Averages Pivot Table'!$A$3,"State","FL","Category",13,"Category2","Technical Institutes")</f>
        <v>0</v>
      </c>
      <c r="I553" s="229">
        <f t="shared" si="86"/>
        <v>0</v>
      </c>
      <c r="J553" s="62">
        <f>+GETPIVOTDATA(" New Undesg. avg",'Averages Pivot Table'!$A$3,"State","FL","Category",13,"Category2","Technical Institutes")</f>
        <v>0</v>
      </c>
      <c r="K553" s="141">
        <f t="shared" si="87"/>
        <v>0</v>
      </c>
      <c r="L553" s="62">
        <f>+GETPIVOTDATA(" New Single Rnk avg",'Averages Pivot Table'!$A$3,"State","FL","Category",13,"Category2","Technical Institutes")</f>
        <v>0</v>
      </c>
      <c r="M553" s="229">
        <f t="shared" si="88"/>
        <v>0</v>
      </c>
      <c r="N553" s="62">
        <f>+GETPIVOTDATA(" New All Ranks avg",'Averages Pivot Table'!$A$3,"State","FL","Category",13,"Category2","Technical Institutes")</f>
        <v>0</v>
      </c>
      <c r="O553" s="229">
        <f t="shared" si="89"/>
        <v>0</v>
      </c>
    </row>
    <row r="554" spans="1:19" ht="12.95" customHeight="1">
      <c r="A554" s="12"/>
      <c r="B554" s="62"/>
      <c r="C554" s="141">
        <f t="shared" si="90"/>
        <v>0</v>
      </c>
      <c r="D554" s="62"/>
      <c r="E554" s="141">
        <f t="shared" si="90"/>
        <v>0</v>
      </c>
      <c r="F554" s="62"/>
      <c r="G554" s="141">
        <f t="shared" si="85"/>
        <v>0</v>
      </c>
      <c r="H554" s="62"/>
      <c r="I554" s="229">
        <f t="shared" si="86"/>
        <v>0</v>
      </c>
      <c r="J554" s="62"/>
      <c r="K554" s="141">
        <f t="shared" si="87"/>
        <v>0</v>
      </c>
      <c r="L554" s="62"/>
      <c r="M554" s="229">
        <f t="shared" si="88"/>
        <v>0</v>
      </c>
      <c r="N554" s="62"/>
      <c r="O554" s="229">
        <f t="shared" si="89"/>
        <v>0</v>
      </c>
    </row>
    <row r="555" spans="1:19" ht="12.95" customHeight="1">
      <c r="A555" s="12" t="s">
        <v>545</v>
      </c>
      <c r="B555" s="62">
        <f>+GETPIVOTDATA(" New Prof avg",'Averages Pivot Table'!$A$3,"State","GA","Category",13,"Category2","Technical Institutes")</f>
        <v>0</v>
      </c>
      <c r="C555" s="141">
        <f t="shared" si="90"/>
        <v>0</v>
      </c>
      <c r="D555" s="62">
        <f>+GETPIVOTDATA(" New Asc. avg",'Averages Pivot Table'!$A$3,"State","GA","Category",13,"Category2","Technical Institutes")</f>
        <v>0</v>
      </c>
      <c r="E555" s="141">
        <f t="shared" si="90"/>
        <v>0</v>
      </c>
      <c r="F555" s="62">
        <f>+GETPIVOTDATA(" New Ast. avg",'Averages Pivot Table'!$A$3,"State","GA","Category",13,"Category2","Technical Institutes")</f>
        <v>0</v>
      </c>
      <c r="G555" s="141">
        <f t="shared" si="85"/>
        <v>0</v>
      </c>
      <c r="H555" s="62">
        <f>+GETPIVOTDATA(" New Inst. avg",'Averages Pivot Table'!$A$3,"State","GA","Category",13,"Category2","Technical Institutes")</f>
        <v>0</v>
      </c>
      <c r="I555" s="229">
        <f t="shared" si="86"/>
        <v>0</v>
      </c>
      <c r="J555" s="62">
        <f>+GETPIVOTDATA(" New Undesg. avg",'Averages Pivot Table'!$A$3,"State","GA","Category",13,"Category2","Technical Institutes")</f>
        <v>0</v>
      </c>
      <c r="K555" s="141">
        <f t="shared" si="87"/>
        <v>0</v>
      </c>
      <c r="L555" s="62">
        <f>+GETPIVOTDATA(" New Single Rnk avg",'Averages Pivot Table'!$A$3,"State","GA","Category",13,"Category2","Technical Institutes")</f>
        <v>39561.627796135268</v>
      </c>
      <c r="M555" s="229">
        <f t="shared" si="88"/>
        <v>3</v>
      </c>
      <c r="N555" s="62">
        <f>+GETPIVOTDATA(" New All Ranks avg",'Averages Pivot Table'!$A$3,"State","GA","Category",13,"Category2","Technical Institutes")</f>
        <v>39561.627796135268</v>
      </c>
      <c r="O555" s="229">
        <f t="shared" si="89"/>
        <v>3</v>
      </c>
    </row>
    <row r="556" spans="1:19" ht="12.95" customHeight="1">
      <c r="A556" s="12" t="s">
        <v>546</v>
      </c>
      <c r="B556" s="62">
        <f>+GETPIVOTDATA(" New Prof avg",'Averages Pivot Table'!$A$3,"State","KY","Category",13,"Category2","Technical Institutes")</f>
        <v>0</v>
      </c>
      <c r="C556" s="141">
        <f t="shared" si="90"/>
        <v>0</v>
      </c>
      <c r="D556" s="62">
        <f>+GETPIVOTDATA(" New Asc. avg",'Averages Pivot Table'!$A$3,"State","KY","Category",13,"Category2","Technical Institutes")</f>
        <v>0</v>
      </c>
      <c r="E556" s="141">
        <f t="shared" si="90"/>
        <v>0</v>
      </c>
      <c r="F556" s="62">
        <f>+GETPIVOTDATA(" New Ast. avg",'Averages Pivot Table'!$A$3,"State","KY","Category",13,"Category2","Technical Institutes")</f>
        <v>0</v>
      </c>
      <c r="G556" s="141">
        <f t="shared" si="85"/>
        <v>0</v>
      </c>
      <c r="H556" s="62">
        <f>+GETPIVOTDATA(" New Inst. avg",'Averages Pivot Table'!$A$3,"State","KY","Category",13,"Category2","Technical Institutes")</f>
        <v>0</v>
      </c>
      <c r="I556" s="229">
        <f t="shared" si="86"/>
        <v>0</v>
      </c>
      <c r="J556" s="62">
        <f>+GETPIVOTDATA(" New Undesg. avg",'Averages Pivot Table'!$A$3,"State","KY","Category",13,"Category2","Technical Institutes")</f>
        <v>0</v>
      </c>
      <c r="K556" s="141">
        <f t="shared" si="87"/>
        <v>0</v>
      </c>
      <c r="L556" s="62">
        <f>+GETPIVOTDATA(" New Single Rnk avg",'Averages Pivot Table'!$A$3,"State","KY","Category",13,"Category2","Technical Institutes")</f>
        <v>0</v>
      </c>
      <c r="M556" s="229">
        <f t="shared" si="88"/>
        <v>0</v>
      </c>
      <c r="N556" s="62">
        <f>+GETPIVOTDATA(" New All Ranks avg",'Averages Pivot Table'!$A$3,"State","KY","Category",13,"Category2","Technical Institutes")</f>
        <v>0</v>
      </c>
      <c r="O556" s="229">
        <f t="shared" si="89"/>
        <v>0</v>
      </c>
    </row>
    <row r="557" spans="1:19" ht="12.95" customHeight="1">
      <c r="A557" s="12" t="s">
        <v>547</v>
      </c>
      <c r="B557" s="62">
        <f>+GETPIVOTDATA(" New Prof avg",'Averages Pivot Table'!$A$3,"State","LA","Category",13,"Category2","Technical Institutes")</f>
        <v>0</v>
      </c>
      <c r="C557" s="141">
        <f t="shared" si="90"/>
        <v>0</v>
      </c>
      <c r="D557" s="62">
        <f>+GETPIVOTDATA(" New Asc. avg",'Averages Pivot Table'!$A$3,"State","LA","Category",13,"Category2","Technical Institutes")</f>
        <v>0</v>
      </c>
      <c r="E557" s="141">
        <f t="shared" si="90"/>
        <v>0</v>
      </c>
      <c r="F557" s="62">
        <f>+GETPIVOTDATA(" New Ast. avg",'Averages Pivot Table'!$A$3,"State","LA","Category",13,"Category2","Technical Institutes")</f>
        <v>0</v>
      </c>
      <c r="G557" s="141">
        <f t="shared" si="85"/>
        <v>0</v>
      </c>
      <c r="H557" s="62">
        <f>+GETPIVOTDATA(" New Inst. avg",'Averages Pivot Table'!$A$3,"State","LA","Category",13,"Category2","Technical Institutes")</f>
        <v>37892.874413636368</v>
      </c>
      <c r="I557" s="229">
        <f t="shared" si="86"/>
        <v>1</v>
      </c>
      <c r="J557" s="62">
        <f>+GETPIVOTDATA(" New Undesg. avg",'Averages Pivot Table'!$A$3,"State","LA","Category",13,"Category2","Technical Institutes")</f>
        <v>25000</v>
      </c>
      <c r="K557" s="141">
        <f t="shared" si="87"/>
        <v>1</v>
      </c>
      <c r="L557" s="62">
        <f>+GETPIVOTDATA(" New Single Rnk avg",'Averages Pivot Table'!$A$3,"State","LA","Category",13,"Category2","Technical Institutes")</f>
        <v>0</v>
      </c>
      <c r="M557" s="229">
        <f t="shared" si="88"/>
        <v>0</v>
      </c>
      <c r="N557" s="62">
        <f>+GETPIVOTDATA(" New All Ranks avg",'Averages Pivot Table'!$A$3,"State","LA","Category",13,"Category2","Technical Institutes")</f>
        <v>37606.366093333338</v>
      </c>
      <c r="O557" s="229">
        <f t="shared" si="89"/>
        <v>5</v>
      </c>
    </row>
    <row r="558" spans="1:19" ht="12.95" customHeight="1">
      <c r="A558" s="12" t="s">
        <v>548</v>
      </c>
      <c r="B558" s="62">
        <f>+GETPIVOTDATA(" New Prof avg",'Averages Pivot Table'!$A$3,"State","MD","Category",13,"Category2","Technical Institutes")</f>
        <v>0</v>
      </c>
      <c r="C558" s="141">
        <f>IF(B558&gt;0,(RANK(B558,B$550:B$568)),0)</f>
        <v>0</v>
      </c>
      <c r="D558" s="62">
        <f>+GETPIVOTDATA(" New Asc. avg",'Averages Pivot Table'!$A$3,"State","MD","Category",13,"Category2","Technical Institutes")</f>
        <v>0</v>
      </c>
      <c r="E558" s="141">
        <f t="shared" si="90"/>
        <v>0</v>
      </c>
      <c r="F558" s="62">
        <f>+GETPIVOTDATA(" New Ast. avg",'Averages Pivot Table'!$A$3,"State","MD","Category",13,"Category2","Technical Institutes")</f>
        <v>0</v>
      </c>
      <c r="G558" s="141">
        <f t="shared" si="85"/>
        <v>0</v>
      </c>
      <c r="H558" s="62">
        <f>+GETPIVOTDATA(" New Inst. avg",'Averages Pivot Table'!$A$3,"State","MD","Category",13,"Category2","Technical Institutes")</f>
        <v>0</v>
      </c>
      <c r="I558" s="229">
        <f t="shared" si="86"/>
        <v>0</v>
      </c>
      <c r="J558" s="62">
        <f>+GETPIVOTDATA(" New Undesg. avg",'Averages Pivot Table'!$A$3,"State","MD","Category",13,"Category2","Technical Institutes")</f>
        <v>0</v>
      </c>
      <c r="K558" s="141">
        <f t="shared" si="87"/>
        <v>0</v>
      </c>
      <c r="L558" s="62">
        <f>+GETPIVOTDATA(" New Single Rnk avg",'Averages Pivot Table'!$A$3,"State","MD","Category",13,"Category2","Technical Institutes")</f>
        <v>0</v>
      </c>
      <c r="M558" s="229">
        <f t="shared" si="88"/>
        <v>0</v>
      </c>
      <c r="N558" s="62">
        <f>+GETPIVOTDATA(" New All Ranks avg",'Averages Pivot Table'!$A$3,"State","MD","Category",13,"Category2","Technical Institutes")</f>
        <v>0</v>
      </c>
      <c r="O558" s="229">
        <f t="shared" si="89"/>
        <v>0</v>
      </c>
    </row>
    <row r="559" spans="1:19" ht="12.95" customHeight="1">
      <c r="A559" s="12"/>
      <c r="B559" s="62"/>
      <c r="C559" s="141">
        <f t="shared" si="90"/>
        <v>0</v>
      </c>
      <c r="D559" s="62"/>
      <c r="E559" s="141">
        <f t="shared" si="90"/>
        <v>0</v>
      </c>
      <c r="F559" s="62"/>
      <c r="G559" s="141">
        <f t="shared" si="85"/>
        <v>0</v>
      </c>
      <c r="H559" s="62"/>
      <c r="I559" s="229">
        <f t="shared" si="86"/>
        <v>0</v>
      </c>
      <c r="J559" s="62"/>
      <c r="K559" s="141">
        <f t="shared" si="87"/>
        <v>0</v>
      </c>
      <c r="L559" s="62"/>
      <c r="M559" s="229">
        <f t="shared" si="88"/>
        <v>0</v>
      </c>
      <c r="N559" s="62"/>
      <c r="O559" s="229">
        <f t="shared" si="89"/>
        <v>0</v>
      </c>
    </row>
    <row r="560" spans="1:19" ht="12.95" customHeight="1">
      <c r="A560" s="12" t="s">
        <v>549</v>
      </c>
      <c r="B560" s="62">
        <f>+GETPIVOTDATA(" New Prof avg",'Averages Pivot Table'!$A$3,"State","MS","Category",13,"Category2","Technical Institutes")</f>
        <v>0</v>
      </c>
      <c r="C560" s="141">
        <f t="shared" si="90"/>
        <v>0</v>
      </c>
      <c r="D560" s="62">
        <f>+GETPIVOTDATA(" New Asc. avg",'Averages Pivot Table'!$A$3,"State","MS","Category",13,"Category2","Technical Institutes")</f>
        <v>0</v>
      </c>
      <c r="E560" s="141">
        <f t="shared" si="90"/>
        <v>0</v>
      </c>
      <c r="F560" s="62">
        <f>+GETPIVOTDATA(" New Ast. avg",'Averages Pivot Table'!$A$3,"State","MS","Category",13,"Category2","Technical Institutes")</f>
        <v>0</v>
      </c>
      <c r="G560" s="141">
        <f t="shared" si="85"/>
        <v>0</v>
      </c>
      <c r="H560" s="62">
        <f>+GETPIVOTDATA(" New Inst. avg",'Averages Pivot Table'!$A$3,"State","MS","Category",13,"Category2","Technical Institutes")</f>
        <v>0</v>
      </c>
      <c r="I560" s="229">
        <f t="shared" si="86"/>
        <v>0</v>
      </c>
      <c r="J560" s="62">
        <f>+GETPIVOTDATA(" New Undesg. avg",'Averages Pivot Table'!$A$3,"State","MS","Category",13,"Category2","Technical Institutes")</f>
        <v>0</v>
      </c>
      <c r="K560" s="141">
        <f t="shared" si="87"/>
        <v>0</v>
      </c>
      <c r="L560" s="62">
        <f>+GETPIVOTDATA(" New Single Rnk avg",'Averages Pivot Table'!$A$3,"State","MS","Category",13,"Category2","Technical Institutes")</f>
        <v>0</v>
      </c>
      <c r="M560" s="229">
        <f t="shared" si="88"/>
        <v>0</v>
      </c>
      <c r="N560" s="62">
        <f>+GETPIVOTDATA(" New All Ranks avg",'Averages Pivot Table'!$A$3,"State","MS","Category",13,"Category2","Technical Institutes")</f>
        <v>0</v>
      </c>
      <c r="O560" s="229">
        <f t="shared" si="89"/>
        <v>0</v>
      </c>
    </row>
    <row r="561" spans="1:15" ht="12.95" customHeight="1">
      <c r="A561" s="12" t="s">
        <v>550</v>
      </c>
      <c r="B561" s="62">
        <f>+GETPIVOTDATA(" New Prof avg",'Averages Pivot Table'!$A$3,"State","NC","Category",13,"Category2","Technical Institutes")</f>
        <v>0</v>
      </c>
      <c r="C561" s="141">
        <f t="shared" si="90"/>
        <v>0</v>
      </c>
      <c r="D561" s="62">
        <f>+GETPIVOTDATA(" New Asc. avg",'Averages Pivot Table'!$A$3,"State","NC","Category",13,"Category2","Technical Institutes")</f>
        <v>0</v>
      </c>
      <c r="E561" s="141">
        <f t="shared" si="90"/>
        <v>0</v>
      </c>
      <c r="F561" s="62">
        <f>+GETPIVOTDATA(" New Ast. avg",'Averages Pivot Table'!$A$3,"State","NC","Category",13,"Category2","Technical Institutes")</f>
        <v>0</v>
      </c>
      <c r="G561" s="141">
        <f t="shared" si="85"/>
        <v>0</v>
      </c>
      <c r="H561" s="62">
        <f>+GETPIVOTDATA(" New Inst. avg",'Averages Pivot Table'!$A$3,"State","NC","Category",13,"Category2","Technical Institutes")</f>
        <v>0</v>
      </c>
      <c r="I561" s="229">
        <f t="shared" si="86"/>
        <v>0</v>
      </c>
      <c r="J561" s="62">
        <f>+GETPIVOTDATA(" New Undesg. avg",'Averages Pivot Table'!$A$3,"State","NC","Category",13,"Category2","Technical Institutes")</f>
        <v>0</v>
      </c>
      <c r="K561" s="141">
        <f t="shared" si="87"/>
        <v>0</v>
      </c>
      <c r="L561" s="62">
        <f>+GETPIVOTDATA(" New Single Rnk avg",'Averages Pivot Table'!$A$3,"State","NC","Category",13,"Category2","Technical Institutes")</f>
        <v>0</v>
      </c>
      <c r="M561" s="229">
        <f t="shared" si="88"/>
        <v>0</v>
      </c>
      <c r="N561" s="62">
        <f>+GETPIVOTDATA(" New All Ranks avg",'Averages Pivot Table'!$A$3,"State","NC","Category",13,"Category2","Technical Institutes")</f>
        <v>0</v>
      </c>
      <c r="O561" s="229">
        <f t="shared" si="89"/>
        <v>0</v>
      </c>
    </row>
    <row r="562" spans="1:15" ht="12.95" customHeight="1">
      <c r="A562" s="12" t="s">
        <v>551</v>
      </c>
      <c r="B562" s="62">
        <f>+GETPIVOTDATA(" New Prof avg",'Averages Pivot Table'!$A$3,"State","OK","Category",13,"Category2","Technical Institutes")</f>
        <v>0</v>
      </c>
      <c r="C562" s="141">
        <f t="shared" si="90"/>
        <v>0</v>
      </c>
      <c r="D562" s="62">
        <f>+GETPIVOTDATA(" New Asc. avg",'Averages Pivot Table'!$A$3,"State","OK","Category",13,"Category2","Technical Institutes")</f>
        <v>0</v>
      </c>
      <c r="E562" s="141">
        <f t="shared" si="90"/>
        <v>0</v>
      </c>
      <c r="F562" s="62">
        <f>+GETPIVOTDATA(" New Ast. avg",'Averages Pivot Table'!$A$3,"State","OK","Category",13,"Category2","Technical Institutes")</f>
        <v>0</v>
      </c>
      <c r="G562" s="141">
        <f t="shared" si="85"/>
        <v>0</v>
      </c>
      <c r="H562" s="62">
        <f>+GETPIVOTDATA(" New Inst. avg",'Averages Pivot Table'!$A$3,"State","OK","Category",13,"Category2","Technical Institutes")</f>
        <v>0</v>
      </c>
      <c r="I562" s="229">
        <f t="shared" si="86"/>
        <v>0</v>
      </c>
      <c r="J562" s="62">
        <f>+GETPIVOTDATA(" New Undesg. avg",'Averages Pivot Table'!$A$3,"State","OK","Category",13,"Category2","Technical Institutes")</f>
        <v>0</v>
      </c>
      <c r="K562" s="141">
        <f t="shared" si="87"/>
        <v>0</v>
      </c>
      <c r="L562" s="62">
        <f>+GETPIVOTDATA(" New Single Rnk avg",'Averages Pivot Table'!$A$3,"State","OK","Category",13,"Category2","Technical Institutes")</f>
        <v>47283.97662826856</v>
      </c>
      <c r="M562" s="229">
        <f t="shared" si="88"/>
        <v>2</v>
      </c>
      <c r="N562" s="62">
        <f>+GETPIVOTDATA(" New All Ranks avg",'Averages Pivot Table'!$A$3,"State","OK","Category",13,"Category2","Technical Institutes")</f>
        <v>47283.97662826856</v>
      </c>
      <c r="O562" s="229">
        <f t="shared" si="89"/>
        <v>2</v>
      </c>
    </row>
    <row r="563" spans="1:15" ht="12.95" customHeight="1">
      <c r="A563" s="12" t="s">
        <v>552</v>
      </c>
      <c r="B563" s="62">
        <f>+GETPIVOTDATA(" New Prof avg",'Averages Pivot Table'!$A$3,"State","SC","Category",13,"Category2","Technical Institutes")</f>
        <v>0</v>
      </c>
      <c r="C563" s="141">
        <f t="shared" si="90"/>
        <v>0</v>
      </c>
      <c r="D563" s="62">
        <f>+GETPIVOTDATA(" New Asc. avg",'Averages Pivot Table'!$A$3,"State","SC","Category",13,"Category2","Technical Institutes")</f>
        <v>0</v>
      </c>
      <c r="E563" s="141">
        <f t="shared" si="90"/>
        <v>0</v>
      </c>
      <c r="F563" s="62">
        <f>+GETPIVOTDATA(" New Ast. avg",'Averages Pivot Table'!$A$3,"State","SC","Category",13,"Category2","Technical Institutes")</f>
        <v>0</v>
      </c>
      <c r="G563" s="141">
        <f t="shared" si="85"/>
        <v>0</v>
      </c>
      <c r="H563" s="62">
        <f>+GETPIVOTDATA(" New Inst. avg",'Averages Pivot Table'!$A$3,"State","SC","Category",13,"Category2","Technical Institutes")</f>
        <v>0</v>
      </c>
      <c r="I563" s="229">
        <f t="shared" si="86"/>
        <v>0</v>
      </c>
      <c r="J563" s="62">
        <f>+GETPIVOTDATA(" New Undesg. avg",'Averages Pivot Table'!$A$3,"State","SC","Category",13,"Category2","Technical Institutes")</f>
        <v>0</v>
      </c>
      <c r="K563" s="141">
        <f t="shared" si="87"/>
        <v>0</v>
      </c>
      <c r="L563" s="62">
        <f>+GETPIVOTDATA(" New Single Rnk avg",'Averages Pivot Table'!$A$3,"State","SC","Category",13,"Category2","Technical Institutes")</f>
        <v>0</v>
      </c>
      <c r="M563" s="229">
        <f t="shared" si="88"/>
        <v>0</v>
      </c>
      <c r="N563" s="62">
        <f>+GETPIVOTDATA(" New All Ranks avg",'Averages Pivot Table'!$A$3,"State","SC","Category",13,"Category2","Technical Institutes")</f>
        <v>0</v>
      </c>
      <c r="O563" s="229">
        <f t="shared" si="89"/>
        <v>0</v>
      </c>
    </row>
    <row r="564" spans="1:15" ht="12.95" customHeight="1">
      <c r="A564" s="12"/>
      <c r="B564" s="62"/>
      <c r="C564" s="141">
        <f t="shared" si="90"/>
        <v>0</v>
      </c>
      <c r="D564" s="62"/>
      <c r="E564" s="141">
        <f t="shared" si="90"/>
        <v>0</v>
      </c>
      <c r="F564" s="62"/>
      <c r="G564" s="141">
        <f t="shared" si="85"/>
        <v>0</v>
      </c>
      <c r="H564" s="62"/>
      <c r="I564" s="229">
        <f t="shared" si="86"/>
        <v>0</v>
      </c>
      <c r="J564" s="62"/>
      <c r="K564" s="141">
        <f t="shared" si="87"/>
        <v>0</v>
      </c>
      <c r="L564" s="62"/>
      <c r="M564" s="229">
        <f t="shared" si="88"/>
        <v>0</v>
      </c>
      <c r="N564" s="62"/>
      <c r="O564" s="229">
        <f t="shared" si="89"/>
        <v>0</v>
      </c>
    </row>
    <row r="565" spans="1:15" ht="12.95" customHeight="1">
      <c r="A565" s="12" t="s">
        <v>553</v>
      </c>
      <c r="B565" s="140">
        <f>+GETPIVOTDATA(" New Prof avg",'Averages Pivot Table'!$A$3,"State","TN","Category",13,"Category2","Technical Institutes")</f>
        <v>0</v>
      </c>
      <c r="C565" s="141">
        <f t="shared" si="90"/>
        <v>0</v>
      </c>
      <c r="D565" s="140">
        <f>+GETPIVOTDATA(" New Asc. avg",'Averages Pivot Table'!$A$3,"State","TN","Category",13,"Category2","Technical Institutes")</f>
        <v>0</v>
      </c>
      <c r="E565" s="141">
        <f t="shared" si="90"/>
        <v>0</v>
      </c>
      <c r="F565" s="140">
        <f>+GETPIVOTDATA(" New Ast. avg",'Averages Pivot Table'!$A$3,"State","TN","Category",13,"Category2","Technical Institutes")</f>
        <v>0</v>
      </c>
      <c r="G565" s="141">
        <f t="shared" si="85"/>
        <v>0</v>
      </c>
      <c r="H565" s="140">
        <f>+GETPIVOTDATA(" New Inst. avg",'Averages Pivot Table'!$A$3,"State","TN","Category",13,"Category2","Technical Institutes")</f>
        <v>0</v>
      </c>
      <c r="I565" s="229">
        <f t="shared" si="86"/>
        <v>0</v>
      </c>
      <c r="J565" s="140">
        <f>+GETPIVOTDATA(" New Undesg. avg",'Averages Pivot Table'!$A$3,"State","TN","Category",13,"Category2","Technical Institutes")</f>
        <v>0</v>
      </c>
      <c r="K565" s="141">
        <f t="shared" si="87"/>
        <v>0</v>
      </c>
      <c r="L565" s="140">
        <f>+GETPIVOTDATA(" New Single Rnk avg",'Averages Pivot Table'!$A$3,"State","TN","Category",13,"Category2","Technical Institutes")</f>
        <v>37686.683148729797</v>
      </c>
      <c r="M565" s="229">
        <f t="shared" si="88"/>
        <v>4</v>
      </c>
      <c r="N565" s="62">
        <f>+GETPIVOTDATA(" New All Ranks avg",'Averages Pivot Table'!$A$3,"State","TN","Category",13,"Category2","Technical Institutes")</f>
        <v>37686.683148729797</v>
      </c>
      <c r="O565" s="229">
        <f t="shared" si="89"/>
        <v>4</v>
      </c>
    </row>
    <row r="566" spans="1:15" ht="12.95" customHeight="1">
      <c r="A566" s="12" t="s">
        <v>554</v>
      </c>
      <c r="B566" s="140">
        <f>+GETPIVOTDATA(" New Prof avg",'Averages Pivot Table'!$A$3,"State","TX","Category",13,"Category2","Technical Institutes")</f>
        <v>0</v>
      </c>
      <c r="C566" s="141">
        <f t="shared" si="90"/>
        <v>0</v>
      </c>
      <c r="D566" s="140">
        <f>+GETPIVOTDATA(" New Asc. avg",'Averages Pivot Table'!$A$3,"State","TX","Category",13,"Category2","Technical Institutes")</f>
        <v>0</v>
      </c>
      <c r="E566" s="141">
        <f t="shared" si="90"/>
        <v>0</v>
      </c>
      <c r="F566" s="140">
        <f>+GETPIVOTDATA(" New Ast. avg",'Averages Pivot Table'!$A$3,"State","TX","Category",13,"Category2","Technical Institutes")</f>
        <v>0</v>
      </c>
      <c r="G566" s="141">
        <f t="shared" si="85"/>
        <v>0</v>
      </c>
      <c r="H566" s="140">
        <f>+GETPIVOTDATA(" New Inst. avg",'Averages Pivot Table'!$A$3,"State","TX","Category",13,"Category2","Technical Institutes")</f>
        <v>0</v>
      </c>
      <c r="I566" s="229">
        <f t="shared" si="86"/>
        <v>0</v>
      </c>
      <c r="J566" s="140">
        <f>+GETPIVOTDATA(" New Undesg. avg",'Averages Pivot Table'!$A$3,"State","TX","Category",13,"Category2","Technical Institutes")</f>
        <v>0</v>
      </c>
      <c r="K566" s="141">
        <f t="shared" si="87"/>
        <v>0</v>
      </c>
      <c r="L566" s="140">
        <f>+GETPIVOTDATA(" New Single Rnk avg",'Averages Pivot Table'!$A$3,"State","TX","Category",13,"Category2","Technical Institutes")</f>
        <v>0</v>
      </c>
      <c r="M566" s="229">
        <f t="shared" si="88"/>
        <v>0</v>
      </c>
      <c r="N566" s="62">
        <f>+GETPIVOTDATA(" New All Ranks avg",'Averages Pivot Table'!$A$3,"State","TX","Category",13,"Category2","Technical Institutes")</f>
        <v>0</v>
      </c>
      <c r="O566" s="229">
        <f t="shared" si="89"/>
        <v>0</v>
      </c>
    </row>
    <row r="567" spans="1:15" ht="12.95" customHeight="1">
      <c r="A567" s="12" t="s">
        <v>555</v>
      </c>
      <c r="B567" s="140">
        <f>+GETPIVOTDATA(" New Prof avg",'Averages Pivot Table'!$A$3,"State","VA","Category",13,"Category2","Technical Institutes")</f>
        <v>0</v>
      </c>
      <c r="C567" s="141">
        <f t="shared" si="90"/>
        <v>0</v>
      </c>
      <c r="D567" s="140">
        <f>+GETPIVOTDATA(" New Asc. avg",'Averages Pivot Table'!$A$3,"State","VA","Category",13,"Category2","Technical Institutes")</f>
        <v>0</v>
      </c>
      <c r="E567" s="141">
        <f t="shared" si="90"/>
        <v>0</v>
      </c>
      <c r="F567" s="140">
        <f>+GETPIVOTDATA(" New Ast. avg",'Averages Pivot Table'!$A$3,"State","VA","Category",13,"Category2","Technical Institutes")</f>
        <v>0</v>
      </c>
      <c r="G567" s="141">
        <f t="shared" si="85"/>
        <v>0</v>
      </c>
      <c r="H567" s="140">
        <f>+GETPIVOTDATA(" New Inst. avg",'Averages Pivot Table'!$A$3,"State","VA","Category",13,"Category2","Technical Institutes")</f>
        <v>0</v>
      </c>
      <c r="I567" s="229">
        <f t="shared" si="86"/>
        <v>0</v>
      </c>
      <c r="J567" s="140">
        <f>+GETPIVOTDATA(" New Undesg. avg",'Averages Pivot Table'!$A$3,"State","VA","Category",13,"Category2","Technical Institutes")</f>
        <v>0</v>
      </c>
      <c r="K567" s="141">
        <f t="shared" si="87"/>
        <v>0</v>
      </c>
      <c r="L567" s="140">
        <f>+GETPIVOTDATA(" New Single Rnk avg",'Averages Pivot Table'!$A$3,"State","VA","Category",13,"Category2","Technical Institutes")</f>
        <v>0</v>
      </c>
      <c r="M567" s="229">
        <f t="shared" si="88"/>
        <v>0</v>
      </c>
      <c r="N567" s="62">
        <f>+GETPIVOTDATA(" New All Ranks avg",'Averages Pivot Table'!$A$3,"State","VA","Category",13,"Category2","Technical Institutes")</f>
        <v>0</v>
      </c>
      <c r="O567" s="229">
        <f t="shared" si="89"/>
        <v>0</v>
      </c>
    </row>
    <row r="568" spans="1:15" ht="12.95" customHeight="1">
      <c r="A568" s="11" t="s">
        <v>556</v>
      </c>
      <c r="B568" s="64">
        <f>+GETPIVOTDATA(" New Prof avg",'Averages Pivot Table'!$A$3,"State","WV","Category",13,"Category2","Technical Institutes")</f>
        <v>0</v>
      </c>
      <c r="C568" s="65">
        <f t="shared" si="90"/>
        <v>0</v>
      </c>
      <c r="D568" s="64">
        <f>+GETPIVOTDATA(" New Asc. avg",'Averages Pivot Table'!$A$3,"State","WV","Category",13,"Category2","Technical Institutes")</f>
        <v>0</v>
      </c>
      <c r="E568" s="65">
        <f t="shared" si="90"/>
        <v>0</v>
      </c>
      <c r="F568" s="64">
        <f>+GETPIVOTDATA(" New Ast. avg",'Averages Pivot Table'!$A$3,"State","WV","Category",13,"Category2","Technical Institutes")</f>
        <v>0</v>
      </c>
      <c r="G568" s="65">
        <f t="shared" si="85"/>
        <v>0</v>
      </c>
      <c r="H568" s="64">
        <f>+GETPIVOTDATA(" New Inst. avg",'Averages Pivot Table'!$A$3,"State","WV","Category",13,"Category2","Technical Institutes")</f>
        <v>0</v>
      </c>
      <c r="I568" s="230">
        <f t="shared" si="86"/>
        <v>0</v>
      </c>
      <c r="J568" s="64">
        <f>+GETPIVOTDATA(" New Undesg. avg",'Averages Pivot Table'!$A$3,"State","WV","Category",13,"Category2","Technical Institutes")</f>
        <v>0</v>
      </c>
      <c r="K568" s="65">
        <f t="shared" si="87"/>
        <v>0</v>
      </c>
      <c r="L568" s="64">
        <f>+GETPIVOTDATA(" New Single Rnk avg",'Averages Pivot Table'!$A$3,"State","WV","Category",13,"Category2","Technical Institutes")</f>
        <v>0</v>
      </c>
      <c r="M568" s="230">
        <f t="shared" si="88"/>
        <v>0</v>
      </c>
      <c r="N568" s="64">
        <f>+GETPIVOTDATA(" New All Ranks avg",'Averages Pivot Table'!$A$3,"State","WV","Category",13,"Category2","Technical Institutes")</f>
        <v>0</v>
      </c>
      <c r="O568" s="230">
        <f t="shared" si="89"/>
        <v>0</v>
      </c>
    </row>
    <row r="569" spans="1:15" ht="30" customHeight="1">
      <c r="A569" s="508" t="s">
        <v>425</v>
      </c>
      <c r="B569" s="508"/>
      <c r="C569" s="508"/>
      <c r="D569" s="508"/>
      <c r="E569" s="508"/>
      <c r="F569" s="508"/>
      <c r="G569" s="508"/>
      <c r="H569" s="508"/>
      <c r="I569" s="508"/>
      <c r="J569" s="508"/>
      <c r="K569" s="508"/>
      <c r="L569" s="508"/>
      <c r="M569" s="508"/>
      <c r="N569" s="508"/>
      <c r="O569" s="508"/>
    </row>
    <row r="570" spans="1:15">
      <c r="O570" s="487" t="s">
        <v>1000</v>
      </c>
    </row>
    <row r="571" spans="1:15" ht="18">
      <c r="A571" s="504" t="s">
        <v>583</v>
      </c>
      <c r="B571" s="504"/>
      <c r="C571" s="504"/>
      <c r="D571" s="504"/>
      <c r="E571" s="504"/>
      <c r="F571" s="504"/>
      <c r="G571" s="504"/>
      <c r="H571" s="504"/>
      <c r="I571" s="504"/>
      <c r="J571" s="504"/>
      <c r="K571" s="504"/>
      <c r="L571" s="504"/>
      <c r="M571" s="504"/>
      <c r="N571" s="504"/>
      <c r="O571" s="504"/>
    </row>
    <row r="572" spans="1:15">
      <c r="A572" s="23"/>
      <c r="B572" s="5"/>
      <c r="C572" s="5"/>
      <c r="D572" s="5"/>
      <c r="E572" s="5"/>
      <c r="F572" s="5"/>
      <c r="G572" s="5"/>
      <c r="H572" s="5"/>
      <c r="I572" s="172"/>
      <c r="J572" s="5"/>
      <c r="K572" s="5"/>
      <c r="L572" s="5"/>
      <c r="M572" s="172"/>
      <c r="N572" s="5"/>
      <c r="O572" s="172"/>
    </row>
    <row r="573" spans="1:15">
      <c r="A573" s="505" t="s">
        <v>557</v>
      </c>
      <c r="B573" s="505"/>
      <c r="C573" s="505"/>
      <c r="D573" s="505"/>
      <c r="E573" s="505"/>
      <c r="F573" s="505"/>
      <c r="G573" s="505"/>
      <c r="H573" s="505"/>
      <c r="I573" s="505"/>
      <c r="J573" s="505"/>
      <c r="K573" s="505"/>
      <c r="L573" s="505"/>
      <c r="M573" s="505"/>
      <c r="N573" s="505"/>
      <c r="O573" s="505"/>
    </row>
    <row r="574" spans="1:15">
      <c r="A574" s="505" t="s">
        <v>45</v>
      </c>
      <c r="B574" s="505"/>
      <c r="C574" s="505"/>
      <c r="D574" s="505"/>
      <c r="E574" s="505"/>
      <c r="F574" s="505"/>
      <c r="G574" s="505"/>
      <c r="H574" s="505"/>
      <c r="I574" s="505"/>
      <c r="J574" s="505"/>
      <c r="K574" s="505"/>
      <c r="L574" s="505"/>
      <c r="M574" s="505"/>
      <c r="N574" s="505"/>
      <c r="O574" s="505"/>
    </row>
    <row r="575" spans="1:15">
      <c r="A575" s="12"/>
      <c r="B575" s="5"/>
      <c r="C575" s="5"/>
      <c r="D575" s="5"/>
      <c r="E575" s="5"/>
      <c r="F575" s="5"/>
      <c r="G575" s="5"/>
      <c r="H575" s="5"/>
      <c r="I575" s="172"/>
      <c r="J575" s="5"/>
      <c r="K575" s="5"/>
      <c r="L575" s="5"/>
      <c r="M575" s="172"/>
      <c r="N575" s="5"/>
      <c r="O575" s="172"/>
    </row>
    <row r="576" spans="1:15" ht="33" customHeight="1">
      <c r="A576" s="15"/>
      <c r="B576" s="21" t="s">
        <v>435</v>
      </c>
      <c r="C576" s="22"/>
      <c r="D576" s="152" t="s">
        <v>436</v>
      </c>
      <c r="E576" s="153"/>
      <c r="F576" s="152" t="s">
        <v>437</v>
      </c>
      <c r="G576" s="153"/>
      <c r="H576" s="21" t="s">
        <v>438</v>
      </c>
      <c r="I576" s="253"/>
      <c r="J576" s="152" t="s">
        <v>584</v>
      </c>
      <c r="K576" s="153"/>
      <c r="L576" s="22" t="s">
        <v>413</v>
      </c>
      <c r="M576" s="253"/>
      <c r="N576" s="22" t="s">
        <v>415</v>
      </c>
      <c r="O576" s="253"/>
    </row>
    <row r="577" spans="1:19">
      <c r="A577" s="25"/>
      <c r="B577" s="19" t="s">
        <v>439</v>
      </c>
      <c r="C577" s="18" t="s">
        <v>530</v>
      </c>
      <c r="D577" s="19" t="s">
        <v>439</v>
      </c>
      <c r="E577" s="18" t="s">
        <v>530</v>
      </c>
      <c r="F577" s="19" t="s">
        <v>439</v>
      </c>
      <c r="G577" s="18" t="s">
        <v>530</v>
      </c>
      <c r="H577" s="19" t="s">
        <v>439</v>
      </c>
      <c r="I577" s="254" t="s">
        <v>530</v>
      </c>
      <c r="J577" s="19" t="s">
        <v>439</v>
      </c>
      <c r="K577" s="18" t="s">
        <v>530</v>
      </c>
      <c r="L577" s="19" t="s">
        <v>439</v>
      </c>
      <c r="M577" s="254" t="s">
        <v>530</v>
      </c>
      <c r="N577" s="19" t="s">
        <v>439</v>
      </c>
      <c r="O577" s="254" t="s">
        <v>530</v>
      </c>
    </row>
    <row r="578" spans="1:19" s="168" customFormat="1" ht="18" customHeight="1">
      <c r="A578" s="181" t="s">
        <v>559</v>
      </c>
      <c r="B578" s="185">
        <f>+GETPIVOTDATA(" New Prof avg",'Averages Pivot Table'!$A$3,"Category",14,"Category2","Technical Institutes")</f>
        <v>0</v>
      </c>
      <c r="C578" s="185"/>
      <c r="D578" s="185">
        <f>+GETPIVOTDATA(" New Asc. avg",'Averages Pivot Table'!$A$3,"Category",14,"Category2","Technical Institutes")</f>
        <v>0</v>
      </c>
      <c r="E578" s="185"/>
      <c r="F578" s="185">
        <f>+GETPIVOTDATA(" New Ast. avg",'Averages Pivot Table'!$A$3,"Category",14,"Category2","Technical Institutes")</f>
        <v>0</v>
      </c>
      <c r="G578" s="185"/>
      <c r="H578" s="185">
        <f>+GETPIVOTDATA(" New Inst. avg",'Averages Pivot Table'!$A$3,"Category",14,"Category2","Technical Institutes")</f>
        <v>0</v>
      </c>
      <c r="I578" s="257"/>
      <c r="J578" s="185">
        <f>+GETPIVOTDATA(" New Undesg. avg",'Averages Pivot Table'!$A$3,"Category",14,"Category2","Technical Institutes")</f>
        <v>0</v>
      </c>
      <c r="K578" s="185"/>
      <c r="L578" s="185">
        <f>+GETPIVOTDATA(" New Single Rnk avg",'Averages Pivot Table'!$A$3,"Category",14,"Category2","Technical Institutes")</f>
        <v>34482.075575237992</v>
      </c>
      <c r="M578" s="257"/>
      <c r="N578" s="185">
        <f>+GETPIVOTDATA(" New All Ranks avg",'Averages Pivot Table'!$A$3,"Category",14,"Category2","Technical Institutes")</f>
        <v>34482.075575237992</v>
      </c>
      <c r="O578" s="244"/>
      <c r="Q578" s="209"/>
      <c r="R578" s="209"/>
      <c r="S578" s="209"/>
    </row>
    <row r="579" spans="1:19" ht="12.95" customHeight="1">
      <c r="A579" s="12"/>
      <c r="B579" s="9"/>
      <c r="C579" s="17"/>
      <c r="D579" s="9"/>
      <c r="E579" s="17"/>
      <c r="F579" s="9"/>
      <c r="G579" s="17"/>
      <c r="H579" s="9"/>
      <c r="I579" s="261"/>
      <c r="J579" s="9"/>
      <c r="K579" s="17"/>
      <c r="L579" s="9"/>
      <c r="M579" s="261"/>
      <c r="N579" s="9"/>
      <c r="O579" s="245"/>
    </row>
    <row r="580" spans="1:19" ht="12.95" customHeight="1">
      <c r="A580" s="12" t="s">
        <v>542</v>
      </c>
      <c r="B580" s="62">
        <f>+GETPIVOTDATA(" New Prof avg",'Averages Pivot Table'!$A$3,"State","AL","Category",14,"Category2","Technical Institutes")</f>
        <v>0</v>
      </c>
      <c r="C580" s="141">
        <f>IF(B580&gt;0,(RANK(B580,B$580:B$598)),0)</f>
        <v>0</v>
      </c>
      <c r="D580" s="62">
        <f>+GETPIVOTDATA(" New Asc. avg",'Averages Pivot Table'!$A$3,"State","AL","Category",14,"Category2","Technical Institutes")</f>
        <v>0</v>
      </c>
      <c r="E580" s="141">
        <f>IF(D580&gt;0,(RANK(D580,D$580:D$598)),0)</f>
        <v>0</v>
      </c>
      <c r="F580" s="62">
        <f>+GETPIVOTDATA(" New Ast. avg",'Averages Pivot Table'!$A$3,"State","AL","Category",14,"Category2","Technical Institutes")</f>
        <v>0</v>
      </c>
      <c r="G580" s="141">
        <f t="shared" ref="G580:G598" si="91">IF(F580&gt;0,(RANK(F580,F$580:F$598)),0)</f>
        <v>0</v>
      </c>
      <c r="H580" s="62">
        <f>+GETPIVOTDATA(" New Inst. avg",'Averages Pivot Table'!$A$3,"State","AL","Category",14,"Category2","Technical Institutes")</f>
        <v>0</v>
      </c>
      <c r="I580" s="229">
        <f t="shared" ref="I580:I598" si="92">IF(H580&gt;0,(RANK(H580,H$580:H$598)),0)</f>
        <v>0</v>
      </c>
      <c r="J580" s="62">
        <f>+GETPIVOTDATA(" New Undesg. avg",'Averages Pivot Table'!$A$3,"State","AL","Category",14,"Category2","Technical Institutes")</f>
        <v>0</v>
      </c>
      <c r="K580" s="141">
        <f t="shared" ref="K580:K598" si="93">IF(J580&gt;0,(RANK(J580,J$580:J$598)),0)</f>
        <v>0</v>
      </c>
      <c r="L580" s="62">
        <f>+GETPIVOTDATA(" New Single Rnk avg",'Averages Pivot Table'!$A$3,"State","AL","Category",14,"Category2","Technical Institutes")</f>
        <v>0</v>
      </c>
      <c r="M580" s="229">
        <f t="shared" ref="M580:M598" si="94">IF(L580&gt;0,(RANK(L580,L$580:L$598)),0)</f>
        <v>0</v>
      </c>
      <c r="N580" s="62">
        <f>+GETPIVOTDATA(" New All Ranks avg",'Averages Pivot Table'!$A$3,"State","AL","Category",14,"Category2","Technical Institutes")</f>
        <v>0</v>
      </c>
      <c r="O580" s="229">
        <f t="shared" ref="O580:O598" si="95">IF(N580&gt;0,(RANK(N580,N$580:N$598)),0)</f>
        <v>0</v>
      </c>
    </row>
    <row r="581" spans="1:19" ht="12.95" customHeight="1">
      <c r="A581" s="12" t="s">
        <v>543</v>
      </c>
      <c r="B581" s="62">
        <f>+GETPIVOTDATA(" New Prof avg",'Averages Pivot Table'!$A$3,"State","AR","Category",14,"Category2","Technical Institutes")</f>
        <v>0</v>
      </c>
      <c r="C581" s="141">
        <f t="shared" ref="C581:E598" si="96">IF(B581&gt;0,(RANK(B581,B$580:B$598)),0)</f>
        <v>0</v>
      </c>
      <c r="D581" s="62">
        <f>+GETPIVOTDATA(" New Asc. avg",'Averages Pivot Table'!$A$3,"State","AR","Category",14,"Category2","Technical Institutes")</f>
        <v>0</v>
      </c>
      <c r="E581" s="141">
        <f t="shared" si="96"/>
        <v>0</v>
      </c>
      <c r="F581" s="62">
        <f>+GETPIVOTDATA(" New Ast. avg",'Averages Pivot Table'!$A$3,"State","AR","Category",14,"Category2","Technical Institutes")</f>
        <v>0</v>
      </c>
      <c r="G581" s="141">
        <f t="shared" si="91"/>
        <v>0</v>
      </c>
      <c r="H581" s="62">
        <f>+GETPIVOTDATA(" New Inst. avg",'Averages Pivot Table'!$A$3,"State","AR","Category",14,"Category2","Technical Institutes")</f>
        <v>0</v>
      </c>
      <c r="I581" s="229">
        <f t="shared" si="92"/>
        <v>0</v>
      </c>
      <c r="J581" s="62">
        <f>+GETPIVOTDATA(" New Undesg. avg",'Averages Pivot Table'!$A$3,"State","AR","Category",14,"Category2","Technical Institutes")</f>
        <v>0</v>
      </c>
      <c r="K581" s="141">
        <f t="shared" si="93"/>
        <v>0</v>
      </c>
      <c r="L581" s="62">
        <f>+GETPIVOTDATA(" New Single Rnk avg",'Averages Pivot Table'!$A$3,"State","AR","Category",14,"Category2","Technical Institutes")</f>
        <v>0</v>
      </c>
      <c r="M581" s="229">
        <f t="shared" si="94"/>
        <v>0</v>
      </c>
      <c r="N581" s="62">
        <f>+GETPIVOTDATA(" New All Ranks avg",'Averages Pivot Table'!$A$3,"State","AR","Category",14,"Category2","Technical Institutes")</f>
        <v>0</v>
      </c>
      <c r="O581" s="229">
        <f t="shared" si="95"/>
        <v>0</v>
      </c>
    </row>
    <row r="582" spans="1:19" ht="12.95" customHeight="1">
      <c r="A582" s="12" t="s">
        <v>558</v>
      </c>
      <c r="B582" s="62">
        <f>+GETPIVOTDATA(" New Prof avg",'Averages Pivot Table'!$A$3,"State","DE","Category",14,"Category2","Technical Institutes")</f>
        <v>0</v>
      </c>
      <c r="C582" s="141">
        <f t="shared" si="96"/>
        <v>0</v>
      </c>
      <c r="D582" s="62">
        <f>+GETPIVOTDATA(" New Asc. avg",'Averages Pivot Table'!$A$3,"State","DE","Category",14,"Category2","Technical Institutes")</f>
        <v>0</v>
      </c>
      <c r="E582" s="141">
        <f t="shared" si="96"/>
        <v>0</v>
      </c>
      <c r="F582" s="62">
        <f>+GETPIVOTDATA(" New Ast. avg",'Averages Pivot Table'!$A$3,"State","DE","Category",14,"Category2","Technical Institutes")</f>
        <v>0</v>
      </c>
      <c r="G582" s="141">
        <f t="shared" si="91"/>
        <v>0</v>
      </c>
      <c r="H582" s="62">
        <f>+GETPIVOTDATA(" New Inst. avg",'Averages Pivot Table'!$A$3,"State","DE","Category",14,"Category2","Technical Institutes")</f>
        <v>0</v>
      </c>
      <c r="I582" s="229">
        <f t="shared" si="92"/>
        <v>0</v>
      </c>
      <c r="J582" s="62">
        <f>+GETPIVOTDATA(" New Undesg. avg",'Averages Pivot Table'!$A$3,"State","DE","Category",14,"Category2","Technical Institutes")</f>
        <v>0</v>
      </c>
      <c r="K582" s="141">
        <f t="shared" si="93"/>
        <v>0</v>
      </c>
      <c r="L582" s="62">
        <f>+GETPIVOTDATA(" New Single Rnk avg",'Averages Pivot Table'!$A$3,"State","DE","Category",14,"Category2","Technical Institutes")</f>
        <v>0</v>
      </c>
      <c r="M582" s="229">
        <f t="shared" si="94"/>
        <v>0</v>
      </c>
      <c r="N582" s="62">
        <f>+GETPIVOTDATA(" New All Ranks avg",'Averages Pivot Table'!$A$3,"State","DE","Category",14,"Category2","Technical Institutes")</f>
        <v>0</v>
      </c>
      <c r="O582" s="229">
        <f t="shared" si="95"/>
        <v>0</v>
      </c>
    </row>
    <row r="583" spans="1:19" ht="12.95" customHeight="1">
      <c r="A583" s="12" t="s">
        <v>544</v>
      </c>
      <c r="B583" s="62">
        <f>+GETPIVOTDATA(" New Prof avg",'Averages Pivot Table'!$A$3,"State","FL","Category",14,"Category2","Technical Institutes")</f>
        <v>0</v>
      </c>
      <c r="C583" s="141">
        <f t="shared" si="96"/>
        <v>0</v>
      </c>
      <c r="D583" s="62">
        <f>+GETPIVOTDATA(" New Asc. avg",'Averages Pivot Table'!$A$3,"State","FL","Category",14,"Category2","Technical Institutes")</f>
        <v>0</v>
      </c>
      <c r="E583" s="141">
        <f t="shared" si="96"/>
        <v>0</v>
      </c>
      <c r="F583" s="62">
        <f>+GETPIVOTDATA(" New Ast. avg",'Averages Pivot Table'!$A$3,"State","FL","Category",14,"Category2","Technical Institutes")</f>
        <v>0</v>
      </c>
      <c r="G583" s="141">
        <f t="shared" si="91"/>
        <v>0</v>
      </c>
      <c r="H583" s="62">
        <f>+GETPIVOTDATA(" New Inst. avg",'Averages Pivot Table'!$A$3,"State","FL","Category",14,"Category2","Technical Institutes")</f>
        <v>0</v>
      </c>
      <c r="I583" s="229">
        <f t="shared" si="92"/>
        <v>0</v>
      </c>
      <c r="J583" s="62">
        <f>+GETPIVOTDATA(" New Undesg. avg",'Averages Pivot Table'!$A$3,"State","FL","Category",14,"Category2","Technical Institutes")</f>
        <v>0</v>
      </c>
      <c r="K583" s="141">
        <f t="shared" si="93"/>
        <v>0</v>
      </c>
      <c r="L583" s="62">
        <f>+GETPIVOTDATA(" New Single Rnk avg",'Averages Pivot Table'!$A$3,"State","FL","Category",14,"Category2","Technical Institutes")</f>
        <v>0</v>
      </c>
      <c r="M583" s="229">
        <f t="shared" si="94"/>
        <v>0</v>
      </c>
      <c r="N583" s="62">
        <f>+GETPIVOTDATA(" New All Ranks avg",'Averages Pivot Table'!$A$3,"State","FL","Category",14,"Category2","Technical Institutes")</f>
        <v>0</v>
      </c>
      <c r="O583" s="229">
        <f t="shared" si="95"/>
        <v>0</v>
      </c>
    </row>
    <row r="584" spans="1:19" ht="12.95" customHeight="1">
      <c r="A584" s="12"/>
      <c r="B584" s="62"/>
      <c r="C584" s="141">
        <f t="shared" si="96"/>
        <v>0</v>
      </c>
      <c r="D584" s="62"/>
      <c r="E584" s="141">
        <f t="shared" si="96"/>
        <v>0</v>
      </c>
      <c r="F584" s="62"/>
      <c r="G584" s="141">
        <f t="shared" si="91"/>
        <v>0</v>
      </c>
      <c r="H584" s="62"/>
      <c r="I584" s="229">
        <f t="shared" si="92"/>
        <v>0</v>
      </c>
      <c r="J584" s="62"/>
      <c r="K584" s="141">
        <f t="shared" si="93"/>
        <v>0</v>
      </c>
      <c r="L584" s="62"/>
      <c r="M584" s="229">
        <f t="shared" si="94"/>
        <v>0</v>
      </c>
      <c r="N584" s="62"/>
      <c r="O584" s="229">
        <f t="shared" si="95"/>
        <v>0</v>
      </c>
    </row>
    <row r="585" spans="1:19" ht="12.95" customHeight="1">
      <c r="A585" s="12" t="s">
        <v>545</v>
      </c>
      <c r="B585" s="62">
        <f>+GETPIVOTDATA(" New Prof avg",'Averages Pivot Table'!$A$3,"State","GA","Category",14,"Category2","Technical Institutes")</f>
        <v>0</v>
      </c>
      <c r="C585" s="141">
        <f t="shared" si="96"/>
        <v>0</v>
      </c>
      <c r="D585" s="62">
        <f>+GETPIVOTDATA(" New Asc. avg",'Averages Pivot Table'!$A$3,"State","GA","Category",14,"Category2","Technical Institutes")</f>
        <v>0</v>
      </c>
      <c r="E585" s="141">
        <f t="shared" si="96"/>
        <v>0</v>
      </c>
      <c r="F585" s="62">
        <f>+GETPIVOTDATA(" New Ast. avg",'Averages Pivot Table'!$A$3,"State","GA","Category",14,"Category2","Technical Institutes")</f>
        <v>0</v>
      </c>
      <c r="G585" s="141">
        <f t="shared" si="91"/>
        <v>0</v>
      </c>
      <c r="H585" s="62">
        <f>+GETPIVOTDATA(" New Inst. avg",'Averages Pivot Table'!$A$3,"State","GA","Category",14,"Category2","Technical Institutes")</f>
        <v>0</v>
      </c>
      <c r="I585" s="229">
        <f t="shared" si="92"/>
        <v>0</v>
      </c>
      <c r="J585" s="62">
        <f>+GETPIVOTDATA(" New Undesg. avg",'Averages Pivot Table'!$A$3,"State","GA","Category",14,"Category2","Technical Institutes")</f>
        <v>0</v>
      </c>
      <c r="K585" s="141">
        <f t="shared" si="93"/>
        <v>0</v>
      </c>
      <c r="L585" s="62">
        <f>+GETPIVOTDATA(" New Single Rnk avg",'Averages Pivot Table'!$A$3,"State","GA","Category",14,"Category2","Technical Institutes")</f>
        <v>0</v>
      </c>
      <c r="M585" s="229">
        <f t="shared" si="94"/>
        <v>0</v>
      </c>
      <c r="N585" s="62">
        <f>+GETPIVOTDATA(" New All Ranks avg",'Averages Pivot Table'!$A$3,"State","GA","Category",14,"Category2","Technical Institutes")</f>
        <v>0</v>
      </c>
      <c r="O585" s="229">
        <f t="shared" si="95"/>
        <v>0</v>
      </c>
    </row>
    <row r="586" spans="1:19" ht="12.95" customHeight="1">
      <c r="A586" s="12" t="s">
        <v>546</v>
      </c>
      <c r="B586" s="62">
        <f>+GETPIVOTDATA(" New Prof avg",'Averages Pivot Table'!$A$3,"State","KY","Category",14,"Category2","Technical Institutes")</f>
        <v>0</v>
      </c>
      <c r="C586" s="141">
        <f t="shared" si="96"/>
        <v>0</v>
      </c>
      <c r="D586" s="62">
        <f>+GETPIVOTDATA(" New Asc. avg",'Averages Pivot Table'!$A$3,"State","KY","Category",14,"Category2","Technical Institutes")</f>
        <v>0</v>
      </c>
      <c r="E586" s="141">
        <f t="shared" si="96"/>
        <v>0</v>
      </c>
      <c r="F586" s="62">
        <f>+GETPIVOTDATA(" New Ast. avg",'Averages Pivot Table'!$A$3,"State","KY","Category",14,"Category2","Technical Institutes")</f>
        <v>0</v>
      </c>
      <c r="G586" s="141">
        <f t="shared" si="91"/>
        <v>0</v>
      </c>
      <c r="H586" s="62">
        <f>+GETPIVOTDATA(" New Inst. avg",'Averages Pivot Table'!$A$3,"State","KY","Category",14,"Category2","Technical Institutes")</f>
        <v>0</v>
      </c>
      <c r="I586" s="229">
        <f t="shared" si="92"/>
        <v>0</v>
      </c>
      <c r="J586" s="62">
        <f>+GETPIVOTDATA(" New Undesg. avg",'Averages Pivot Table'!$A$3,"State","KY","Category",14,"Category2","Technical Institutes")</f>
        <v>0</v>
      </c>
      <c r="K586" s="141">
        <f t="shared" si="93"/>
        <v>0</v>
      </c>
      <c r="L586" s="62">
        <f>+GETPIVOTDATA(" New Single Rnk avg",'Averages Pivot Table'!$A$3,"State","KY","Category",14,"Category2","Technical Institutes")</f>
        <v>0</v>
      </c>
      <c r="M586" s="229">
        <f t="shared" si="94"/>
        <v>0</v>
      </c>
      <c r="N586" s="62">
        <f>+GETPIVOTDATA(" New All Ranks avg",'Averages Pivot Table'!$A$3,"State","KY","Category",14,"Category2","Technical Institutes")</f>
        <v>0</v>
      </c>
      <c r="O586" s="229">
        <f t="shared" si="95"/>
        <v>0</v>
      </c>
    </row>
    <row r="587" spans="1:19" ht="12.95" customHeight="1">
      <c r="A587" s="12" t="s">
        <v>547</v>
      </c>
      <c r="B587" s="62">
        <f>+GETPIVOTDATA(" New Prof avg",'Averages Pivot Table'!$A$3,"State","LA","Category",14,"Category2","Technical Institutes")</f>
        <v>0</v>
      </c>
      <c r="C587" s="141">
        <f t="shared" si="96"/>
        <v>0</v>
      </c>
      <c r="D587" s="62">
        <f>+GETPIVOTDATA(" New Asc. avg",'Averages Pivot Table'!$A$3,"State","LA","Category",14,"Category2","Technical Institutes")</f>
        <v>0</v>
      </c>
      <c r="E587" s="141">
        <f t="shared" si="96"/>
        <v>0</v>
      </c>
      <c r="F587" s="62">
        <f>+GETPIVOTDATA(" New Ast. avg",'Averages Pivot Table'!$A$3,"State","LA","Category",14,"Category2","Technical Institutes")</f>
        <v>0</v>
      </c>
      <c r="G587" s="141">
        <f t="shared" si="91"/>
        <v>0</v>
      </c>
      <c r="H587" s="62">
        <f>+GETPIVOTDATA(" New Inst. avg",'Averages Pivot Table'!$A$3,"State","LA","Category",14,"Category2","Technical Institutes")</f>
        <v>0</v>
      </c>
      <c r="I587" s="229">
        <f t="shared" si="92"/>
        <v>0</v>
      </c>
      <c r="J587" s="62">
        <f>+GETPIVOTDATA(" New Undesg. avg",'Averages Pivot Table'!$A$3,"State","LA","Category",14,"Category2","Technical Institutes")</f>
        <v>0</v>
      </c>
      <c r="K587" s="141">
        <f t="shared" si="93"/>
        <v>0</v>
      </c>
      <c r="L587" s="62">
        <f>+GETPIVOTDATA(" New Single Rnk avg",'Averages Pivot Table'!$A$3,"State","LA","Category",14,"Category2","Technical Institutes")</f>
        <v>34482.075575237992</v>
      </c>
      <c r="M587" s="229">
        <f t="shared" si="94"/>
        <v>1</v>
      </c>
      <c r="N587" s="62">
        <f>+GETPIVOTDATA(" New All Ranks avg",'Averages Pivot Table'!$A$3,"State","LA","Category",14,"Category2","Technical Institutes")</f>
        <v>34482.075575237992</v>
      </c>
      <c r="O587" s="229">
        <f t="shared" si="95"/>
        <v>1</v>
      </c>
    </row>
    <row r="588" spans="1:19" ht="12.95" customHeight="1">
      <c r="A588" s="12" t="s">
        <v>548</v>
      </c>
      <c r="B588" s="62">
        <f>+GETPIVOTDATA(" New Prof avg",'Averages Pivot Table'!$A$3,"State","MD","Category",14,"Category2","Technical Institutes")</f>
        <v>0</v>
      </c>
      <c r="C588" s="141">
        <f t="shared" si="96"/>
        <v>0</v>
      </c>
      <c r="D588" s="62">
        <f>+GETPIVOTDATA(" New Asc. avg",'Averages Pivot Table'!$A$3,"State","MD","Category",14,"Category2","Technical Institutes")</f>
        <v>0</v>
      </c>
      <c r="E588" s="141">
        <f t="shared" si="96"/>
        <v>0</v>
      </c>
      <c r="F588" s="62">
        <f>+GETPIVOTDATA(" New Ast. avg",'Averages Pivot Table'!$A$3,"State","MD","Category",14,"Category2","Technical Institutes")</f>
        <v>0</v>
      </c>
      <c r="G588" s="141">
        <f t="shared" si="91"/>
        <v>0</v>
      </c>
      <c r="H588" s="62">
        <f>+GETPIVOTDATA(" New Inst. avg",'Averages Pivot Table'!$A$3,"State","MD","Category",14,"Category2","Technical Institutes")</f>
        <v>0</v>
      </c>
      <c r="I588" s="229">
        <f t="shared" si="92"/>
        <v>0</v>
      </c>
      <c r="J588" s="62">
        <f>+GETPIVOTDATA(" New Undesg. avg",'Averages Pivot Table'!$A$3,"State","MD","Category",14,"Category2","Technical Institutes")</f>
        <v>0</v>
      </c>
      <c r="K588" s="141">
        <f t="shared" si="93"/>
        <v>0</v>
      </c>
      <c r="L588" s="62">
        <f>+GETPIVOTDATA(" New Single Rnk avg",'Averages Pivot Table'!$A$3,"State","MD","Category",14,"Category2","Technical Institutes")</f>
        <v>0</v>
      </c>
      <c r="M588" s="229">
        <f t="shared" si="94"/>
        <v>0</v>
      </c>
      <c r="N588" s="62">
        <f>+GETPIVOTDATA(" New All Ranks avg",'Averages Pivot Table'!$A$3,"State","MD","Category",14,"Category2","Technical Institutes")</f>
        <v>0</v>
      </c>
      <c r="O588" s="229">
        <f t="shared" si="95"/>
        <v>0</v>
      </c>
    </row>
    <row r="589" spans="1:19" ht="12.95" customHeight="1">
      <c r="A589" s="12"/>
      <c r="B589" s="62"/>
      <c r="C589" s="141">
        <f t="shared" si="96"/>
        <v>0</v>
      </c>
      <c r="D589" s="62"/>
      <c r="E589" s="141">
        <f t="shared" si="96"/>
        <v>0</v>
      </c>
      <c r="F589" s="62"/>
      <c r="G589" s="141">
        <f t="shared" si="91"/>
        <v>0</v>
      </c>
      <c r="H589" s="62"/>
      <c r="I589" s="229">
        <f t="shared" si="92"/>
        <v>0</v>
      </c>
      <c r="J589" s="62"/>
      <c r="K589" s="141">
        <f t="shared" si="93"/>
        <v>0</v>
      </c>
      <c r="L589" s="62"/>
      <c r="M589" s="229">
        <f t="shared" si="94"/>
        <v>0</v>
      </c>
      <c r="N589" s="62"/>
      <c r="O589" s="229">
        <f t="shared" si="95"/>
        <v>0</v>
      </c>
    </row>
    <row r="590" spans="1:19" ht="12.95" customHeight="1">
      <c r="A590" s="12" t="s">
        <v>549</v>
      </c>
      <c r="B590" s="62">
        <f>+GETPIVOTDATA(" New Prof avg",'Averages Pivot Table'!$A$3,"State","MS","Category",14,"Category2","Technical Institutes")</f>
        <v>0</v>
      </c>
      <c r="C590" s="141">
        <f t="shared" si="96"/>
        <v>0</v>
      </c>
      <c r="D590" s="62">
        <f>+GETPIVOTDATA(" New Asc. avg",'Averages Pivot Table'!$A$3,"State","MS","Category",14,"Category2","Technical Institutes")</f>
        <v>0</v>
      </c>
      <c r="E590" s="141">
        <f t="shared" si="96"/>
        <v>0</v>
      </c>
      <c r="F590" s="62">
        <f>+GETPIVOTDATA(" New Ast. avg",'Averages Pivot Table'!$A$3,"State","MS","Category",14,"Category2","Technical Institutes")</f>
        <v>0</v>
      </c>
      <c r="G590" s="141">
        <f t="shared" si="91"/>
        <v>0</v>
      </c>
      <c r="H590" s="62">
        <f>+GETPIVOTDATA(" New Inst. avg",'Averages Pivot Table'!$A$3,"State","MS","Category",14,"Category2","Technical Institutes")</f>
        <v>0</v>
      </c>
      <c r="I590" s="229">
        <f t="shared" si="92"/>
        <v>0</v>
      </c>
      <c r="J590" s="62">
        <f>+GETPIVOTDATA(" New Undesg. avg",'Averages Pivot Table'!$A$3,"State","MS","Category",14,"Category2","Technical Institutes")</f>
        <v>0</v>
      </c>
      <c r="K590" s="141">
        <f t="shared" si="93"/>
        <v>0</v>
      </c>
      <c r="L590" s="62">
        <f>+GETPIVOTDATA(" New Single Rnk avg",'Averages Pivot Table'!$A$3,"State","MS","Category",14,"Category2","Technical Institutes")</f>
        <v>0</v>
      </c>
      <c r="M590" s="229">
        <f t="shared" si="94"/>
        <v>0</v>
      </c>
      <c r="N590" s="62">
        <f>+GETPIVOTDATA(" New All Ranks avg",'Averages Pivot Table'!$A$3,"State","MS","Category",14,"Category2","Technical Institutes")</f>
        <v>0</v>
      </c>
      <c r="O590" s="229">
        <f t="shared" si="95"/>
        <v>0</v>
      </c>
    </row>
    <row r="591" spans="1:19" ht="12.95" customHeight="1">
      <c r="A591" s="12" t="s">
        <v>550</v>
      </c>
      <c r="B591" s="62">
        <f>+GETPIVOTDATA(" New Prof avg",'Averages Pivot Table'!$A$3,"State","NC","Category",14,"Category2","Technical Institutes")</f>
        <v>0</v>
      </c>
      <c r="C591" s="141">
        <f t="shared" si="96"/>
        <v>0</v>
      </c>
      <c r="D591" s="62">
        <f>+GETPIVOTDATA(" New Asc. avg",'Averages Pivot Table'!$A$3,"State","NC","Category",14,"Category2","Technical Institutes")</f>
        <v>0</v>
      </c>
      <c r="E591" s="141">
        <f t="shared" si="96"/>
        <v>0</v>
      </c>
      <c r="F591" s="62">
        <f>+GETPIVOTDATA(" New Ast. avg",'Averages Pivot Table'!$A$3,"State","NC","Category",14,"Category2","Technical Institutes")</f>
        <v>0</v>
      </c>
      <c r="G591" s="141">
        <f t="shared" si="91"/>
        <v>0</v>
      </c>
      <c r="H591" s="62">
        <f>+GETPIVOTDATA(" New Inst. avg",'Averages Pivot Table'!$A$3,"State","NC","Category",14,"Category2","Technical Institutes")</f>
        <v>0</v>
      </c>
      <c r="I591" s="229">
        <f t="shared" si="92"/>
        <v>0</v>
      </c>
      <c r="J591" s="62">
        <f>+GETPIVOTDATA(" New Undesg. avg",'Averages Pivot Table'!$A$3,"State","NC","Category",14,"Category2","Technical Institutes")</f>
        <v>0</v>
      </c>
      <c r="K591" s="141">
        <f t="shared" si="93"/>
        <v>0</v>
      </c>
      <c r="L591" s="62">
        <f>+GETPIVOTDATA(" New Single Rnk avg",'Averages Pivot Table'!$A$3,"State","NC","Category",14,"Category2","Technical Institutes")</f>
        <v>0</v>
      </c>
      <c r="M591" s="229">
        <f t="shared" si="94"/>
        <v>0</v>
      </c>
      <c r="N591" s="62">
        <f>+GETPIVOTDATA(" New All Ranks avg",'Averages Pivot Table'!$A$3,"State","NC","Category",14,"Category2","Technical Institutes")</f>
        <v>0</v>
      </c>
      <c r="O591" s="229">
        <f t="shared" si="95"/>
        <v>0</v>
      </c>
    </row>
    <row r="592" spans="1:19" ht="12.95" customHeight="1">
      <c r="A592" s="12" t="s">
        <v>551</v>
      </c>
      <c r="B592" s="62">
        <f>+GETPIVOTDATA(" New Prof avg",'Averages Pivot Table'!$A$3,"State","OK","Category",14,"Category2","Technical Institutes")</f>
        <v>0</v>
      </c>
      <c r="C592" s="141">
        <f t="shared" si="96"/>
        <v>0</v>
      </c>
      <c r="D592" s="62">
        <f>+GETPIVOTDATA(" New Asc. avg",'Averages Pivot Table'!$A$3,"State","OK","Category",14,"Category2","Technical Institutes")</f>
        <v>0</v>
      </c>
      <c r="E592" s="141">
        <f t="shared" si="96"/>
        <v>0</v>
      </c>
      <c r="F592" s="62">
        <f>+GETPIVOTDATA(" New Ast. avg",'Averages Pivot Table'!$A$3,"State","OK","Category",14,"Category2","Technical Institutes")</f>
        <v>0</v>
      </c>
      <c r="G592" s="141">
        <f t="shared" si="91"/>
        <v>0</v>
      </c>
      <c r="H592" s="62">
        <f>+GETPIVOTDATA(" New Inst. avg",'Averages Pivot Table'!$A$3,"State","OK","Category",14,"Category2","Technical Institutes")</f>
        <v>0</v>
      </c>
      <c r="I592" s="229">
        <f t="shared" si="92"/>
        <v>0</v>
      </c>
      <c r="J592" s="62">
        <f>+GETPIVOTDATA(" New Undesg. avg",'Averages Pivot Table'!$A$3,"State","OK","Category",14,"Category2","Technical Institutes")</f>
        <v>0</v>
      </c>
      <c r="K592" s="141">
        <f t="shared" si="93"/>
        <v>0</v>
      </c>
      <c r="L592" s="62">
        <f>+GETPIVOTDATA(" New Single Rnk avg",'Averages Pivot Table'!$A$3,"State","OK","Category",14,"Category2","Technical Institutes")</f>
        <v>0</v>
      </c>
      <c r="M592" s="229">
        <f t="shared" si="94"/>
        <v>0</v>
      </c>
      <c r="N592" s="62">
        <f>+GETPIVOTDATA(" New All Ranks avg",'Averages Pivot Table'!$A$3,"State","OK","Category",14,"Category2","Technical Institutes")</f>
        <v>0</v>
      </c>
      <c r="O592" s="229">
        <f t="shared" si="95"/>
        <v>0</v>
      </c>
    </row>
    <row r="593" spans="1:16" ht="12.95" customHeight="1">
      <c r="A593" s="12" t="s">
        <v>552</v>
      </c>
      <c r="B593" s="62">
        <f>+GETPIVOTDATA(" New Prof avg",'Averages Pivot Table'!$A$3,"State","SC","Category",14,"Category2","Technical Institutes")</f>
        <v>0</v>
      </c>
      <c r="C593" s="141">
        <f t="shared" si="96"/>
        <v>0</v>
      </c>
      <c r="D593" s="62">
        <f>+GETPIVOTDATA(" New Asc. avg",'Averages Pivot Table'!$A$3,"State","SC","Category",14,"Category2","Technical Institutes")</f>
        <v>0</v>
      </c>
      <c r="E593" s="141">
        <f t="shared" si="96"/>
        <v>0</v>
      </c>
      <c r="F593" s="62">
        <f>+GETPIVOTDATA(" New Ast. avg",'Averages Pivot Table'!$A$3,"State","SC","Category",14,"Category2","Technical Institutes")</f>
        <v>0</v>
      </c>
      <c r="G593" s="141">
        <f t="shared" si="91"/>
        <v>0</v>
      </c>
      <c r="H593" s="62">
        <f>+GETPIVOTDATA(" New Inst. avg",'Averages Pivot Table'!$A$3,"State","SC","Category",14,"Category2","Technical Institutes")</f>
        <v>0</v>
      </c>
      <c r="I593" s="229">
        <f t="shared" si="92"/>
        <v>0</v>
      </c>
      <c r="J593" s="62">
        <f>+GETPIVOTDATA(" New Undesg. avg",'Averages Pivot Table'!$A$3,"State","SC","Category",14,"Category2","Technical Institutes")</f>
        <v>0</v>
      </c>
      <c r="K593" s="141">
        <f t="shared" si="93"/>
        <v>0</v>
      </c>
      <c r="L593" s="62">
        <f>+GETPIVOTDATA(" New Single Rnk avg",'Averages Pivot Table'!$A$3,"State","SC","Category",14,"Category2","Technical Institutes")</f>
        <v>0</v>
      </c>
      <c r="M593" s="229">
        <f t="shared" si="94"/>
        <v>0</v>
      </c>
      <c r="N593" s="62">
        <f>+GETPIVOTDATA(" New All Ranks avg",'Averages Pivot Table'!$A$3,"State","SC","Category",14,"Category2","Technical Institutes")</f>
        <v>0</v>
      </c>
      <c r="O593" s="229">
        <f t="shared" si="95"/>
        <v>0</v>
      </c>
    </row>
    <row r="594" spans="1:16" ht="12.95" customHeight="1">
      <c r="A594" s="12"/>
      <c r="B594" s="62"/>
      <c r="C594" s="141">
        <f t="shared" si="96"/>
        <v>0</v>
      </c>
      <c r="D594" s="62"/>
      <c r="E594" s="141">
        <f t="shared" si="96"/>
        <v>0</v>
      </c>
      <c r="F594" s="62"/>
      <c r="G594" s="141">
        <f t="shared" si="91"/>
        <v>0</v>
      </c>
      <c r="H594" s="62"/>
      <c r="I594" s="229">
        <f t="shared" si="92"/>
        <v>0</v>
      </c>
      <c r="J594" s="62"/>
      <c r="K594" s="141">
        <f t="shared" si="93"/>
        <v>0</v>
      </c>
      <c r="L594" s="62"/>
      <c r="M594" s="229">
        <f t="shared" si="94"/>
        <v>0</v>
      </c>
      <c r="N594" s="62"/>
      <c r="O594" s="229">
        <f t="shared" si="95"/>
        <v>0</v>
      </c>
    </row>
    <row r="595" spans="1:16" ht="12.95" customHeight="1">
      <c r="A595" s="12" t="s">
        <v>553</v>
      </c>
      <c r="B595" s="140">
        <f>+GETPIVOTDATA(" New Prof avg",'Averages Pivot Table'!$A$3,"State","TN","Category",14,"Category2","Technical Institutes")</f>
        <v>0</v>
      </c>
      <c r="C595" s="141">
        <f t="shared" si="96"/>
        <v>0</v>
      </c>
      <c r="D595" s="140">
        <f>+GETPIVOTDATA(" New Asc. avg",'Averages Pivot Table'!$A$3,"State","TN","Category",14,"Category2","Technical Institutes")</f>
        <v>0</v>
      </c>
      <c r="E595" s="141">
        <f t="shared" si="96"/>
        <v>0</v>
      </c>
      <c r="F595" s="140">
        <f>+GETPIVOTDATA(" New Ast. avg",'Averages Pivot Table'!$A$3,"State","TN","Category",14,"Category2","Technical Institutes")</f>
        <v>0</v>
      </c>
      <c r="G595" s="141">
        <f t="shared" si="91"/>
        <v>0</v>
      </c>
      <c r="H595" s="140">
        <f>+GETPIVOTDATA(" New Inst. avg",'Averages Pivot Table'!$A$3,"State","TN","Category",14,"Category2","Technical Institutes")</f>
        <v>0</v>
      </c>
      <c r="I595" s="229">
        <f t="shared" si="92"/>
        <v>0</v>
      </c>
      <c r="J595" s="140">
        <f>+GETPIVOTDATA(" New Undesg. avg",'Averages Pivot Table'!$A$3,"State","TN","Category",14,"Category2","Technical Institutes")</f>
        <v>0</v>
      </c>
      <c r="K595" s="141">
        <f t="shared" si="93"/>
        <v>0</v>
      </c>
      <c r="L595" s="140">
        <f>+GETPIVOTDATA(" New Single Rnk avg",'Averages Pivot Table'!$A$3,"State","TN","Category",14,"Category2","Technical Institutes")</f>
        <v>0</v>
      </c>
      <c r="M595" s="229">
        <f t="shared" si="94"/>
        <v>0</v>
      </c>
      <c r="N595" s="62">
        <f>+GETPIVOTDATA(" New All Ranks avg",'Averages Pivot Table'!$A$3,"State","TN","Category",14,"Category2","Technical Institutes")</f>
        <v>0</v>
      </c>
      <c r="O595" s="229">
        <f t="shared" si="95"/>
        <v>0</v>
      </c>
    </row>
    <row r="596" spans="1:16" ht="12.95" customHeight="1">
      <c r="A596" s="12" t="s">
        <v>554</v>
      </c>
      <c r="B596" s="140">
        <f>+GETPIVOTDATA(" New Prof avg",'Averages Pivot Table'!$A$3,"State","TX","Category",14,"Category2","Technical Institutes")</f>
        <v>0</v>
      </c>
      <c r="C596" s="141">
        <f t="shared" si="96"/>
        <v>0</v>
      </c>
      <c r="D596" s="140">
        <f>+GETPIVOTDATA(" New Asc. avg",'Averages Pivot Table'!$A$3,"State","TX","Category",14,"Category2","Technical Institutes")</f>
        <v>0</v>
      </c>
      <c r="E596" s="141">
        <f t="shared" si="96"/>
        <v>0</v>
      </c>
      <c r="F596" s="140">
        <f>+GETPIVOTDATA(" New Ast. avg",'Averages Pivot Table'!$A$3,"State","TX","Category",14,"Category2","Technical Institutes")</f>
        <v>0</v>
      </c>
      <c r="G596" s="141">
        <f t="shared" si="91"/>
        <v>0</v>
      </c>
      <c r="H596" s="140">
        <f>+GETPIVOTDATA(" New Inst. avg",'Averages Pivot Table'!$A$3,"State","TX","Category",14,"Category2","Technical Institutes")</f>
        <v>0</v>
      </c>
      <c r="I596" s="229">
        <f t="shared" si="92"/>
        <v>0</v>
      </c>
      <c r="J596" s="140">
        <f>+GETPIVOTDATA(" New Undesg. avg",'Averages Pivot Table'!$A$3,"State","TX","Category",14,"Category2","Technical Institutes")</f>
        <v>0</v>
      </c>
      <c r="K596" s="141">
        <f t="shared" si="93"/>
        <v>0</v>
      </c>
      <c r="L596" s="140">
        <f>+GETPIVOTDATA(" New Single Rnk avg",'Averages Pivot Table'!$A$3,"State","TX","Category",14,"Category2","Technical Institutes")</f>
        <v>0</v>
      </c>
      <c r="M596" s="229">
        <f t="shared" si="94"/>
        <v>0</v>
      </c>
      <c r="N596" s="62">
        <f>+GETPIVOTDATA(" New All Ranks avg",'Averages Pivot Table'!$A$3,"State","TX","Category",14,"Category2","Technical Institutes")</f>
        <v>0</v>
      </c>
      <c r="O596" s="229">
        <f t="shared" si="95"/>
        <v>0</v>
      </c>
    </row>
    <row r="597" spans="1:16" ht="12.95" customHeight="1">
      <c r="A597" s="12" t="s">
        <v>555</v>
      </c>
      <c r="B597" s="140">
        <f>+GETPIVOTDATA(" New Prof avg",'Averages Pivot Table'!$A$3,"State","VA","Category",14,"Category2","Technical Institutes")</f>
        <v>0</v>
      </c>
      <c r="C597" s="141">
        <f t="shared" si="96"/>
        <v>0</v>
      </c>
      <c r="D597" s="140">
        <f>+GETPIVOTDATA(" New Asc. avg",'Averages Pivot Table'!$A$3,"State","VA","Category",14,"Category2","Technical Institutes")</f>
        <v>0</v>
      </c>
      <c r="E597" s="141">
        <f t="shared" si="96"/>
        <v>0</v>
      </c>
      <c r="F597" s="140">
        <f>+GETPIVOTDATA(" New Ast. avg",'Averages Pivot Table'!$A$3,"State","VA","Category",14,"Category2","Technical Institutes")</f>
        <v>0</v>
      </c>
      <c r="G597" s="141">
        <f t="shared" si="91"/>
        <v>0</v>
      </c>
      <c r="H597" s="140">
        <f>+GETPIVOTDATA(" New Inst. avg",'Averages Pivot Table'!$A$3,"State","VA","Category",14,"Category2","Technical Institutes")</f>
        <v>0</v>
      </c>
      <c r="I597" s="229">
        <f t="shared" si="92"/>
        <v>0</v>
      </c>
      <c r="J597" s="140">
        <f>+GETPIVOTDATA(" New Undesg. avg",'Averages Pivot Table'!$A$3,"State","VA","Category",14,"Category2","Technical Institutes")</f>
        <v>0</v>
      </c>
      <c r="K597" s="141">
        <f t="shared" si="93"/>
        <v>0</v>
      </c>
      <c r="L597" s="140">
        <f>+GETPIVOTDATA(" New Single Rnk avg",'Averages Pivot Table'!$A$3,"State","VA","Category",14,"Category2","Technical Institutes")</f>
        <v>0</v>
      </c>
      <c r="M597" s="229">
        <f t="shared" si="94"/>
        <v>0</v>
      </c>
      <c r="N597" s="62">
        <f>+GETPIVOTDATA(" New All Ranks avg",'Averages Pivot Table'!$A$3,"State","VA","Category",14,"Category2","Technical Institutes")</f>
        <v>0</v>
      </c>
      <c r="O597" s="229">
        <f t="shared" si="95"/>
        <v>0</v>
      </c>
    </row>
    <row r="598" spans="1:16" ht="12.95" customHeight="1">
      <c r="A598" s="11" t="s">
        <v>556</v>
      </c>
      <c r="B598" s="64">
        <f>+GETPIVOTDATA(" New Prof avg",'Averages Pivot Table'!$A$3,"State","WV","Category",14,"Category2","Technical Institutes")</f>
        <v>0</v>
      </c>
      <c r="C598" s="65">
        <f t="shared" si="96"/>
        <v>0</v>
      </c>
      <c r="D598" s="64">
        <f>+GETPIVOTDATA(" New Asc. avg",'Averages Pivot Table'!$A$3,"State","WV","Category",14,"Category2","Technical Institutes")</f>
        <v>0</v>
      </c>
      <c r="E598" s="65">
        <f t="shared" si="96"/>
        <v>0</v>
      </c>
      <c r="F598" s="64">
        <f>+GETPIVOTDATA(" New Ast. avg",'Averages Pivot Table'!$A$3,"State","WV","Category",14,"Category2","Technical Institutes")</f>
        <v>0</v>
      </c>
      <c r="G598" s="65">
        <f t="shared" si="91"/>
        <v>0</v>
      </c>
      <c r="H598" s="64">
        <f>+GETPIVOTDATA(" New Inst. avg",'Averages Pivot Table'!$A$3,"State","WV","Category",14,"Category2","Technical Institutes")</f>
        <v>0</v>
      </c>
      <c r="I598" s="230">
        <f t="shared" si="92"/>
        <v>0</v>
      </c>
      <c r="J598" s="64">
        <f>+GETPIVOTDATA(" New Undesg. avg",'Averages Pivot Table'!$A$3,"State","WV","Category",14,"Category2","Technical Institutes")</f>
        <v>0</v>
      </c>
      <c r="K598" s="65">
        <f t="shared" si="93"/>
        <v>0</v>
      </c>
      <c r="L598" s="64">
        <f>+GETPIVOTDATA(" New Single Rnk avg",'Averages Pivot Table'!$A$3,"State","WV","Category",14,"Category2","Technical Institutes")</f>
        <v>0</v>
      </c>
      <c r="M598" s="230">
        <f t="shared" si="94"/>
        <v>0</v>
      </c>
      <c r="N598" s="64">
        <f>+GETPIVOTDATA(" New All Ranks avg",'Averages Pivot Table'!$A$3,"State","WV","Category",14,"Category2","Technical Institutes")</f>
        <v>0</v>
      </c>
      <c r="O598" s="230">
        <f t="shared" si="95"/>
        <v>0</v>
      </c>
    </row>
    <row r="599" spans="1:16" ht="30" customHeight="1">
      <c r="A599" s="506" t="s">
        <v>426</v>
      </c>
      <c r="B599" s="507"/>
      <c r="C599" s="507"/>
      <c r="D599" s="507"/>
      <c r="E599" s="507"/>
      <c r="F599" s="507"/>
      <c r="G599" s="507"/>
      <c r="H599" s="507"/>
      <c r="I599" s="507"/>
      <c r="J599" s="507"/>
      <c r="K599" s="507"/>
      <c r="L599" s="507"/>
      <c r="M599" s="507"/>
      <c r="N599" s="507"/>
      <c r="O599" s="507"/>
    </row>
    <row r="600" spans="1:16">
      <c r="O600" s="487" t="s">
        <v>1000</v>
      </c>
      <c r="P600" s="196"/>
    </row>
  </sheetData>
  <mergeCells count="76">
    <mergeCell ref="A151:M151"/>
    <mergeCell ref="A93:M93"/>
    <mergeCell ref="A94:M94"/>
    <mergeCell ref="A63:I63"/>
    <mergeCell ref="A64:I64"/>
    <mergeCell ref="A123:M123"/>
    <mergeCell ref="A239:M239"/>
    <mergeCell ref="A153:M153"/>
    <mergeCell ref="A154:M154"/>
    <mergeCell ref="A211:M211"/>
    <mergeCell ref="A213:M213"/>
    <mergeCell ref="A214:M214"/>
    <mergeCell ref="A181:M181"/>
    <mergeCell ref="A183:M183"/>
    <mergeCell ref="A184:M184"/>
    <mergeCell ref="A179:M179"/>
    <mergeCell ref="A209:M209"/>
    <mergeCell ref="A29:O29"/>
    <mergeCell ref="A89:I89"/>
    <mergeCell ref="A119:M119"/>
    <mergeCell ref="A149:M149"/>
    <mergeCell ref="A124:M124"/>
    <mergeCell ref="A31:M31"/>
    <mergeCell ref="A91:M91"/>
    <mergeCell ref="A33:M33"/>
    <mergeCell ref="A34:M34"/>
    <mergeCell ref="A121:M121"/>
    <mergeCell ref="A59:M59"/>
    <mergeCell ref="A241:M241"/>
    <mergeCell ref="A243:M243"/>
    <mergeCell ref="A244:M244"/>
    <mergeCell ref="A269:M269"/>
    <mergeCell ref="A364:O364"/>
    <mergeCell ref="A271:M271"/>
    <mergeCell ref="A273:M273"/>
    <mergeCell ref="A331:O331"/>
    <mergeCell ref="A333:O333"/>
    <mergeCell ref="A274:M274"/>
    <mergeCell ref="A299:M299"/>
    <mergeCell ref="A301:O301"/>
    <mergeCell ref="A303:O303"/>
    <mergeCell ref="A304:O304"/>
    <mergeCell ref="A329:O329"/>
    <mergeCell ref="A393:O393"/>
    <mergeCell ref="A389:O389"/>
    <mergeCell ref="A334:O334"/>
    <mergeCell ref="A359:O359"/>
    <mergeCell ref="A361:O361"/>
    <mergeCell ref="A363:O363"/>
    <mergeCell ref="A391:O391"/>
    <mergeCell ref="A509:O509"/>
    <mergeCell ref="A394:O394"/>
    <mergeCell ref="A421:O421"/>
    <mergeCell ref="A423:O423"/>
    <mergeCell ref="A424:O424"/>
    <mergeCell ref="A419:O419"/>
    <mergeCell ref="A449:O449"/>
    <mergeCell ref="A481:O481"/>
    <mergeCell ref="A483:O483"/>
    <mergeCell ref="A484:O484"/>
    <mergeCell ref="A574:O574"/>
    <mergeCell ref="A599:O599"/>
    <mergeCell ref="A451:O451"/>
    <mergeCell ref="A453:O453"/>
    <mergeCell ref="A454:O454"/>
    <mergeCell ref="A479:O479"/>
    <mergeCell ref="A543:O543"/>
    <mergeCell ref="A544:O544"/>
    <mergeCell ref="A569:O569"/>
    <mergeCell ref="A511:O511"/>
    <mergeCell ref="A573:O573"/>
    <mergeCell ref="A571:O571"/>
    <mergeCell ref="A513:O513"/>
    <mergeCell ref="A514:O514"/>
    <mergeCell ref="A539:O539"/>
    <mergeCell ref="A541:O541"/>
  </mergeCells>
  <phoneticPr fontId="15" type="noConversion"/>
  <printOptions horizontalCentered="1"/>
  <pageMargins left="0.5" right="0.5" top="1" bottom="0.75" header="0.75" footer="0.5"/>
  <pageSetup firstPageNumber="133" orientation="landscape" useFirstPageNumber="1" r:id="rId1"/>
  <headerFooter alignWithMargins="0">
    <oddHeader>&amp;R&amp;"Arial,Regular"&amp;8SREB-State Data Exchange</oddHeader>
    <oddFooter>&amp;C&amp;"ARIAL,Regular"&amp;10&amp;P</oddFooter>
  </headerFooter>
  <rowBreaks count="19" manualBreakCount="19">
    <brk id="30" max="16383" man="1"/>
    <brk id="60" max="16383" man="1"/>
    <brk id="90" max="16383" man="1"/>
    <brk id="120" max="16383" man="1"/>
    <brk id="150" max="16383" man="1"/>
    <brk id="180" max="16383" man="1"/>
    <brk id="210" max="16383" man="1"/>
    <brk id="240" max="16383" man="1"/>
    <brk id="270" max="16383" man="1"/>
    <brk id="300" max="16383" man="1"/>
    <brk id="330" max="16383" man="1"/>
    <brk id="360" max="16383" man="1"/>
    <brk id="390" max="16383" man="1"/>
    <brk id="420" max="16383" man="1"/>
    <brk id="450" max="14" man="1"/>
    <brk id="480" max="16383" man="1"/>
    <brk id="510" max="16383" man="1"/>
    <brk id="540" max="16383" man="1"/>
    <brk id="570" max="16383" man="1"/>
  </rowBreaks>
</worksheet>
</file>

<file path=xl/worksheets/sheet4.xml><?xml version="1.0" encoding="utf-8"?>
<worksheet xmlns="http://schemas.openxmlformats.org/spreadsheetml/2006/main" xmlns:r="http://schemas.openxmlformats.org/officeDocument/2006/relationships">
  <sheetPr enableFormatConditionsCalculation="0">
    <tabColor indexed="16"/>
  </sheetPr>
  <dimension ref="A1:AM127"/>
  <sheetViews>
    <sheetView showGridLines="0" showZeros="0" view="pageBreakPreview" zoomScale="80" zoomScaleNormal="75" zoomScaleSheetLayoutView="80" workbookViewId="0">
      <selection activeCell="I21" sqref="I21"/>
    </sheetView>
  </sheetViews>
  <sheetFormatPr defaultColWidth="8.875" defaultRowHeight="15"/>
  <cols>
    <col min="1" max="1" width="5.625" style="27" customWidth="1"/>
    <col min="2" max="2" width="15.625" style="39" customWidth="1"/>
    <col min="3" max="3" width="6.25" style="27" bestFit="1" customWidth="1"/>
    <col min="4" max="4" width="5.875" style="27" customWidth="1"/>
    <col min="5" max="5" width="5.75" style="27" customWidth="1"/>
    <col min="6" max="6" width="5.25" style="27" customWidth="1"/>
    <col min="7" max="7" width="5.75" style="27" customWidth="1"/>
    <col min="8" max="8" width="5.5" style="27" customWidth="1"/>
    <col min="9" max="9" width="5.5" style="27" bestFit="1" customWidth="1"/>
    <col min="10" max="10" width="5.875" style="27" customWidth="1"/>
    <col min="11" max="13" width="4.875" style="27" customWidth="1"/>
    <col min="14" max="14" width="5.75" style="27" customWidth="1"/>
    <col min="15" max="15" width="5.875" style="27" customWidth="1"/>
    <col min="16" max="17" width="4.875" style="27" customWidth="1"/>
    <col min="18" max="18" width="5.625" style="27" customWidth="1"/>
    <col min="19" max="19" width="5.5" style="39" bestFit="1" customWidth="1"/>
    <col min="20" max="20" width="3.625" style="89" customWidth="1"/>
    <col min="21" max="21" width="6.625" style="76" customWidth="1"/>
    <col min="22" max="23" width="6.75" style="76" customWidth="1"/>
    <col min="24" max="24" width="7.25" style="76" customWidth="1"/>
    <col min="25" max="25" width="6.25" style="76" customWidth="1"/>
    <col min="26" max="26" width="7" style="76" customWidth="1"/>
    <col min="27" max="27" width="6.25" style="76" customWidth="1"/>
    <col min="28" max="28" width="5.375" style="76" customWidth="1"/>
    <col min="29" max="29" width="6.5" style="76" customWidth="1"/>
    <col min="30" max="30" width="6.875" style="76" customWidth="1"/>
    <col min="31" max="31" width="6.5" style="76" customWidth="1"/>
    <col min="32" max="32" width="5.375" style="76" customWidth="1"/>
    <col min="33" max="34" width="6.75" style="76" customWidth="1"/>
    <col min="35" max="35" width="5.625" style="76" customWidth="1"/>
    <col min="36" max="36" width="5.375" style="76" customWidth="1"/>
    <col min="37" max="37" width="6.375" style="99" customWidth="1"/>
    <col min="38" max="38" width="5.375" style="76" customWidth="1"/>
    <col min="39" max="39" width="8.875" style="76" customWidth="1"/>
    <col min="40" max="16384" width="8.875" style="27"/>
  </cols>
  <sheetData>
    <row r="1" spans="1:39" ht="18">
      <c r="A1" s="40" t="s">
        <v>1001</v>
      </c>
      <c r="B1" s="46"/>
      <c r="C1" s="47"/>
      <c r="D1" s="47"/>
      <c r="E1" s="47"/>
      <c r="F1" s="47"/>
      <c r="G1" s="47"/>
      <c r="H1" s="47"/>
      <c r="I1" s="47"/>
      <c r="J1" s="47"/>
      <c r="K1" s="47"/>
      <c r="L1" s="47"/>
      <c r="M1" s="47"/>
      <c r="N1" s="47"/>
      <c r="O1" s="47"/>
      <c r="P1" s="47"/>
      <c r="Q1" s="47"/>
      <c r="R1" s="47"/>
      <c r="S1" s="46"/>
      <c r="T1" s="87" t="s">
        <v>560</v>
      </c>
      <c r="U1" s="94"/>
      <c r="V1" s="94"/>
      <c r="W1" s="94"/>
      <c r="X1" s="94"/>
      <c r="Y1" s="94"/>
      <c r="Z1" s="94"/>
      <c r="AA1" s="94"/>
      <c r="AB1" s="94"/>
      <c r="AC1" s="94"/>
      <c r="AD1" s="94"/>
      <c r="AE1" s="94"/>
      <c r="AF1" s="94"/>
      <c r="AG1" s="94"/>
      <c r="AH1" s="94"/>
      <c r="AI1" s="94"/>
      <c r="AJ1" s="94"/>
      <c r="AK1" s="95"/>
    </row>
    <row r="2" spans="1:39" ht="18">
      <c r="A2" s="40" t="s">
        <v>27</v>
      </c>
      <c r="B2" s="46"/>
      <c r="C2" s="47"/>
      <c r="D2" s="47"/>
      <c r="E2" s="47"/>
      <c r="F2" s="47"/>
      <c r="G2" s="47"/>
      <c r="H2" s="47"/>
      <c r="I2" s="47"/>
      <c r="J2" s="47"/>
      <c r="K2" s="47"/>
      <c r="L2" s="47"/>
      <c r="M2" s="47"/>
      <c r="N2" s="47"/>
      <c r="O2" s="47"/>
      <c r="P2" s="47"/>
      <c r="Q2" s="47"/>
      <c r="R2" s="47"/>
      <c r="S2" s="46"/>
      <c r="T2" s="87" t="s">
        <v>560</v>
      </c>
      <c r="U2" s="94"/>
      <c r="V2" s="94"/>
      <c r="W2" s="94"/>
      <c r="X2" s="94"/>
      <c r="Y2" s="94"/>
      <c r="Z2" s="94"/>
      <c r="AA2" s="94"/>
      <c r="AB2" s="94"/>
      <c r="AC2" s="94"/>
      <c r="AD2" s="94"/>
      <c r="AE2" s="94"/>
      <c r="AF2" s="94"/>
      <c r="AG2" s="94"/>
      <c r="AH2" s="94"/>
      <c r="AI2" s="94"/>
      <c r="AJ2" s="94"/>
      <c r="AK2" s="95"/>
    </row>
    <row r="3" spans="1:39" s="1" customFormat="1" ht="18.75" customHeight="1">
      <c r="A3" s="192" t="s">
        <v>411</v>
      </c>
      <c r="B3" s="48"/>
      <c r="C3" s="49"/>
      <c r="D3" s="49"/>
      <c r="E3" s="49"/>
      <c r="F3" s="49"/>
      <c r="G3" s="49"/>
      <c r="H3" s="49"/>
      <c r="I3" s="49"/>
      <c r="J3" s="49"/>
      <c r="K3" s="49"/>
      <c r="L3" s="49"/>
      <c r="M3" s="49"/>
      <c r="N3" s="49"/>
      <c r="O3" s="49"/>
      <c r="P3" s="49"/>
      <c r="Q3" s="49"/>
      <c r="R3" s="49"/>
      <c r="S3" s="48"/>
      <c r="T3" s="88" t="s">
        <v>560</v>
      </c>
      <c r="U3" s="96"/>
      <c r="V3" s="96"/>
      <c r="W3" s="96"/>
      <c r="X3" s="96"/>
      <c r="Y3" s="96"/>
      <c r="Z3" s="96"/>
      <c r="AA3" s="96"/>
      <c r="AB3" s="96"/>
      <c r="AC3" s="96"/>
      <c r="AD3" s="96"/>
      <c r="AE3" s="96"/>
      <c r="AF3" s="96"/>
      <c r="AG3" s="96"/>
      <c r="AH3" s="96"/>
      <c r="AI3" s="96"/>
      <c r="AJ3" s="96"/>
      <c r="AK3" s="97"/>
      <c r="AL3" s="98"/>
      <c r="AM3" s="98"/>
    </row>
    <row r="4" spans="1:39" s="1" customFormat="1" ht="15.75" customHeight="1">
      <c r="A4" s="41"/>
      <c r="B4" s="48"/>
      <c r="C4" s="49"/>
      <c r="D4" s="49"/>
      <c r="E4" s="49"/>
      <c r="F4" s="49"/>
      <c r="G4" s="49"/>
      <c r="H4" s="49"/>
      <c r="I4" s="49"/>
      <c r="J4" s="49"/>
      <c r="K4" s="49"/>
      <c r="L4" s="49"/>
      <c r="M4" s="49"/>
      <c r="N4" s="49"/>
      <c r="O4" s="49"/>
      <c r="P4" s="49"/>
      <c r="Q4" s="49"/>
      <c r="R4" s="49"/>
      <c r="S4" s="48"/>
      <c r="T4" s="88" t="s">
        <v>560</v>
      </c>
      <c r="U4" s="206"/>
      <c r="V4" s="96"/>
      <c r="W4" s="96"/>
      <c r="X4" s="96"/>
      <c r="Y4" s="96"/>
      <c r="Z4" s="96"/>
      <c r="AA4" s="96"/>
      <c r="AB4" s="96"/>
      <c r="AC4" s="96"/>
      <c r="AD4" s="96"/>
      <c r="AE4" s="96"/>
      <c r="AF4" s="96"/>
      <c r="AG4" s="96"/>
      <c r="AH4" s="96"/>
      <c r="AI4" s="96"/>
      <c r="AJ4" s="96"/>
      <c r="AK4" s="97"/>
      <c r="AL4" s="98"/>
      <c r="AM4" s="98"/>
    </row>
    <row r="5" spans="1:39" ht="15.75" customHeight="1">
      <c r="A5" s="28"/>
      <c r="T5" s="89" t="s">
        <v>560</v>
      </c>
    </row>
    <row r="6" spans="1:39">
      <c r="A6" s="50"/>
      <c r="B6" s="29"/>
      <c r="C6" s="57" t="s">
        <v>412</v>
      </c>
      <c r="D6" s="51"/>
      <c r="E6" s="51"/>
      <c r="F6" s="51"/>
      <c r="G6" s="51"/>
      <c r="H6" s="51"/>
      <c r="I6" s="51"/>
      <c r="J6" s="51"/>
      <c r="K6" s="51"/>
      <c r="L6" s="51"/>
      <c r="M6" s="51"/>
      <c r="N6" s="51"/>
      <c r="O6" s="51"/>
      <c r="P6" s="51"/>
      <c r="Q6" s="51"/>
      <c r="R6" s="51"/>
      <c r="S6" s="51"/>
      <c r="T6" s="90"/>
      <c r="U6" s="57" t="s">
        <v>431</v>
      </c>
      <c r="V6" s="100"/>
      <c r="W6" s="100"/>
      <c r="X6" s="100"/>
      <c r="Y6" s="100"/>
      <c r="Z6" s="100"/>
      <c r="AA6" s="100"/>
      <c r="AB6" s="100"/>
      <c r="AC6" s="100"/>
      <c r="AD6" s="100"/>
      <c r="AE6" s="100"/>
      <c r="AF6" s="100"/>
      <c r="AG6" s="100"/>
      <c r="AH6" s="100"/>
      <c r="AI6" s="100"/>
      <c r="AJ6" s="100"/>
      <c r="AK6" s="100"/>
    </row>
    <row r="7" spans="1:39">
      <c r="A7" s="52"/>
      <c r="B7" s="70"/>
      <c r="C7" s="58" t="s">
        <v>417</v>
      </c>
      <c r="D7" s="56"/>
      <c r="E7" s="56"/>
      <c r="F7" s="56"/>
      <c r="G7" s="56"/>
      <c r="H7" s="56"/>
      <c r="I7" s="56"/>
      <c r="J7" s="55" t="s">
        <v>418</v>
      </c>
      <c r="K7" s="83"/>
      <c r="L7" s="83"/>
      <c r="M7" s="83"/>
      <c r="N7" s="85"/>
      <c r="O7" s="84"/>
      <c r="P7" s="55" t="s">
        <v>387</v>
      </c>
      <c r="Q7" s="83"/>
      <c r="R7" s="83"/>
      <c r="S7" s="56"/>
      <c r="U7" s="58" t="s">
        <v>417</v>
      </c>
      <c r="V7" s="101"/>
      <c r="W7" s="101"/>
      <c r="X7" s="101"/>
      <c r="Y7" s="101"/>
      <c r="Z7" s="101"/>
      <c r="AA7" s="101"/>
      <c r="AB7" s="102" t="s">
        <v>418</v>
      </c>
      <c r="AC7" s="103"/>
      <c r="AD7" s="103"/>
      <c r="AE7" s="103"/>
      <c r="AF7" s="104"/>
      <c r="AG7" s="105"/>
      <c r="AH7" s="102" t="s">
        <v>387</v>
      </c>
      <c r="AI7" s="103"/>
      <c r="AJ7" s="103"/>
      <c r="AK7" s="101"/>
    </row>
    <row r="8" spans="1:39" ht="41.25" customHeight="1">
      <c r="A8" s="71"/>
      <c r="B8" s="72"/>
      <c r="C8" s="73">
        <v>1</v>
      </c>
      <c r="D8" s="53">
        <v>2</v>
      </c>
      <c r="E8" s="53">
        <v>3</v>
      </c>
      <c r="F8" s="53">
        <v>4</v>
      </c>
      <c r="G8" s="53">
        <v>5</v>
      </c>
      <c r="H8" s="53">
        <v>6</v>
      </c>
      <c r="I8" s="86" t="s">
        <v>561</v>
      </c>
      <c r="J8" s="59" t="s">
        <v>401</v>
      </c>
      <c r="K8" s="53">
        <v>1</v>
      </c>
      <c r="L8" s="53">
        <v>2</v>
      </c>
      <c r="M8" s="53">
        <v>3</v>
      </c>
      <c r="N8" s="59" t="s">
        <v>563</v>
      </c>
      <c r="O8" s="86" t="s">
        <v>562</v>
      </c>
      <c r="P8" s="59">
        <v>1</v>
      </c>
      <c r="Q8" s="59">
        <v>2</v>
      </c>
      <c r="R8" s="59" t="s">
        <v>563</v>
      </c>
      <c r="S8" s="125" t="s">
        <v>529</v>
      </c>
      <c r="T8" s="91"/>
      <c r="U8" s="106">
        <v>1</v>
      </c>
      <c r="V8" s="107">
        <v>2</v>
      </c>
      <c r="W8" s="107">
        <v>3</v>
      </c>
      <c r="X8" s="107">
        <v>4</v>
      </c>
      <c r="Y8" s="107">
        <v>5</v>
      </c>
      <c r="Z8" s="107">
        <v>6</v>
      </c>
      <c r="AA8" s="109" t="s">
        <v>419</v>
      </c>
      <c r="AB8" s="108" t="s">
        <v>401</v>
      </c>
      <c r="AC8" s="107">
        <v>1</v>
      </c>
      <c r="AD8" s="107">
        <v>2</v>
      </c>
      <c r="AE8" s="107">
        <v>3</v>
      </c>
      <c r="AF8" s="108" t="s">
        <v>402</v>
      </c>
      <c r="AG8" s="109" t="s">
        <v>529</v>
      </c>
      <c r="AH8" s="108">
        <v>1</v>
      </c>
      <c r="AI8" s="108">
        <v>2</v>
      </c>
      <c r="AJ8" s="108" t="s">
        <v>402</v>
      </c>
      <c r="AK8" s="126" t="s">
        <v>529</v>
      </c>
    </row>
    <row r="9" spans="1:39">
      <c r="A9" s="38" t="s">
        <v>416</v>
      </c>
      <c r="B9" s="35" t="s">
        <v>435</v>
      </c>
      <c r="C9" s="36">
        <f t="shared" ref="C9:D14" si="0">IF(U$15&gt;0,(U9/U$15),0)</f>
        <v>0.3311619749108245</v>
      </c>
      <c r="D9" s="37">
        <f t="shared" si="0"/>
        <v>0.2536887584576506</v>
      </c>
      <c r="E9" s="37">
        <f t="shared" ref="D9:S15" si="1">IF(W$15&gt;0,(W9/W$15),0)</f>
        <v>0.23403377898191216</v>
      </c>
      <c r="F9" s="37">
        <f t="shared" si="1"/>
        <v>0.21593699720465764</v>
      </c>
      <c r="G9" s="37">
        <f t="shared" si="1"/>
        <v>0.19796378882757404</v>
      </c>
      <c r="H9" s="67">
        <f t="shared" si="1"/>
        <v>0.20238095185428309</v>
      </c>
      <c r="I9" s="36">
        <f t="shared" si="1"/>
        <v>0.27390453176898066</v>
      </c>
      <c r="J9" s="36">
        <f t="shared" si="1"/>
        <v>4.8426150121065374E-2</v>
      </c>
      <c r="K9" s="37">
        <f t="shared" si="1"/>
        <v>0.12524976850723721</v>
      </c>
      <c r="L9" s="37">
        <f t="shared" si="1"/>
        <v>9.8772762652547558E-2</v>
      </c>
      <c r="M9" s="37">
        <f t="shared" si="1"/>
        <v>6.8067225190333799E-2</v>
      </c>
      <c r="N9" s="67">
        <f t="shared" si="1"/>
        <v>0.19889502762430938</v>
      </c>
      <c r="O9" s="36">
        <f t="shared" si="1"/>
        <v>0.11087105488899961</v>
      </c>
      <c r="P9" s="164">
        <f t="shared" si="1"/>
        <v>3.1821797931583136E-3</v>
      </c>
      <c r="Q9" s="263">
        <f t="shared" si="1"/>
        <v>0</v>
      </c>
      <c r="R9" s="67">
        <f t="shared" si="1"/>
        <v>0</v>
      </c>
      <c r="S9" s="164">
        <f t="shared" si="1"/>
        <v>1.7185821697099893E-3</v>
      </c>
      <c r="T9" s="123"/>
      <c r="U9" s="110">
        <f>+GETPIVOTDATA(" Total # Prof New",'Counts Pivot Table'!$A$3,"Category",1,"Category2","Four-Year")</f>
        <v>14438</v>
      </c>
      <c r="V9" s="111">
        <f>+GETPIVOTDATA(" Total # Prof New",'Counts Pivot Table'!$A$3,"Category",2,"Category2","Four-Year")</f>
        <v>3112</v>
      </c>
      <c r="W9" s="111">
        <f>+GETPIVOTDATA(" Total # Prof New",'Counts Pivot Table'!$A$3,"Category",3,"Category2","Four-Year")</f>
        <v>6237</v>
      </c>
      <c r="X9" s="111">
        <f>+GETPIVOTDATA(" Total # Prof New",'Counts Pivot Table'!$A$3,"Category",4,"Category2","Four-Year")</f>
        <v>2111</v>
      </c>
      <c r="Y9" s="111">
        <f>+GETPIVOTDATA(" Total # Prof New",'Counts Pivot Table'!$A$3,"Category",5,"Category2","Four-Year")</f>
        <v>1050</v>
      </c>
      <c r="Z9" s="111">
        <f>+GETPIVOTDATA(" Total # Prof New",'Counts Pivot Table'!$A$3,"Category",6,"Category2","Four-Year")</f>
        <v>612</v>
      </c>
      <c r="AA9" s="113">
        <f>+GETPIVOTDATA(" Total # Prof New",'Counts Pivot Table'!$A$3,"Category2","Four-Year")</f>
        <v>27560</v>
      </c>
      <c r="AB9" s="110">
        <f>+GETPIVOTDATA(" Total # Prof New",'Counts Pivot Table'!$A$3,"Category",7,"Category2","Two-Year")</f>
        <v>80</v>
      </c>
      <c r="AC9" s="111">
        <f>+GETPIVOTDATA(" Total # Prof New",'Counts Pivot Table'!$A$3,"Category",8,"Category2","Two-Year")</f>
        <v>2570</v>
      </c>
      <c r="AD9" s="111">
        <f>+GETPIVOTDATA(" Total # Prof New",'Counts Pivot Table'!$A$3,"Category",9,"Category2","Two-Year")</f>
        <v>1464</v>
      </c>
      <c r="AE9" s="111">
        <f>+GETPIVOTDATA(" Total # Prof New",'Counts Pivot Table'!$A$3,"Category",10,"Category2","Two-Year")</f>
        <v>324</v>
      </c>
      <c r="AF9" s="112">
        <f>+GETPIVOTDATA(" Total # Prof New",'Counts Pivot Table'!$A$3,"Category",11,"Category2","Two-Year")</f>
        <v>432</v>
      </c>
      <c r="AG9" s="112">
        <f>+GETPIVOTDATA(" Total # Prof New",'Counts Pivot Table'!$A$3,"Category2","Two-Year")</f>
        <v>4870</v>
      </c>
      <c r="AH9" s="110">
        <f>+GETPIVOTDATA(" Total # Prof New",'Counts Pivot Table'!$A$3,"Category",12,"Category2","Technical Institutes")</f>
        <v>8</v>
      </c>
      <c r="AI9" s="111">
        <f>+GETPIVOTDATA(" Total # Prof New",'Counts Pivot Table'!$A$3,"Category",13,"Category2","Technical Institutes")</f>
        <v>0</v>
      </c>
      <c r="AJ9" s="112">
        <f>+GETPIVOTDATA(" Total # Prof New",'Counts Pivot Table'!$A$3,"Category",14,"Category2","Technical Institutes")</f>
        <v>0</v>
      </c>
      <c r="AK9" s="110">
        <f>+GETPIVOTDATA(" Total # Prof New",'Counts Pivot Table'!$A$3,"Category2","Technical Institutes")</f>
        <v>8</v>
      </c>
    </row>
    <row r="10" spans="1:39">
      <c r="A10" s="30"/>
      <c r="B10" s="38" t="s">
        <v>436</v>
      </c>
      <c r="C10" s="32">
        <f t="shared" si="0"/>
        <v>0.26088352283112048</v>
      </c>
      <c r="D10" s="34">
        <f t="shared" si="0"/>
        <v>0.26974810467106874</v>
      </c>
      <c r="E10" s="34">
        <f t="shared" si="1"/>
        <v>0.24097561786465285</v>
      </c>
      <c r="F10" s="34">
        <f t="shared" si="1"/>
        <v>0.24590835683562148</v>
      </c>
      <c r="G10" s="34">
        <f t="shared" si="1"/>
        <v>0.23642532494264559</v>
      </c>
      <c r="H10" s="68">
        <f t="shared" si="1"/>
        <v>0.24140211577389978</v>
      </c>
      <c r="I10" s="32">
        <f t="shared" si="1"/>
        <v>0.25336169188630708</v>
      </c>
      <c r="J10" s="32">
        <f t="shared" si="1"/>
        <v>6.4164648910411626E-2</v>
      </c>
      <c r="K10" s="34">
        <f t="shared" si="1"/>
        <v>9.7129489741215463E-2</v>
      </c>
      <c r="L10" s="34">
        <f t="shared" si="1"/>
        <v>9.1351311906796032E-2</v>
      </c>
      <c r="M10" s="34">
        <f t="shared" si="1"/>
        <v>8.0252098835517011E-2</v>
      </c>
      <c r="N10" s="68">
        <f t="shared" si="1"/>
        <v>0.29281767955801102</v>
      </c>
      <c r="O10" s="32">
        <f t="shared" si="1"/>
        <v>0.10178736887242654</v>
      </c>
      <c r="P10" s="32">
        <f t="shared" si="1"/>
        <v>1.3126491646778043E-2</v>
      </c>
      <c r="Q10" s="34">
        <f t="shared" si="1"/>
        <v>0</v>
      </c>
      <c r="R10" s="68">
        <f t="shared" si="1"/>
        <v>0</v>
      </c>
      <c r="S10" s="32">
        <f t="shared" si="1"/>
        <v>7.0891514500537054E-3</v>
      </c>
      <c r="T10" s="92"/>
      <c r="U10" s="114">
        <f>+GETPIVOTDATA(" Tot # Asc. Prof New",'Counts Pivot Table'!$A$3,"Category",1,"Category2","Four-Year")</f>
        <v>11374</v>
      </c>
      <c r="V10" s="115">
        <f>+GETPIVOTDATA(" Tot # Asc. Prof New",'Counts Pivot Table'!$A$3,"Category",2,"Category2","Four-Year")</f>
        <v>3309</v>
      </c>
      <c r="W10" s="115">
        <f>+GETPIVOTDATA(" Tot # Asc. Prof New",'Counts Pivot Table'!$A$3,"Category",3,"Category2","Four-Year")</f>
        <v>6422</v>
      </c>
      <c r="X10" s="115">
        <f>+GETPIVOTDATA(" Tot # Asc. Prof New",'Counts Pivot Table'!$A$3,"Category",4,"Category2","Four-Year")</f>
        <v>2404</v>
      </c>
      <c r="Y10" s="115">
        <f>+GETPIVOTDATA(" Tot # Asc. Prof New",'Counts Pivot Table'!$A$3,"Category",5,"Category2","Four-Year")</f>
        <v>1254</v>
      </c>
      <c r="Z10" s="115">
        <f>+GETPIVOTDATA(" Tot # Asc. Prof New",'Counts Pivot Table'!$A$3,"Category",6,"Category2","Four-Year")</f>
        <v>730</v>
      </c>
      <c r="AA10" s="117">
        <f>+GETPIVOTDATA(" Tot # Asc. Prof New",'Counts Pivot Table'!$A$3,"Category2","Four-Year")</f>
        <v>25493</v>
      </c>
      <c r="AB10" s="114">
        <f>+GETPIVOTDATA(" Tot # Asc. Prof New",'Counts Pivot Table'!$A$3,"Category",7,"Category2","Two-Year")</f>
        <v>106</v>
      </c>
      <c r="AC10" s="115">
        <f>+GETPIVOTDATA(" Tot # Asc. Prof New",'Counts Pivot Table'!$A$3,"Category",8,"Category2","Two-Year")</f>
        <v>1993</v>
      </c>
      <c r="AD10" s="115">
        <f>+GETPIVOTDATA(" Tot # Asc. Prof New",'Counts Pivot Table'!$A$3,"Category",9,"Category2","Two-Year")</f>
        <v>1354</v>
      </c>
      <c r="AE10" s="115">
        <f>+GETPIVOTDATA(" Tot # Asc. Prof New",'Counts Pivot Table'!$A$3,"Category",10,"Category2","Two-Year")</f>
        <v>382</v>
      </c>
      <c r="AF10" s="116">
        <f>+GETPIVOTDATA(" Tot # Asc. Prof New",'Counts Pivot Table'!$A$3,"Category",11,"Category2","Two-Year")</f>
        <v>636</v>
      </c>
      <c r="AG10" s="116">
        <f>+GETPIVOTDATA(" Tot # Asc. Prof New",'Counts Pivot Table'!$A$3,"Category2","Two-Year")</f>
        <v>4471</v>
      </c>
      <c r="AH10" s="114">
        <f>+GETPIVOTDATA(" Tot # Asc. Prof New",'Counts Pivot Table'!$A$3,"Category",12,"Category2","Technical Institutes")</f>
        <v>33</v>
      </c>
      <c r="AI10" s="115">
        <f>+GETPIVOTDATA(" Tot # Asc. Prof New",'Counts Pivot Table'!$A$3,"Category",13,"Category2","Technical Institutes")</f>
        <v>0</v>
      </c>
      <c r="AJ10" s="116">
        <f>+GETPIVOTDATA(" Tot # Asc. Prof New",'Counts Pivot Table'!$A$3,"Category",14,"Category2","Technical Institutes")</f>
        <v>0</v>
      </c>
      <c r="AK10" s="114">
        <f>+GETPIVOTDATA(" Tot # Asc. Prof New",'Counts Pivot Table'!$A$3,"Category2","Technical Institutes")</f>
        <v>33</v>
      </c>
    </row>
    <row r="11" spans="1:39">
      <c r="A11" s="30"/>
      <c r="B11" s="38" t="s">
        <v>437</v>
      </c>
      <c r="C11" s="32">
        <f t="shared" si="0"/>
        <v>0.25024084804785762</v>
      </c>
      <c r="D11" s="34">
        <f t="shared" si="0"/>
        <v>0.27341648324773782</v>
      </c>
      <c r="E11" s="34">
        <f t="shared" si="1"/>
        <v>0.30348965761387631</v>
      </c>
      <c r="F11" s="34">
        <f t="shared" si="1"/>
        <v>0.35055234710925087</v>
      </c>
      <c r="G11" s="34">
        <f t="shared" si="1"/>
        <v>0.36727002351872517</v>
      </c>
      <c r="H11" s="68">
        <f t="shared" si="1"/>
        <v>0.35515873183684304</v>
      </c>
      <c r="I11" s="32">
        <f t="shared" si="1"/>
        <v>0.28623818350563673</v>
      </c>
      <c r="J11" s="32">
        <f t="shared" si="1"/>
        <v>7.5665859564164648E-2</v>
      </c>
      <c r="K11" s="34">
        <f t="shared" si="1"/>
        <v>8.1193040596520299E-2</v>
      </c>
      <c r="L11" s="34">
        <f t="shared" si="1"/>
        <v>8.9327272535640947E-2</v>
      </c>
      <c r="M11" s="34">
        <f t="shared" si="1"/>
        <v>8.8865568980007262E-2</v>
      </c>
      <c r="N11" s="68">
        <f t="shared" si="1"/>
        <v>0.31767955801104975</v>
      </c>
      <c r="O11" s="32">
        <f t="shared" si="1"/>
        <v>9.6255199420302112E-2</v>
      </c>
      <c r="P11" s="32">
        <f t="shared" si="1"/>
        <v>1.5513126491646777E-2</v>
      </c>
      <c r="Q11" s="34">
        <f t="shared" si="1"/>
        <v>0</v>
      </c>
      <c r="R11" s="68">
        <f t="shared" si="1"/>
        <v>0</v>
      </c>
      <c r="S11" s="32">
        <f t="shared" si="1"/>
        <v>8.378088077336197E-3</v>
      </c>
      <c r="T11" s="92"/>
      <c r="U11" s="114">
        <f>+GETPIVOTDATA(" Tot # Ast. Prof New",'Counts Pivot Table'!$A$3,"Category",1,"Category2","Four-Year")</f>
        <v>10910.000657798568</v>
      </c>
      <c r="V11" s="115">
        <f>+GETPIVOTDATA(" Tot # Ast. Prof New",'Counts Pivot Table'!$A$3,"Category",2,"Category2","Four-Year")</f>
        <v>3354</v>
      </c>
      <c r="W11" s="115">
        <f>+GETPIVOTDATA(" Tot # Ast. Prof New",'Counts Pivot Table'!$A$3,"Category",3,"Category2","Four-Year")</f>
        <v>8087.9991032578291</v>
      </c>
      <c r="X11" s="115">
        <f>+GETPIVOTDATA(" Tot # Ast. Prof New",'Counts Pivot Table'!$A$3,"Category",4,"Category2","Four-Year")</f>
        <v>3426.9996078822332</v>
      </c>
      <c r="Y11" s="115">
        <f>+GETPIVOTDATA(" Tot # Ast. Prof New",'Counts Pivot Table'!$A$3,"Category",5,"Category2","Four-Year")</f>
        <v>1948.0003235871952</v>
      </c>
      <c r="Z11" s="115">
        <f>+GETPIVOTDATA(" Tot # Ast. Prof New",'Counts Pivot Table'!$A$3,"Category",6,"Category2","Four-Year")</f>
        <v>1074.0000078695543</v>
      </c>
      <c r="AA11" s="117">
        <f>+GETPIVOTDATA(" Tot # Ast. Prof New",'Counts Pivot Table'!$A$3,"Category2","Four-Year")</f>
        <v>28800.999700395379</v>
      </c>
      <c r="AB11" s="114">
        <f>+GETPIVOTDATA(" Tot # Ast. Prof New",'Counts Pivot Table'!$A$3,"Category",7,"Category2","Two-Year")</f>
        <v>125</v>
      </c>
      <c r="AC11" s="115">
        <f>+GETPIVOTDATA(" Tot # Ast. Prof New",'Counts Pivot Table'!$A$3,"Category",8,"Category2","Two-Year")</f>
        <v>1666</v>
      </c>
      <c r="AD11" s="115">
        <f>+GETPIVOTDATA(" Tot # Ast. Prof New",'Counts Pivot Table'!$A$3,"Category",9,"Category2","Two-Year")</f>
        <v>1323.9998910651648</v>
      </c>
      <c r="AE11" s="115">
        <f>+GETPIVOTDATA(" Tot # Ast. Prof New",'Counts Pivot Table'!$A$3,"Category",10,"Category2","Two-Year")</f>
        <v>423.00011891201876</v>
      </c>
      <c r="AF11" s="116">
        <f>+GETPIVOTDATA(" Tot # Ast. Prof New",'Counts Pivot Table'!$A$3,"Category",11,"Category2","Two-Year")</f>
        <v>690</v>
      </c>
      <c r="AG11" s="116">
        <f>+GETPIVOTDATA(" Tot # Ast. Prof New",'Counts Pivot Table'!$A$3,"Category2","Two-Year")</f>
        <v>4228.0000099771842</v>
      </c>
      <c r="AH11" s="114">
        <f>+GETPIVOTDATA(" Tot # Ast. Prof New",'Counts Pivot Table'!$A$3,"Category",12,"Category2","Technical Institutes")</f>
        <v>39</v>
      </c>
      <c r="AI11" s="115">
        <f>+GETPIVOTDATA(" Tot # Ast. Prof New",'Counts Pivot Table'!$A$3,"Category",13,"Category2","Technical Institutes")</f>
        <v>0</v>
      </c>
      <c r="AJ11" s="116">
        <f>+GETPIVOTDATA(" Tot # Ast. Prof New",'Counts Pivot Table'!$A$3,"Category",14,"Category2","Technical Institutes")</f>
        <v>0</v>
      </c>
      <c r="AK11" s="114">
        <f>+GETPIVOTDATA(" Tot # Ast. Prof New",'Counts Pivot Table'!$A$3,"Category2","Technical Institutes")</f>
        <v>39</v>
      </c>
    </row>
    <row r="12" spans="1:39">
      <c r="A12" s="30"/>
      <c r="B12" s="38" t="s">
        <v>438</v>
      </c>
      <c r="C12" s="32">
        <f t="shared" si="0"/>
        <v>6.3993760216179557E-2</v>
      </c>
      <c r="D12" s="34">
        <f t="shared" si="0"/>
        <v>0.1082579277737018</v>
      </c>
      <c r="E12" s="34">
        <f t="shared" si="1"/>
        <v>0.10840525693101559</v>
      </c>
      <c r="F12" s="34">
        <f t="shared" si="1"/>
        <v>0.11129296682078044</v>
      </c>
      <c r="G12" s="34">
        <f t="shared" si="1"/>
        <v>0.13027902674271777</v>
      </c>
      <c r="H12" s="68">
        <f t="shared" si="1"/>
        <v>0.14153439116606728</v>
      </c>
      <c r="I12" s="32">
        <f t="shared" si="1"/>
        <v>9.1573162399106955E-2</v>
      </c>
      <c r="J12" s="32">
        <f t="shared" si="1"/>
        <v>4.8426150121065374E-2</v>
      </c>
      <c r="K12" s="34">
        <f t="shared" si="1"/>
        <v>0.16565134753155611</v>
      </c>
      <c r="L12" s="34">
        <f t="shared" si="1"/>
        <v>0.14667485382967102</v>
      </c>
      <c r="M12" s="34">
        <f t="shared" si="1"/>
        <v>0.19495797832293135</v>
      </c>
      <c r="N12" s="68">
        <f t="shared" si="1"/>
        <v>0.19060773480662985</v>
      </c>
      <c r="O12" s="32">
        <f t="shared" si="1"/>
        <v>0.15924908191962059</v>
      </c>
      <c r="P12" s="32">
        <f t="shared" si="1"/>
        <v>5.0119331742243436E-2</v>
      </c>
      <c r="Q12" s="34">
        <f t="shared" si="1"/>
        <v>2.7110289587184228E-2</v>
      </c>
      <c r="R12" s="68">
        <f t="shared" si="1"/>
        <v>0</v>
      </c>
      <c r="S12" s="32">
        <f t="shared" si="1"/>
        <v>3.6519871106337275E-2</v>
      </c>
      <c r="T12" s="92"/>
      <c r="U12" s="114">
        <f>+GETPIVOTDATA(" Tot # Instr. New",'Counts Pivot Table'!$A$3,"Category",1,"Category2","Four-Year")</f>
        <v>2790</v>
      </c>
      <c r="V12" s="115">
        <f>+GETPIVOTDATA(" Tot # Instr. New",'Counts Pivot Table'!$A$3,"Category",2,"Category2","Four-Year")</f>
        <v>1328</v>
      </c>
      <c r="W12" s="115">
        <f>+GETPIVOTDATA(" Tot # Instr. New",'Counts Pivot Table'!$A$3,"Category",3,"Category2","Four-Year")</f>
        <v>2889</v>
      </c>
      <c r="X12" s="115">
        <f>+GETPIVOTDATA(" Tot # Instr. New",'Counts Pivot Table'!$A$3,"Category",4,"Category2","Four-Year")</f>
        <v>1088</v>
      </c>
      <c r="Y12" s="115">
        <f>+GETPIVOTDATA(" Tot # Instr. New",'Counts Pivot Table'!$A$3,"Category",5,"Category2","Four-Year")</f>
        <v>691</v>
      </c>
      <c r="Z12" s="115">
        <f>+GETPIVOTDATA(" Tot # Instr. New",'Counts Pivot Table'!$A$3,"Category",6,"Category2","Four-Year")</f>
        <v>428</v>
      </c>
      <c r="AA12" s="117">
        <f>+GETPIVOTDATA(" Tot # Instr. New",'Counts Pivot Table'!$A$3,"Category2","Four-Year")</f>
        <v>9214</v>
      </c>
      <c r="AB12" s="114">
        <f>+GETPIVOTDATA(" Tot # Instr. New",'Counts Pivot Table'!$A$3,"Category",7,"Category2","Two-Year")</f>
        <v>80</v>
      </c>
      <c r="AC12" s="115">
        <f>+GETPIVOTDATA(" Tot # Instr. New",'Counts Pivot Table'!$A$3,"Category",8,"Category2","Two-Year")</f>
        <v>3399</v>
      </c>
      <c r="AD12" s="115">
        <f>+GETPIVOTDATA(" Tot # Instr. New",'Counts Pivot Table'!$A$3,"Category",9,"Category2","Two-Year")</f>
        <v>2174</v>
      </c>
      <c r="AE12" s="115">
        <f>+GETPIVOTDATA(" Tot # Instr. New",'Counts Pivot Table'!$A$3,"Category",10,"Category2","Two-Year")</f>
        <v>928</v>
      </c>
      <c r="AF12" s="116">
        <f>+GETPIVOTDATA(" Tot # Instr. New",'Counts Pivot Table'!$A$3,"Category",11,"Category2","Two-Year")</f>
        <v>414</v>
      </c>
      <c r="AG12" s="116">
        <f>+GETPIVOTDATA(" Tot # Instr. New",'Counts Pivot Table'!$A$3,"Category2","Two-Year")</f>
        <v>6995</v>
      </c>
      <c r="AH12" s="114">
        <f>+GETPIVOTDATA(" Tot # Instr. New",'Counts Pivot Table'!$A$3,"Category",12,"Category2","Technical Institutes")</f>
        <v>126</v>
      </c>
      <c r="AI12" s="115">
        <f>+GETPIVOTDATA(" Tot # Instr. New",'Counts Pivot Table'!$A$3,"Category",13,"Category2","Technical Institutes")</f>
        <v>44</v>
      </c>
      <c r="AJ12" s="116">
        <f>+GETPIVOTDATA(" Tot # Instr. New",'Counts Pivot Table'!$A$3,"Category",14,"Category2","Technical Institutes")</f>
        <v>0</v>
      </c>
      <c r="AK12" s="114">
        <f>+GETPIVOTDATA(" Tot # Instr. New",'Counts Pivot Table'!$A$3,"Category2","Technical Institutes")</f>
        <v>170</v>
      </c>
    </row>
    <row r="13" spans="1:39">
      <c r="A13" s="30"/>
      <c r="B13" s="38" t="s">
        <v>414</v>
      </c>
      <c r="C13" s="32">
        <f t="shared" si="0"/>
        <v>9.3719893994017797E-2</v>
      </c>
      <c r="D13" s="34">
        <f t="shared" si="0"/>
        <v>9.4888725849841038E-2</v>
      </c>
      <c r="E13" s="34">
        <f t="shared" si="1"/>
        <v>0.11309568860854309</v>
      </c>
      <c r="F13" s="34">
        <f t="shared" si="1"/>
        <v>7.6309332029689536E-2</v>
      </c>
      <c r="G13" s="34">
        <f t="shared" si="1"/>
        <v>6.806183596833737E-2</v>
      </c>
      <c r="H13" s="68">
        <f t="shared" si="1"/>
        <v>5.9523809368906798E-2</v>
      </c>
      <c r="I13" s="32">
        <f t="shared" si="1"/>
        <v>9.4922430439968591E-2</v>
      </c>
      <c r="J13" s="32">
        <f t="shared" si="1"/>
        <v>0</v>
      </c>
      <c r="K13" s="34">
        <f t="shared" si="1"/>
        <v>5.994444173692675E-2</v>
      </c>
      <c r="L13" s="34">
        <f t="shared" si="1"/>
        <v>6.348713774320168E-2</v>
      </c>
      <c r="M13" s="34">
        <f t="shared" si="1"/>
        <v>0.11176470309030116</v>
      </c>
      <c r="N13" s="266">
        <f t="shared" si="1"/>
        <v>0</v>
      </c>
      <c r="O13" s="32">
        <f t="shared" si="1"/>
        <v>6.1536850382949884E-2</v>
      </c>
      <c r="P13" s="32">
        <f t="shared" si="1"/>
        <v>0</v>
      </c>
      <c r="Q13" s="264">
        <f t="shared" si="1"/>
        <v>6.1614294516327791E-4</v>
      </c>
      <c r="R13" s="68">
        <f t="shared" si="1"/>
        <v>0</v>
      </c>
      <c r="S13" s="198">
        <f t="shared" si="1"/>
        <v>2.1482277121374866E-4</v>
      </c>
      <c r="T13" s="92"/>
      <c r="U13" s="114">
        <f>++GETPIVOTDATA(" Tot # Undes. New",'Counts Pivot Table'!$A$3,"Category",1,"Category2","Four-Year")</f>
        <v>4086</v>
      </c>
      <c r="V13" s="115">
        <f>+GETPIVOTDATA(" Tot # Undes. New",'Counts Pivot Table'!$A$3,"Category",2,"Category2","Four-Year")</f>
        <v>1164</v>
      </c>
      <c r="W13" s="115">
        <f>+GETPIVOTDATA(" Tot # Undes. New",'Counts Pivot Table'!$A$3,"Category",3,"Category2","Four-Year")</f>
        <v>3014</v>
      </c>
      <c r="X13" s="115">
        <f>+GETPIVOTDATA(" Tot # Undes. New",'Counts Pivot Table'!$A$3,"Category",4,"Category2","Four-Year")</f>
        <v>746</v>
      </c>
      <c r="Y13" s="115">
        <f>+GETPIVOTDATA(" Tot # Undes. New",'Counts Pivot Table'!$A$3,"Category",5,"Category2","Four-Year")</f>
        <v>361</v>
      </c>
      <c r="Z13" s="115">
        <f>+GETPIVOTDATA(" Tot # Undes. New",'Counts Pivot Table'!$A$3,"Category",6,"Category2","Four-Year")</f>
        <v>180</v>
      </c>
      <c r="AA13" s="117">
        <f>+GETPIVOTDATA(" Tot # Undes. New",'Counts Pivot Table'!$A$3,"Category2","Four-Year")</f>
        <v>9551</v>
      </c>
      <c r="AB13" s="114">
        <f>+GETPIVOTDATA(" Tot # Undes. New",'Counts Pivot Table'!$A$3,"Category",7,"Category2","Two-Year")</f>
        <v>0</v>
      </c>
      <c r="AC13" s="115">
        <f>+GETPIVOTDATA(" Tot # Undes. New",'Counts Pivot Table'!$A$3,"Category",8,"Category2","Two-Year")</f>
        <v>1230</v>
      </c>
      <c r="AD13" s="115">
        <f>+GETPIVOTDATA(" Tot # Undes. New",'Counts Pivot Table'!$A$3,"Category",9,"Category2","Two-Year")</f>
        <v>941</v>
      </c>
      <c r="AE13" s="115">
        <f>+GETPIVOTDATA(" Tot # Undes. New",'Counts Pivot Table'!$A$3,"Category",10,"Category2","Two-Year")</f>
        <v>532</v>
      </c>
      <c r="AF13" s="116">
        <f>+GETPIVOTDATA(" Tot # Undes. New",'Counts Pivot Table'!$A$3,"Category",11,"Category2","Two-Year")</f>
        <v>0</v>
      </c>
      <c r="AG13" s="116">
        <f>+GETPIVOTDATA(" Tot # Undes. New",'Counts Pivot Table'!$A$3,"Category2","Two-Year")</f>
        <v>2703</v>
      </c>
      <c r="AH13" s="114">
        <f>+GETPIVOTDATA(" Tot # Undes. New",'Counts Pivot Table'!$A$3,"Category",12,"Category2","Technical Institutes")</f>
        <v>0</v>
      </c>
      <c r="AI13" s="115">
        <f>+GETPIVOTDATA(" Tot # Undes. New",'Counts Pivot Table'!$A$3,"Category",13,"Category2","Technical Institutes")</f>
        <v>1</v>
      </c>
      <c r="AJ13" s="116">
        <f>+GETPIVOTDATA(" Tot # Undes. New",'Counts Pivot Table'!$A$3,"Category",14,"Category2","Technical Institutes")</f>
        <v>0</v>
      </c>
      <c r="AK13" s="114">
        <f>+GETPIVOTDATA(" Tot # Undes. New",'Counts Pivot Table'!$A$3,"Category2","Technical Institutes")</f>
        <v>1</v>
      </c>
    </row>
    <row r="14" spans="1:39">
      <c r="A14" s="30"/>
      <c r="B14" s="38" t="s">
        <v>413</v>
      </c>
      <c r="C14" s="32">
        <f t="shared" si="0"/>
        <v>0</v>
      </c>
      <c r="D14" s="264">
        <f t="shared" si="0"/>
        <v>0</v>
      </c>
      <c r="E14" s="34">
        <f t="shared" si="1"/>
        <v>0</v>
      </c>
      <c r="F14" s="264">
        <f t="shared" si="1"/>
        <v>0</v>
      </c>
      <c r="G14" s="264">
        <f t="shared" si="1"/>
        <v>0</v>
      </c>
      <c r="H14" s="68">
        <f t="shared" si="1"/>
        <v>0</v>
      </c>
      <c r="I14" s="32">
        <f t="shared" si="1"/>
        <v>0</v>
      </c>
      <c r="J14" s="32">
        <f t="shared" si="1"/>
        <v>0.76331719128329301</v>
      </c>
      <c r="K14" s="34">
        <f t="shared" si="1"/>
        <v>0.47083191188654416</v>
      </c>
      <c r="L14" s="34">
        <f t="shared" si="1"/>
        <v>0.51038666133214272</v>
      </c>
      <c r="M14" s="34">
        <f t="shared" si="1"/>
        <v>0.45609242558090946</v>
      </c>
      <c r="N14" s="68">
        <f t="shared" si="1"/>
        <v>0</v>
      </c>
      <c r="O14" s="32">
        <f t="shared" si="1"/>
        <v>0.47030044451570124</v>
      </c>
      <c r="P14" s="32">
        <f t="shared" si="1"/>
        <v>0.91805887032617339</v>
      </c>
      <c r="Q14" s="34">
        <f t="shared" si="1"/>
        <v>0.97227356746765248</v>
      </c>
      <c r="R14" s="68">
        <f t="shared" si="1"/>
        <v>1</v>
      </c>
      <c r="S14" s="32">
        <f t="shared" si="1"/>
        <v>0.94607948442534906</v>
      </c>
      <c r="T14" s="92"/>
      <c r="U14" s="114">
        <f>+GETPIVOTDATA(" Tot # Single Rnk New",'Counts Pivot Table'!$A$3,"Category",1,"Category2","Four-Year")</f>
        <v>0</v>
      </c>
      <c r="V14" s="115">
        <f>+GETPIVOTDATA(" Tot # Single Rnk New",'Counts Pivot Table'!$A$3,"Category",2,"Category2","Four-Year")</f>
        <v>0</v>
      </c>
      <c r="W14" s="115">
        <f>+GETPIVOTDATA(" Tot # Single Rnk New",'Counts Pivot Table'!$A$3,"Category",3,"Category2","Four-Year")</f>
        <v>0</v>
      </c>
      <c r="X14" s="115">
        <f>+GETPIVOTDATA(" Tot # Single Rnk New",'Counts Pivot Table'!$A$3,"Category",4,"Category2","Four-Year")</f>
        <v>0</v>
      </c>
      <c r="Y14" s="115">
        <f>+GETPIVOTDATA(" Tot # Single Rnk New",'Counts Pivot Table'!$A$3,"Category",5,"Category2","Four-Year")</f>
        <v>0</v>
      </c>
      <c r="Z14" s="115">
        <f>+GETPIVOTDATA(" Tot # Single Rnk New",'Counts Pivot Table'!$A$3,"Category",6,"Category2","Four-Year")</f>
        <v>0</v>
      </c>
      <c r="AA14" s="117">
        <f>+GETPIVOTDATA(" Tot # Single Rnk New",'Counts Pivot Table'!$A$3,"Category2","Four-Year")</f>
        <v>0</v>
      </c>
      <c r="AB14" s="114">
        <f>+GETPIVOTDATA(" Tot # Single Rnk New",'Counts Pivot Table'!$A$3,"Category",7,"Category2","Two-Year")</f>
        <v>1261</v>
      </c>
      <c r="AC14" s="115">
        <f>+GETPIVOTDATA(" Tot # Single Rnk New",'Counts Pivot Table'!$A$3,"Category",8,"Category2","Two-Year")</f>
        <v>9661</v>
      </c>
      <c r="AD14" s="115">
        <f>+GETPIVOTDATA(" Tot # Single Rnk New",'Counts Pivot Table'!$A$3,"Category",9,"Category2","Two-Year")</f>
        <v>7564.9</v>
      </c>
      <c r="AE14" s="115">
        <f>+GETPIVOTDATA(" Tot # Single Rnk New",'Counts Pivot Table'!$A$3,"Category",10,"Category2","Two-Year")</f>
        <v>2171</v>
      </c>
      <c r="AF14" s="116">
        <f>+GETPIVOTDATA(" Tot # Single Rnk New",'Counts Pivot Table'!$A$3,"Category",11,"Category2","Two-Year")</f>
        <v>0</v>
      </c>
      <c r="AG14" s="116">
        <f>+GETPIVOTDATA(" Tot # Single Rnk New",'Counts Pivot Table'!$A$3,"Category2","Two-Year")</f>
        <v>20657.900000000001</v>
      </c>
      <c r="AH14" s="114">
        <f>+GETPIVOTDATA(" Tot # Single Rnk New",'Counts Pivot Table'!$A$3,"Category",12,"Category2","Technical Institutes")</f>
        <v>2308</v>
      </c>
      <c r="AI14" s="115">
        <f>+GETPIVOTDATA(" Tot # Single Rnk New",'Counts Pivot Table'!$A$3,"Category",13,"Category2","Technical Institutes")</f>
        <v>1578</v>
      </c>
      <c r="AJ14" s="116">
        <f>+GETPIVOTDATA(" Tot # Single Rnk New",'Counts Pivot Table'!$A$3,"Category",14,"Category2","Technical Institutes")</f>
        <v>518</v>
      </c>
      <c r="AK14" s="114">
        <f>+GETPIVOTDATA(" Tot # Single Rnk New",'Counts Pivot Table'!$A$3,"Category2","Technical Institutes")</f>
        <v>4404</v>
      </c>
    </row>
    <row r="15" spans="1:39" s="54" customFormat="1">
      <c r="A15" s="207" t="s">
        <v>560</v>
      </c>
      <c r="B15" s="208" t="s">
        <v>415</v>
      </c>
      <c r="C15" s="33">
        <f>IF(U$15&gt;0,(U15/U$15),0)</f>
        <v>1</v>
      </c>
      <c r="D15" s="31">
        <f t="shared" si="1"/>
        <v>1</v>
      </c>
      <c r="E15" s="31">
        <f t="shared" si="1"/>
        <v>1</v>
      </c>
      <c r="F15" s="31">
        <f t="shared" si="1"/>
        <v>1</v>
      </c>
      <c r="G15" s="31">
        <f t="shared" si="1"/>
        <v>1</v>
      </c>
      <c r="H15" s="69">
        <f t="shared" si="1"/>
        <v>1</v>
      </c>
      <c r="I15" s="33">
        <f t="shared" si="1"/>
        <v>1</v>
      </c>
      <c r="J15" s="33">
        <f t="shared" si="1"/>
        <v>1</v>
      </c>
      <c r="K15" s="31">
        <f t="shared" si="1"/>
        <v>1</v>
      </c>
      <c r="L15" s="31">
        <f t="shared" si="1"/>
        <v>1</v>
      </c>
      <c r="M15" s="31">
        <f t="shared" si="1"/>
        <v>1</v>
      </c>
      <c r="N15" s="69">
        <f t="shared" si="1"/>
        <v>1</v>
      </c>
      <c r="O15" s="33">
        <f t="shared" si="1"/>
        <v>1</v>
      </c>
      <c r="P15" s="33">
        <f t="shared" si="1"/>
        <v>1</v>
      </c>
      <c r="Q15" s="31">
        <f t="shared" si="1"/>
        <v>1</v>
      </c>
      <c r="R15" s="69">
        <f t="shared" si="1"/>
        <v>1</v>
      </c>
      <c r="S15" s="33">
        <f t="shared" si="1"/>
        <v>1</v>
      </c>
      <c r="T15" s="93"/>
      <c r="U15" s="118">
        <f>+GETPIVOTDATA(" All Ranks # New",'Counts Pivot Table'!$A$3,"Category",1,"Category2","Four-Year")</f>
        <v>43598.00065779857</v>
      </c>
      <c r="V15" s="119">
        <f>+GETPIVOTDATA(" All Ranks # New",'Counts Pivot Table'!$A$3,"Category",2,"Category2","Four-Year")</f>
        <v>12267</v>
      </c>
      <c r="W15" s="119">
        <f>+GETPIVOTDATA(" All Ranks # New",'Counts Pivot Table'!$A$3,"Category",3,"Category2","Four-Year")</f>
        <v>26649.999103257829</v>
      </c>
      <c r="X15" s="119">
        <f>+GETPIVOTDATA(" All Ranks # New",'Counts Pivot Table'!$A$3,"Category",4,"Category2","Four-Year")</f>
        <v>9775.9996078822332</v>
      </c>
      <c r="Y15" s="119">
        <f>+GETPIVOTDATA(" All Ranks # New",'Counts Pivot Table'!$A$3,"Category",5,"Category2","Four-Year")</f>
        <v>5304.0003235871955</v>
      </c>
      <c r="Z15" s="119">
        <f>+GETPIVOTDATA(" All Ranks # New",'Counts Pivot Table'!$A$3,"Category",6,"Category2","Four-Year")</f>
        <v>3024.0000078695543</v>
      </c>
      <c r="AA15" s="121">
        <f>+GETPIVOTDATA(" All Ranks # New",'Counts Pivot Table'!$A$3,"Category2","Four-Year")</f>
        <v>100618.99970039538</v>
      </c>
      <c r="AB15" s="118">
        <f>+GETPIVOTDATA(" All Ranks # New",'Counts Pivot Table'!$A$3,"Category",7,"Category2","Two-Year")</f>
        <v>1652</v>
      </c>
      <c r="AC15" s="119">
        <f>+GETPIVOTDATA(" All Ranks # New",'Counts Pivot Table'!$A$3,"Category",8,"Category2","Two-Year")</f>
        <v>20519</v>
      </c>
      <c r="AD15" s="119">
        <f>+GETPIVOTDATA(" All Ranks # New",'Counts Pivot Table'!$A$3,"Category",9,"Category2","Two-Year")</f>
        <v>14821.899891065164</v>
      </c>
      <c r="AE15" s="119">
        <f>+GETPIVOTDATA(" All Ranks # New",'Counts Pivot Table'!$A$3,"Category",10,"Category2","Two-Year")</f>
        <v>4760.0001189120185</v>
      </c>
      <c r="AF15" s="120">
        <f>+GETPIVOTDATA(" All Ranks # New",'Counts Pivot Table'!$A$3,"Category",11,"Category2","Two-Year")</f>
        <v>2172</v>
      </c>
      <c r="AG15" s="120">
        <f>+GETPIVOTDATA(" All Ranks # New",'Counts Pivot Table'!$A$3,"Category2","Two-Year")</f>
        <v>43924.900009977187</v>
      </c>
      <c r="AH15" s="118">
        <f>+GETPIVOTDATA(" All Ranks # New",'Counts Pivot Table'!$A$3,"Category",12,"Category2","Technical Institutes")</f>
        <v>2514</v>
      </c>
      <c r="AI15" s="119">
        <f>+GETPIVOTDATA(" All Ranks # New",'Counts Pivot Table'!$A$3,"Category",13,"Category2","Technical Institutes")</f>
        <v>1623</v>
      </c>
      <c r="AJ15" s="120">
        <f>+GETPIVOTDATA(" All Ranks # New",'Counts Pivot Table'!$A$3,"Category",14,"Category2","Technical Institutes")</f>
        <v>518</v>
      </c>
      <c r="AK15" s="118">
        <f>+GETPIVOTDATA(" All Ranks # New",'Counts Pivot Table'!$A$3,"Category2","Technical Institutes")</f>
        <v>4655</v>
      </c>
      <c r="AL15" s="122"/>
      <c r="AM15" s="122"/>
    </row>
    <row r="16" spans="1:39">
      <c r="A16" s="38" t="s">
        <v>432</v>
      </c>
      <c r="B16" s="35" t="s">
        <v>435</v>
      </c>
      <c r="C16" s="36">
        <f t="shared" ref="C16:L22" si="2">IF(U$22&gt;0,(U16/U$22),0)</f>
        <v>0.32664941785252266</v>
      </c>
      <c r="D16" s="37">
        <f t="shared" si="2"/>
        <v>0.24834437086092714</v>
      </c>
      <c r="E16" s="37">
        <f t="shared" si="2"/>
        <v>0.21357943309162822</v>
      </c>
      <c r="F16" s="37">
        <f t="shared" si="2"/>
        <v>0.27080181543116488</v>
      </c>
      <c r="G16" s="37">
        <f t="shared" si="2"/>
        <v>0.2033195020746888</v>
      </c>
      <c r="H16" s="67">
        <f t="shared" si="2"/>
        <v>0.25301204819277107</v>
      </c>
      <c r="I16" s="36">
        <f t="shared" si="2"/>
        <v>0.2812075983717775</v>
      </c>
      <c r="J16" s="36">
        <f t="shared" si="2"/>
        <v>0</v>
      </c>
      <c r="K16" s="37">
        <f t="shared" si="2"/>
        <v>0</v>
      </c>
      <c r="L16" s="37">
        <f t="shared" si="2"/>
        <v>0</v>
      </c>
      <c r="M16" s="37">
        <f t="shared" ref="M16:S22" si="3">IF(AE$22&gt;0,(AE16/AE$22),0)</f>
        <v>0</v>
      </c>
      <c r="N16" s="67">
        <f t="shared" si="3"/>
        <v>0</v>
      </c>
      <c r="O16" s="36">
        <f t="shared" si="3"/>
        <v>0</v>
      </c>
      <c r="P16" s="164">
        <f t="shared" si="3"/>
        <v>0</v>
      </c>
      <c r="Q16" s="37">
        <f t="shared" si="3"/>
        <v>0</v>
      </c>
      <c r="R16" s="67">
        <f t="shared" si="3"/>
        <v>0</v>
      </c>
      <c r="S16" s="164">
        <f t="shared" si="3"/>
        <v>0</v>
      </c>
      <c r="T16" s="123"/>
      <c r="U16" s="110">
        <f>+GETPIVOTDATA(" Total # Prof New",'Counts Pivot Table'!$A$3,"State","AL","Category",1,"Category2","Four-Year")</f>
        <v>1010</v>
      </c>
      <c r="V16" s="111">
        <f>+GETPIVOTDATA(" Total # Prof New",'Counts Pivot Table'!$A$3,"State","AL","Category",2,"Category2","Four-Year")</f>
        <v>75</v>
      </c>
      <c r="W16" s="111">
        <f>+GETPIVOTDATA(" Total # Prof New",'Counts Pivot Table'!$A$3,"State","AL","Category",3,"Category2","Four-Year")</f>
        <v>324</v>
      </c>
      <c r="X16" s="111">
        <f>+GETPIVOTDATA(" Total # Prof New",'Counts Pivot Table'!$A$3,"State","AL","Category",4,"Category2","Four-Year")</f>
        <v>179</v>
      </c>
      <c r="Y16" s="111">
        <f>+GETPIVOTDATA(" Total # Prof New",'Counts Pivot Table'!$A$3,"State","AL","Category",5,"Category2","Four-Year")</f>
        <v>49</v>
      </c>
      <c r="Z16" s="111">
        <f>+GETPIVOTDATA(" Total # Prof New",'Counts Pivot Table'!$A$3,"State","AL","Category",6,"Category2","Four-Year")</f>
        <v>21</v>
      </c>
      <c r="AA16" s="113">
        <f>+GETPIVOTDATA(" Total # Prof New",'Counts Pivot Table'!$A$3,"State","AL","Category2","Four-Year")</f>
        <v>1658</v>
      </c>
      <c r="AB16" s="110">
        <f>+GETPIVOTDATA(" Total # Prof New",'Counts Pivot Table'!$A$3,"State","AL","Category",7,"Category2","Two-Year")</f>
        <v>0</v>
      </c>
      <c r="AC16" s="111">
        <f>+GETPIVOTDATA(" Total # Prof New",'Counts Pivot Table'!$A$3,"State","AL","Category",8,"Category2","Two-Year")</f>
        <v>0</v>
      </c>
      <c r="AD16" s="111">
        <f>+GETPIVOTDATA(" Total # Prof New",'Counts Pivot Table'!$A$3,"State","AL","Category",9,"Category2","Two-Year")</f>
        <v>0</v>
      </c>
      <c r="AE16" s="111">
        <f>+GETPIVOTDATA(" Total # Prof New",'Counts Pivot Table'!$A$3,"State","AL","Category",10,"Category2","Two-Year")</f>
        <v>0</v>
      </c>
      <c r="AF16" s="112">
        <f>+GETPIVOTDATA(" Total # Prof New",'Counts Pivot Table'!$A$3,"State","AL","Category",11,"Category2","Two-Year")</f>
        <v>0</v>
      </c>
      <c r="AG16" s="112">
        <f>+GETPIVOTDATA(" Total # Prof New",'Counts Pivot Table'!$A$3,"State","AL","Category2","Two-Year")</f>
        <v>0</v>
      </c>
      <c r="AH16" s="110">
        <f>+GETPIVOTDATA(" Total # Prof New",'Counts Pivot Table'!$A$3,"State","AL","Category",12,"Category2","Technical Institutes")</f>
        <v>0</v>
      </c>
      <c r="AI16" s="111">
        <f>+GETPIVOTDATA(" Total # Prof New",'Counts Pivot Table'!$A$3,"State","AL","Category",13,"Category2","Technical Institutes")</f>
        <v>0</v>
      </c>
      <c r="AJ16" s="112">
        <f>+GETPIVOTDATA(" Total # Prof New",'Counts Pivot Table'!$A$3,"State","AL","Category",14,"Category2","Technical Institutes")</f>
        <v>0</v>
      </c>
      <c r="AK16" s="110">
        <f>+GETPIVOTDATA(" Total # Prof New",'Counts Pivot Table'!$A$3,"State","AL","Category2","Technical Institutes")</f>
        <v>0</v>
      </c>
    </row>
    <row r="17" spans="1:39">
      <c r="A17" s="30"/>
      <c r="B17" s="38" t="s">
        <v>436</v>
      </c>
      <c r="C17" s="32">
        <f t="shared" si="2"/>
        <v>0.28007761966364814</v>
      </c>
      <c r="D17" s="34">
        <f t="shared" si="2"/>
        <v>0.30463576158940397</v>
      </c>
      <c r="E17" s="34">
        <f t="shared" si="2"/>
        <v>0.22478576137112721</v>
      </c>
      <c r="F17" s="34">
        <f t="shared" si="2"/>
        <v>0.25416036308623297</v>
      </c>
      <c r="G17" s="34">
        <f t="shared" si="2"/>
        <v>0.24481327800829875</v>
      </c>
      <c r="H17" s="68">
        <f t="shared" si="2"/>
        <v>0.24096385542168675</v>
      </c>
      <c r="I17" s="32">
        <f t="shared" si="2"/>
        <v>0.26221166892808684</v>
      </c>
      <c r="J17" s="32">
        <f t="shared" si="2"/>
        <v>0</v>
      </c>
      <c r="K17" s="34">
        <f t="shared" si="2"/>
        <v>0</v>
      </c>
      <c r="L17" s="34">
        <f t="shared" si="2"/>
        <v>0</v>
      </c>
      <c r="M17" s="34">
        <f t="shared" si="3"/>
        <v>0</v>
      </c>
      <c r="N17" s="68">
        <f t="shared" si="3"/>
        <v>0</v>
      </c>
      <c r="O17" s="32">
        <f t="shared" si="3"/>
        <v>0</v>
      </c>
      <c r="P17" s="32">
        <f t="shared" si="3"/>
        <v>0</v>
      </c>
      <c r="Q17" s="34">
        <f t="shared" si="3"/>
        <v>0</v>
      </c>
      <c r="R17" s="68">
        <f t="shared" si="3"/>
        <v>0</v>
      </c>
      <c r="S17" s="32">
        <f t="shared" si="3"/>
        <v>0</v>
      </c>
      <c r="T17" s="92"/>
      <c r="U17" s="114">
        <f>+GETPIVOTDATA(" Tot # Asc. Prof New",'Counts Pivot Table'!$A$3,"State","AL","Category",1,"Category2","Four-Year")</f>
        <v>866</v>
      </c>
      <c r="V17" s="115">
        <f>+GETPIVOTDATA(" Tot # Asc. Prof New",'Counts Pivot Table'!$A$3,"State","AL","Category",2,"Category2","Four-Year")</f>
        <v>92</v>
      </c>
      <c r="W17" s="115">
        <f>+GETPIVOTDATA(" Tot # Asc. Prof New",'Counts Pivot Table'!$A$3,"State","AL","Category",3,"Category2","Four-Year")</f>
        <v>341</v>
      </c>
      <c r="X17" s="115">
        <f>+GETPIVOTDATA(" Tot # Asc. Prof New",'Counts Pivot Table'!$A$3,"State","AL","Category",4,"Category2","Four-Year")</f>
        <v>168</v>
      </c>
      <c r="Y17" s="115">
        <f>+GETPIVOTDATA(" Tot # Asc. Prof New",'Counts Pivot Table'!$A$3,"State","AL","Category",5,"Category2","Four-Year")</f>
        <v>59</v>
      </c>
      <c r="Z17" s="115">
        <f>+GETPIVOTDATA(" Tot # Asc. Prof New",'Counts Pivot Table'!$A$3,"State","AL","Category",6,"Category2","Four-Year")</f>
        <v>20</v>
      </c>
      <c r="AA17" s="117">
        <f>+GETPIVOTDATA(" Tot # Asc. Prof New",'Counts Pivot Table'!$A$3,"State","AL","Category2","Four-Year")</f>
        <v>1546</v>
      </c>
      <c r="AB17" s="114">
        <f>+GETPIVOTDATA(" Tot # Asc. Prof New",'Counts Pivot Table'!$A$3,"State","AL","Category",7,"Category2","Two-Year")</f>
        <v>0</v>
      </c>
      <c r="AC17" s="115">
        <f>+GETPIVOTDATA(" Tot # Asc. Prof New",'Counts Pivot Table'!$A$3,"State","AL","Category",8,"Category2","Two-Year")</f>
        <v>0</v>
      </c>
      <c r="AD17" s="115">
        <f>+GETPIVOTDATA(" Tot # Asc. Prof New",'Counts Pivot Table'!$A$3,"State","AL","Category",9,"Category2","Two-Year")</f>
        <v>0</v>
      </c>
      <c r="AE17" s="115">
        <f>+GETPIVOTDATA(" Tot # Asc. Prof New",'Counts Pivot Table'!$A$3,"State","AL","Category",10,"Category2","Two-Year")</f>
        <v>0</v>
      </c>
      <c r="AF17" s="116">
        <f>+GETPIVOTDATA(" Tot # Asc. Prof New",'Counts Pivot Table'!$A$3,"State","AL","Category",11,"Category2","Two-Year")</f>
        <v>0</v>
      </c>
      <c r="AG17" s="116">
        <f>+GETPIVOTDATA(" Tot # Asc. Prof New",'Counts Pivot Table'!$A$3,"State","AL","Category2","Two-Year")</f>
        <v>0</v>
      </c>
      <c r="AH17" s="114">
        <f>+GETPIVOTDATA(" Tot # Asc. Prof New",'Counts Pivot Table'!$A$3,"State","AL","Category",12,"Category2","Technical Institutes")</f>
        <v>0</v>
      </c>
      <c r="AI17" s="115">
        <f>+GETPIVOTDATA(" Tot # Asc. Prof New",'Counts Pivot Table'!$A$3,"State","AL","Category",13,"Category2","Technical Institutes")</f>
        <v>0</v>
      </c>
      <c r="AJ17" s="116">
        <f>+GETPIVOTDATA(" Tot # Asc. Prof New",'Counts Pivot Table'!$A$3,"State","AL","Category",14,"Category2","Technical Institutes")</f>
        <v>0</v>
      </c>
      <c r="AK17" s="114">
        <f>+GETPIVOTDATA(" Tot # Asc. Prof New",'Counts Pivot Table'!$A$3,"State","AL","Category2","Technical Institutes")</f>
        <v>0</v>
      </c>
    </row>
    <row r="18" spans="1:39">
      <c r="A18" s="30"/>
      <c r="B18" s="38" t="s">
        <v>437</v>
      </c>
      <c r="C18" s="32">
        <f t="shared" si="2"/>
        <v>0.27231565329883572</v>
      </c>
      <c r="D18" s="34">
        <f t="shared" si="2"/>
        <v>0.29139072847682118</v>
      </c>
      <c r="E18" s="34">
        <f t="shared" si="2"/>
        <v>0.34212261041529335</v>
      </c>
      <c r="F18" s="34">
        <f t="shared" si="2"/>
        <v>0.31164901664145234</v>
      </c>
      <c r="G18" s="34">
        <f t="shared" si="2"/>
        <v>0.38174273858921159</v>
      </c>
      <c r="H18" s="68">
        <f t="shared" si="2"/>
        <v>0.43373493975903615</v>
      </c>
      <c r="I18" s="32">
        <f t="shared" si="2"/>
        <v>0.30240841248303935</v>
      </c>
      <c r="J18" s="32">
        <f t="shared" si="2"/>
        <v>0</v>
      </c>
      <c r="K18" s="34">
        <f t="shared" si="2"/>
        <v>0</v>
      </c>
      <c r="L18" s="34">
        <f t="shared" si="2"/>
        <v>0</v>
      </c>
      <c r="M18" s="34">
        <f t="shared" si="3"/>
        <v>0</v>
      </c>
      <c r="N18" s="68">
        <f t="shared" si="3"/>
        <v>0</v>
      </c>
      <c r="O18" s="32">
        <f t="shared" si="3"/>
        <v>0</v>
      </c>
      <c r="P18" s="32">
        <f t="shared" si="3"/>
        <v>0</v>
      </c>
      <c r="Q18" s="34">
        <f t="shared" si="3"/>
        <v>0</v>
      </c>
      <c r="R18" s="68">
        <f t="shared" si="3"/>
        <v>0</v>
      </c>
      <c r="S18" s="32">
        <f t="shared" si="3"/>
        <v>0</v>
      </c>
      <c r="T18" s="92"/>
      <c r="U18" s="114">
        <f>+GETPIVOTDATA(" Tot # Ast. Prof New",'Counts Pivot Table'!$A$3,"State","AL","Category",1,"Category2","Four-Year")</f>
        <v>842</v>
      </c>
      <c r="V18" s="115">
        <f>+GETPIVOTDATA(" Tot # Ast. Prof New",'Counts Pivot Table'!$A$3,"State","AL","Category",2,"Category2","Four-Year")</f>
        <v>88</v>
      </c>
      <c r="W18" s="115">
        <f>+GETPIVOTDATA(" Tot # Ast. Prof New",'Counts Pivot Table'!$A$3,"State","AL","Category",3,"Category2","Four-Year")</f>
        <v>519</v>
      </c>
      <c r="X18" s="115">
        <f>+GETPIVOTDATA(" Tot # Ast. Prof New",'Counts Pivot Table'!$A$3,"State","AL","Category",4,"Category2","Four-Year")</f>
        <v>206</v>
      </c>
      <c r="Y18" s="115">
        <f>+GETPIVOTDATA(" Tot # Ast. Prof New",'Counts Pivot Table'!$A$3,"State","AL","Category",5,"Category2","Four-Year")</f>
        <v>92</v>
      </c>
      <c r="Z18" s="115">
        <f>+GETPIVOTDATA(" Tot # Ast. Prof New",'Counts Pivot Table'!$A$3,"State","AL","Category",6,"Category2","Four-Year")</f>
        <v>36</v>
      </c>
      <c r="AA18" s="117">
        <f>+GETPIVOTDATA(" Tot # Ast. Prof New",'Counts Pivot Table'!$A$3,"State","AL","Category2","Four-Year")</f>
        <v>1783</v>
      </c>
      <c r="AB18" s="114">
        <f>+GETPIVOTDATA(" Tot # Ast. Prof New",'Counts Pivot Table'!$A$3,"State","AL","Category",7,"Category2","Two-Year")</f>
        <v>0</v>
      </c>
      <c r="AC18" s="115">
        <f>+GETPIVOTDATA(" Tot # Ast. Prof New",'Counts Pivot Table'!$A$3,"State","AL","Category",8,"Category2","Two-Year")</f>
        <v>0</v>
      </c>
      <c r="AD18" s="115">
        <f>+GETPIVOTDATA(" Tot # Ast. Prof New",'Counts Pivot Table'!$A$3,"State","AL","Category",9,"Category2","Two-Year")</f>
        <v>0</v>
      </c>
      <c r="AE18" s="115">
        <f>+GETPIVOTDATA(" Tot # Ast. Prof New",'Counts Pivot Table'!$A$3,"State","AL","Category",10,"Category2","Two-Year")</f>
        <v>0</v>
      </c>
      <c r="AF18" s="116">
        <f>+GETPIVOTDATA(" Tot # Ast. Prof New",'Counts Pivot Table'!$A$3,"State","AL","Category",11,"Category2","Two-Year")</f>
        <v>0</v>
      </c>
      <c r="AG18" s="116">
        <f>+GETPIVOTDATA(" Tot # Ast. Prof New",'Counts Pivot Table'!$A$3,"State","AL","Category2","Two-Year")</f>
        <v>0</v>
      </c>
      <c r="AH18" s="114">
        <f>+GETPIVOTDATA(" Tot # Ast. Prof New",'Counts Pivot Table'!$A$3,"State","AL","Category",12,"Category2","Technical Institutes")</f>
        <v>0</v>
      </c>
      <c r="AI18" s="115">
        <f>+GETPIVOTDATA(" Tot # Ast. Prof New",'Counts Pivot Table'!$A$3,"State","AL","Category",13,"Category2","Technical Institutes")</f>
        <v>0</v>
      </c>
      <c r="AJ18" s="116">
        <f>+GETPIVOTDATA(" Tot # Ast. Prof New",'Counts Pivot Table'!$A$3,"State","AL","Category",14,"Category2","Technical Institutes")</f>
        <v>0</v>
      </c>
      <c r="AK18" s="114">
        <f>+GETPIVOTDATA(" Tot # Ast. Prof New",'Counts Pivot Table'!$A$3,"State","AL","Category2","Technical Institutes")</f>
        <v>0</v>
      </c>
    </row>
    <row r="19" spans="1:39">
      <c r="A19" s="30"/>
      <c r="B19" s="38" t="s">
        <v>438</v>
      </c>
      <c r="C19" s="32">
        <f t="shared" si="2"/>
        <v>0.11157826649417853</v>
      </c>
      <c r="D19" s="34">
        <f t="shared" si="2"/>
        <v>2.3178807947019868E-2</v>
      </c>
      <c r="E19" s="34">
        <f t="shared" si="2"/>
        <v>0.19578114700065918</v>
      </c>
      <c r="F19" s="34">
        <f t="shared" si="2"/>
        <v>0.15885022692889561</v>
      </c>
      <c r="G19" s="34">
        <f t="shared" si="2"/>
        <v>0.11618257261410789</v>
      </c>
      <c r="H19" s="68">
        <f t="shared" si="2"/>
        <v>3.614457831325301E-2</v>
      </c>
      <c r="I19" s="32">
        <f t="shared" si="2"/>
        <v>0.13314111261872455</v>
      </c>
      <c r="J19" s="32">
        <f t="shared" si="2"/>
        <v>0</v>
      </c>
      <c r="K19" s="34">
        <f t="shared" si="2"/>
        <v>0</v>
      </c>
      <c r="L19" s="34">
        <f t="shared" si="2"/>
        <v>0</v>
      </c>
      <c r="M19" s="34">
        <f t="shared" si="3"/>
        <v>0</v>
      </c>
      <c r="N19" s="68">
        <f t="shared" si="3"/>
        <v>0</v>
      </c>
      <c r="O19" s="32">
        <f t="shared" si="3"/>
        <v>0</v>
      </c>
      <c r="P19" s="32">
        <f t="shared" si="3"/>
        <v>0</v>
      </c>
      <c r="Q19" s="34">
        <f t="shared" si="3"/>
        <v>0</v>
      </c>
      <c r="R19" s="68">
        <f t="shared" si="3"/>
        <v>0</v>
      </c>
      <c r="S19" s="32">
        <f t="shared" si="3"/>
        <v>0</v>
      </c>
      <c r="T19" s="92"/>
      <c r="U19" s="114">
        <f>+GETPIVOTDATA(" Tot # Instr. New",'Counts Pivot Table'!$A$3,"State","AL","Category",1,"Category2","Four-Year")</f>
        <v>345</v>
      </c>
      <c r="V19" s="115">
        <f>+GETPIVOTDATA(" Tot # Instr. New",'Counts Pivot Table'!$A$3,"State","AL","Category",2,"Category2","Four-Year")</f>
        <v>7</v>
      </c>
      <c r="W19" s="115">
        <f>+GETPIVOTDATA(" Tot # Instr. New",'Counts Pivot Table'!$A$3,"State","AL","Category",3,"Category2","Four-Year")</f>
        <v>297</v>
      </c>
      <c r="X19" s="115">
        <f>+GETPIVOTDATA(" Tot # Instr. New",'Counts Pivot Table'!$A$3,"State","AL","Category",4,"Category2","Four-Year")</f>
        <v>105</v>
      </c>
      <c r="Y19" s="115">
        <f>+GETPIVOTDATA(" Tot # Instr. New",'Counts Pivot Table'!$A$3,"State","AL","Category",5,"Category2","Four-Year")</f>
        <v>28</v>
      </c>
      <c r="Z19" s="115">
        <f>+GETPIVOTDATA(" Tot # Instr. New",'Counts Pivot Table'!$A$3,"State","AL","Category",6,"Category2","Four-Year")</f>
        <v>3</v>
      </c>
      <c r="AA19" s="117">
        <f>+GETPIVOTDATA(" Tot # Instr. New",'Counts Pivot Table'!$A$3,"State","AL","Category2","Four-Year")</f>
        <v>785</v>
      </c>
      <c r="AB19" s="114">
        <f>+GETPIVOTDATA(" Tot # Instr. New",'Counts Pivot Table'!$A$3,"State","AL","Category",7,"Category2","Two-Year")</f>
        <v>0</v>
      </c>
      <c r="AC19" s="115">
        <f>+GETPIVOTDATA(" Tot # Instr. New",'Counts Pivot Table'!$A$3,"State","AL","Category",8,"Category2","Two-Year")</f>
        <v>0</v>
      </c>
      <c r="AD19" s="115">
        <f>+GETPIVOTDATA(" Tot # Instr. New",'Counts Pivot Table'!$A$3,"State","AL","Category",9,"Category2","Two-Year")</f>
        <v>0</v>
      </c>
      <c r="AE19" s="115">
        <f>+GETPIVOTDATA(" Tot # Instr. New",'Counts Pivot Table'!$A$3,"State","AL","Category",10,"Category2","Two-Year")</f>
        <v>0</v>
      </c>
      <c r="AF19" s="116">
        <f>+GETPIVOTDATA(" Tot # Instr. New",'Counts Pivot Table'!$A$3,"State","AL","Category",11,"Category2","Two-Year")</f>
        <v>0</v>
      </c>
      <c r="AG19" s="116">
        <f>+GETPIVOTDATA(" Tot # Instr. New",'Counts Pivot Table'!$A$3,"State","AL","Category2","Two-Year")</f>
        <v>0</v>
      </c>
      <c r="AH19" s="114">
        <f>+GETPIVOTDATA(" Tot # Instr. New",'Counts Pivot Table'!$A$3,"State","AL","Category",12,"Category2","Technical Institutes")</f>
        <v>0</v>
      </c>
      <c r="AI19" s="115">
        <f>+GETPIVOTDATA(" Tot # Instr. New",'Counts Pivot Table'!$A$3,"State","AL","Category",13,"Category2","Technical Institutes")</f>
        <v>0</v>
      </c>
      <c r="AJ19" s="116">
        <f>+GETPIVOTDATA(" Tot # Instr. New",'Counts Pivot Table'!$A$3,"State","AL","Category",14,"Category2","Technical Institutes")</f>
        <v>0</v>
      </c>
      <c r="AK19" s="114">
        <f>+GETPIVOTDATA(" Tot # Instr. New",'Counts Pivot Table'!$A$3,"State","AL","Category2","Technical Institutes")</f>
        <v>0</v>
      </c>
    </row>
    <row r="20" spans="1:39">
      <c r="A20" s="30"/>
      <c r="B20" s="38" t="s">
        <v>414</v>
      </c>
      <c r="C20" s="32">
        <f t="shared" si="2"/>
        <v>9.3790426908150065E-3</v>
      </c>
      <c r="D20" s="34">
        <f t="shared" si="2"/>
        <v>0.13245033112582782</v>
      </c>
      <c r="E20" s="34">
        <f t="shared" si="2"/>
        <v>2.3731048121292023E-2</v>
      </c>
      <c r="F20" s="264">
        <f t="shared" si="2"/>
        <v>4.5385779122541605E-3</v>
      </c>
      <c r="G20" s="34">
        <f t="shared" si="2"/>
        <v>5.3941908713692949E-2</v>
      </c>
      <c r="H20" s="68">
        <f t="shared" si="2"/>
        <v>3.614457831325301E-2</v>
      </c>
      <c r="I20" s="32">
        <f t="shared" si="2"/>
        <v>2.1031207598371779E-2</v>
      </c>
      <c r="J20" s="32">
        <f t="shared" si="2"/>
        <v>0</v>
      </c>
      <c r="K20" s="34">
        <f t="shared" si="2"/>
        <v>0</v>
      </c>
      <c r="L20" s="34">
        <f t="shared" si="2"/>
        <v>0</v>
      </c>
      <c r="M20" s="34">
        <f t="shared" si="3"/>
        <v>0</v>
      </c>
      <c r="N20" s="124">
        <f t="shared" si="3"/>
        <v>0</v>
      </c>
      <c r="O20" s="32">
        <f t="shared" si="3"/>
        <v>0</v>
      </c>
      <c r="P20" s="32">
        <f t="shared" si="3"/>
        <v>0</v>
      </c>
      <c r="Q20" s="34">
        <f t="shared" si="3"/>
        <v>0</v>
      </c>
      <c r="R20" s="68">
        <f t="shared" si="3"/>
        <v>0</v>
      </c>
      <c r="S20" s="32">
        <f t="shared" si="3"/>
        <v>0</v>
      </c>
      <c r="T20" s="92"/>
      <c r="U20" s="114">
        <f>++GETPIVOTDATA(" Tot # Undes. New",'Counts Pivot Table'!$A$3,"State","AL","Category",1,"Category2","Four-Year")</f>
        <v>29</v>
      </c>
      <c r="V20" s="115">
        <f>+GETPIVOTDATA(" Tot # Undes. New",'Counts Pivot Table'!$A$3,"State","AL","Category",2,"Category2","Four-Year")</f>
        <v>40</v>
      </c>
      <c r="W20" s="115">
        <f>+GETPIVOTDATA(" Tot # Undes. New",'Counts Pivot Table'!$A$3,"State","AL","Category",3,"Category2","Four-Year")</f>
        <v>36</v>
      </c>
      <c r="X20" s="115">
        <f>+GETPIVOTDATA(" Tot # Undes. New",'Counts Pivot Table'!$A$3,"State","AL","Category",4,"Category2","Four-Year")</f>
        <v>3</v>
      </c>
      <c r="Y20" s="115">
        <f>+GETPIVOTDATA(" Tot # Undes. New",'Counts Pivot Table'!$A$3,"State","AL","Category",5,"Category2","Four-Year")</f>
        <v>13</v>
      </c>
      <c r="Z20" s="115">
        <f>+GETPIVOTDATA(" Tot # Undes. New",'Counts Pivot Table'!$A$3,"State","AL","Category",6,"Category2","Four-Year")</f>
        <v>3</v>
      </c>
      <c r="AA20" s="117">
        <f>+GETPIVOTDATA(" Tot # Undes. New",'Counts Pivot Table'!$A$3,"State","AL","Category2","Four-Year")</f>
        <v>124</v>
      </c>
      <c r="AB20" s="114">
        <f>+GETPIVOTDATA(" Tot # Undes. New",'Counts Pivot Table'!$A$3,"State","AL","Category",7,"Category2","Two-Year")</f>
        <v>0</v>
      </c>
      <c r="AC20" s="115">
        <f>+GETPIVOTDATA(" Tot # Undes. New",'Counts Pivot Table'!$A$3,"State","AL","Category",8,"Category2","Two-Year")</f>
        <v>0</v>
      </c>
      <c r="AD20" s="115">
        <f>+GETPIVOTDATA(" Tot # Undes. New",'Counts Pivot Table'!$A$3,"State","AL","Category",9,"Category2","Two-Year")</f>
        <v>0</v>
      </c>
      <c r="AE20" s="115">
        <f>+GETPIVOTDATA(" Tot # Undes. New",'Counts Pivot Table'!$A$3,"State","AL","Category",10,"Category2","Two-Year")</f>
        <v>0</v>
      </c>
      <c r="AF20" s="116">
        <f>+GETPIVOTDATA(" Tot # Undes. New",'Counts Pivot Table'!$A$3,"State","AL","Category",11,"Category2","Two-Year")</f>
        <v>0</v>
      </c>
      <c r="AG20" s="116">
        <f>+GETPIVOTDATA(" Tot # Undes. New",'Counts Pivot Table'!$A$3,"State","AL","Category2","Two-Year")</f>
        <v>0</v>
      </c>
      <c r="AH20" s="114">
        <f>+GETPIVOTDATA(" Tot # Undes. New",'Counts Pivot Table'!$A$3,"State","AL","Category",12,"Category2","Technical Institutes")</f>
        <v>0</v>
      </c>
      <c r="AI20" s="115">
        <f>+GETPIVOTDATA(" Tot # Undes. New",'Counts Pivot Table'!$A$3,"State","AL","Category",13,"Category2","Technical Institutes")</f>
        <v>0</v>
      </c>
      <c r="AJ20" s="116">
        <f>+GETPIVOTDATA(" Tot # Undes. New",'Counts Pivot Table'!$A$3,"State","AL","Category",14,"Category2","Technical Institutes")</f>
        <v>0</v>
      </c>
      <c r="AK20" s="114">
        <f>+GETPIVOTDATA(" Tot # Undes. New",'Counts Pivot Table'!$A$3,"State","AL","Category2","Technical Institutes")</f>
        <v>0</v>
      </c>
    </row>
    <row r="21" spans="1:39">
      <c r="A21" s="30"/>
      <c r="B21" s="38" t="s">
        <v>413</v>
      </c>
      <c r="C21" s="32">
        <f t="shared" si="2"/>
        <v>0</v>
      </c>
      <c r="D21" s="34">
        <f t="shared" si="2"/>
        <v>0</v>
      </c>
      <c r="E21" s="199">
        <f t="shared" si="2"/>
        <v>0</v>
      </c>
      <c r="F21" s="34">
        <f t="shared" si="2"/>
        <v>0</v>
      </c>
      <c r="G21" s="264">
        <f t="shared" si="2"/>
        <v>0</v>
      </c>
      <c r="H21" s="68">
        <f t="shared" si="2"/>
        <v>0</v>
      </c>
      <c r="I21" s="198">
        <f t="shared" si="2"/>
        <v>0</v>
      </c>
      <c r="J21" s="32">
        <f t="shared" si="2"/>
        <v>0</v>
      </c>
      <c r="K21" s="34">
        <f t="shared" si="2"/>
        <v>1</v>
      </c>
      <c r="L21" s="34">
        <f t="shared" si="2"/>
        <v>1</v>
      </c>
      <c r="M21" s="34">
        <f t="shared" si="3"/>
        <v>1</v>
      </c>
      <c r="N21" s="68">
        <f t="shared" si="3"/>
        <v>0</v>
      </c>
      <c r="O21" s="32">
        <f t="shared" si="3"/>
        <v>1</v>
      </c>
      <c r="P21" s="32">
        <f t="shared" si="3"/>
        <v>1</v>
      </c>
      <c r="Q21" s="34">
        <f t="shared" si="3"/>
        <v>1</v>
      </c>
      <c r="R21" s="68">
        <f t="shared" si="3"/>
        <v>0</v>
      </c>
      <c r="S21" s="32">
        <f t="shared" si="3"/>
        <v>1</v>
      </c>
      <c r="T21" s="92"/>
      <c r="U21" s="114">
        <f>+GETPIVOTDATA(" Tot # Single Rnk New",'Counts Pivot Table'!$A$3,"State","AL","Category",1,"Category2","Four-Year")</f>
        <v>0</v>
      </c>
      <c r="V21" s="115">
        <f>+GETPIVOTDATA(" Tot # Single Rnk New",'Counts Pivot Table'!$A$3,"State","AL","Category",2,"Category2","Four-Year")</f>
        <v>0</v>
      </c>
      <c r="W21" s="115">
        <f>+GETPIVOTDATA(" Tot # Single Rnk New",'Counts Pivot Table'!$A$3,"State","AL","Category",3,"Category2","Four-Year")</f>
        <v>0</v>
      </c>
      <c r="X21" s="115">
        <f>+GETPIVOTDATA(" Tot # Single Rnk New",'Counts Pivot Table'!$A$3,"State","AL","Category",4,"Category2","Four-Year")</f>
        <v>0</v>
      </c>
      <c r="Y21" s="115">
        <f>+GETPIVOTDATA(" Tot # Single Rnk New",'Counts Pivot Table'!$A$3,"State","AL","Category",5,"Category2","Four-Year")</f>
        <v>0</v>
      </c>
      <c r="Z21" s="115">
        <f>+GETPIVOTDATA(" Tot # Single Rnk New",'Counts Pivot Table'!$A$3,"State","AL","Category",6,"Category2","Four-Year")</f>
        <v>0</v>
      </c>
      <c r="AA21" s="117">
        <f>+GETPIVOTDATA(" Tot # Single Rnk New",'Counts Pivot Table'!$A$3,"State","AL","Category2","Four-Year")</f>
        <v>0</v>
      </c>
      <c r="AB21" s="114">
        <f>+GETPIVOTDATA(" Tot # Single Rnk New",'Counts Pivot Table'!$A$3,"State","AL","Category",7,"Category2","Two-Year")</f>
        <v>0</v>
      </c>
      <c r="AC21" s="115">
        <f>+GETPIVOTDATA(" Tot # Single Rnk New",'Counts Pivot Table'!$A$3,"State","AL","Category",8,"Category2","Two-Year")</f>
        <v>292</v>
      </c>
      <c r="AD21" s="115">
        <f>+GETPIVOTDATA(" Tot # Single Rnk New",'Counts Pivot Table'!$A$3,"State","AL","Category",9,"Category2","Two-Year")</f>
        <v>1044</v>
      </c>
      <c r="AE21" s="115">
        <f>+GETPIVOTDATA(" Tot # Single Rnk New",'Counts Pivot Table'!$A$3,"State","AL","Category",10,"Category2","Two-Year")</f>
        <v>426</v>
      </c>
      <c r="AF21" s="116">
        <f>+GETPIVOTDATA(" Tot # Single Rnk New",'Counts Pivot Table'!$A$3,"State","AL","Category",11,"Category2","Two-Year")</f>
        <v>0</v>
      </c>
      <c r="AG21" s="116">
        <f>+GETPIVOTDATA(" Tot # Single Rnk New",'Counts Pivot Table'!$A$3,"State","AL","Category2","Two-Year")</f>
        <v>1762</v>
      </c>
      <c r="AH21" s="114">
        <f>+GETPIVOTDATA(" Tot # Single Rnk New",'Counts Pivot Table'!$A$3,"State","AL","Category",12,"Category2","Technical Institutes")</f>
        <v>66</v>
      </c>
      <c r="AI21" s="115">
        <f>+GETPIVOTDATA(" Tot # Single Rnk New",'Counts Pivot Table'!$A$3,"State","AL","Category",13,"Category2","Technical Institutes")</f>
        <v>89</v>
      </c>
      <c r="AJ21" s="116">
        <f>+GETPIVOTDATA(" Tot # Single Rnk New",'Counts Pivot Table'!$A$3,"State","AL","Category",14,"Category2","Technical Institutes")</f>
        <v>0</v>
      </c>
      <c r="AK21" s="114">
        <f>+GETPIVOTDATA(" Tot # Single Rnk New",'Counts Pivot Table'!$A$3,"State","AL","Category2","Technical Institutes")</f>
        <v>155</v>
      </c>
    </row>
    <row r="22" spans="1:39" s="54" customFormat="1">
      <c r="A22" s="207"/>
      <c r="B22" s="208" t="s">
        <v>415</v>
      </c>
      <c r="C22" s="33">
        <f t="shared" si="2"/>
        <v>1</v>
      </c>
      <c r="D22" s="31">
        <f t="shared" si="2"/>
        <v>1</v>
      </c>
      <c r="E22" s="31">
        <f t="shared" si="2"/>
        <v>1</v>
      </c>
      <c r="F22" s="31">
        <f t="shared" si="2"/>
        <v>1</v>
      </c>
      <c r="G22" s="31">
        <f t="shared" si="2"/>
        <v>1</v>
      </c>
      <c r="H22" s="69">
        <f t="shared" si="2"/>
        <v>1</v>
      </c>
      <c r="I22" s="33">
        <f t="shared" si="2"/>
        <v>1</v>
      </c>
      <c r="J22" s="33">
        <f t="shared" si="2"/>
        <v>0</v>
      </c>
      <c r="K22" s="31">
        <f t="shared" si="2"/>
        <v>1</v>
      </c>
      <c r="L22" s="31">
        <f t="shared" si="2"/>
        <v>1</v>
      </c>
      <c r="M22" s="31">
        <f t="shared" si="3"/>
        <v>1</v>
      </c>
      <c r="N22" s="69">
        <f t="shared" si="3"/>
        <v>0</v>
      </c>
      <c r="O22" s="33">
        <f t="shared" si="3"/>
        <v>1</v>
      </c>
      <c r="P22" s="33">
        <f t="shared" si="3"/>
        <v>1</v>
      </c>
      <c r="Q22" s="31">
        <f t="shared" si="3"/>
        <v>1</v>
      </c>
      <c r="R22" s="69">
        <f t="shared" si="3"/>
        <v>0</v>
      </c>
      <c r="S22" s="33">
        <f t="shared" si="3"/>
        <v>1</v>
      </c>
      <c r="T22" s="93"/>
      <c r="U22" s="118">
        <f>+GETPIVOTDATA(" All Ranks # New",'Counts Pivot Table'!$A$3,"State","AL","Category",1,"Category2","Four-Year")</f>
        <v>3092</v>
      </c>
      <c r="V22" s="119">
        <f>+GETPIVOTDATA(" All Ranks # New",'Counts Pivot Table'!$A$3,"State","AL","Category",2,"Category2","Four-Year")</f>
        <v>302</v>
      </c>
      <c r="W22" s="119">
        <f>+GETPIVOTDATA(" All Ranks # New",'Counts Pivot Table'!$A$3,"State","AL","Category",3,"Category2","Four-Year")</f>
        <v>1517</v>
      </c>
      <c r="X22" s="119">
        <f>+GETPIVOTDATA(" All Ranks # New",'Counts Pivot Table'!$A$3,"State","AL","Category",4,"Category2","Four-Year")</f>
        <v>661</v>
      </c>
      <c r="Y22" s="119">
        <f>+GETPIVOTDATA(" All Ranks # New",'Counts Pivot Table'!$A$3,"State","AL","Category",5,"Category2","Four-Year")</f>
        <v>241</v>
      </c>
      <c r="Z22" s="119">
        <f>+GETPIVOTDATA(" All Ranks # New",'Counts Pivot Table'!$A$3,"State","AL","Category",6,"Category2","Four-Year")</f>
        <v>83</v>
      </c>
      <c r="AA22" s="121">
        <f>+GETPIVOTDATA(" All Ranks # New",'Counts Pivot Table'!$A$3,"State","AL","Category2","Four-Year")</f>
        <v>5896</v>
      </c>
      <c r="AB22" s="118">
        <f>+GETPIVOTDATA(" All Ranks # New",'Counts Pivot Table'!$A$3,"State","AL","Category",7,"Category2","Two-Year")</f>
        <v>0</v>
      </c>
      <c r="AC22" s="119">
        <f>+GETPIVOTDATA(" All Ranks # New",'Counts Pivot Table'!$A$3,"State","AL","Category",8,"Category2","Two-Year")</f>
        <v>292</v>
      </c>
      <c r="AD22" s="119">
        <f>+GETPIVOTDATA(" All Ranks # New",'Counts Pivot Table'!$A$3,"State","AL","Category",9,"Category2","Two-Year")</f>
        <v>1044</v>
      </c>
      <c r="AE22" s="119">
        <f>+GETPIVOTDATA(" All Ranks # New",'Counts Pivot Table'!$A$3,"State","AL","Category",10,"Category2","Two-Year")</f>
        <v>426</v>
      </c>
      <c r="AF22" s="120">
        <f>+GETPIVOTDATA(" All Ranks # New",'Counts Pivot Table'!$A$3,"State","AL","Category",11,"Category2","Two-Year")</f>
        <v>0</v>
      </c>
      <c r="AG22" s="120">
        <f>+GETPIVOTDATA(" All Ranks # New",'Counts Pivot Table'!$A$3,"State","AL","Category2","Two-Year")</f>
        <v>1762</v>
      </c>
      <c r="AH22" s="118">
        <f>+GETPIVOTDATA(" All Ranks # New",'Counts Pivot Table'!$A$3,"State","AL","Category",12,"Category2","Technical Institutes")</f>
        <v>66</v>
      </c>
      <c r="AI22" s="119">
        <f>+GETPIVOTDATA(" All Ranks # New",'Counts Pivot Table'!$A$3,"State","AL","Category",13,"Category2","Technical Institutes")</f>
        <v>89</v>
      </c>
      <c r="AJ22" s="120">
        <f>+GETPIVOTDATA(" All Ranks # New",'Counts Pivot Table'!$A$3,"State","AL","Category",14,"Category2","Technical Institutes")</f>
        <v>0</v>
      </c>
      <c r="AK22" s="118">
        <f>+GETPIVOTDATA(" All Ranks # New",'Counts Pivot Table'!$A$3,"State","AL","Category2","Technical Institutes")</f>
        <v>155</v>
      </c>
      <c r="AL22" s="122"/>
      <c r="AM22" s="122"/>
    </row>
    <row r="23" spans="1:39">
      <c r="A23" s="38" t="s">
        <v>441</v>
      </c>
      <c r="B23" s="35" t="s">
        <v>435</v>
      </c>
      <c r="C23" s="36">
        <f t="shared" ref="C23:L29" si="4">IF(U$29&gt;0,(U23/U$29),0)</f>
        <v>0.4134272415172589</v>
      </c>
      <c r="D23" s="37">
        <f t="shared" si="4"/>
        <v>0</v>
      </c>
      <c r="E23" s="37">
        <f t="shared" si="4"/>
        <v>0.23241393683819189</v>
      </c>
      <c r="F23" s="37">
        <f t="shared" si="4"/>
        <v>0.2248910222352955</v>
      </c>
      <c r="G23" s="37">
        <f t="shared" si="4"/>
        <v>0.14238395339859561</v>
      </c>
      <c r="H23" s="67">
        <f t="shared" si="4"/>
        <v>0.10994764171403421</v>
      </c>
      <c r="I23" s="36">
        <f t="shared" si="4"/>
        <v>0.25457717996875889</v>
      </c>
      <c r="J23" s="36">
        <f t="shared" si="4"/>
        <v>0</v>
      </c>
      <c r="K23" s="37">
        <f t="shared" si="4"/>
        <v>0</v>
      </c>
      <c r="L23" s="37">
        <f t="shared" si="4"/>
        <v>1.9762854359143406E-2</v>
      </c>
      <c r="M23" s="37">
        <f t="shared" ref="M23:S29" si="5">IF(AE$29&gt;0,(AE23/AE$29),0)</f>
        <v>0</v>
      </c>
      <c r="N23" s="67">
        <f t="shared" si="5"/>
        <v>0</v>
      </c>
      <c r="O23" s="164">
        <f t="shared" si="5"/>
        <v>3.625815782323836E-3</v>
      </c>
      <c r="P23" s="164">
        <f t="shared" si="5"/>
        <v>0</v>
      </c>
      <c r="Q23" s="37">
        <f t="shared" si="5"/>
        <v>0</v>
      </c>
      <c r="R23" s="67">
        <f t="shared" si="5"/>
        <v>0</v>
      </c>
      <c r="S23" s="164">
        <f t="shared" si="5"/>
        <v>0</v>
      </c>
      <c r="T23" s="123"/>
      <c r="U23" s="110">
        <f>+GETPIVOTDATA(" Total # Prof New",'Counts Pivot Table'!$A$3,"State","AR","Category",1,"Category2","Four-Year")</f>
        <v>351</v>
      </c>
      <c r="V23" s="111">
        <f>+GETPIVOTDATA(" Total # Prof New",'Counts Pivot Table'!$A$3,"State","AR","Category",2,"Category2","Four-Year")</f>
        <v>0</v>
      </c>
      <c r="W23" s="111">
        <f>+GETPIVOTDATA(" Total # Prof New",'Counts Pivot Table'!$A$3,"State","AR","Category",3,"Category2","Four-Year")</f>
        <v>337</v>
      </c>
      <c r="X23" s="111">
        <f>+GETPIVOTDATA(" Total # Prof New",'Counts Pivot Table'!$A$3,"State","AR","Category",4,"Category2","Four-Year")</f>
        <v>103</v>
      </c>
      <c r="Y23" s="111">
        <f>+GETPIVOTDATA(" Total # Prof New",'Counts Pivot Table'!$A$3,"State","AR","Category",5,"Category2","Four-Year")</f>
        <v>43</v>
      </c>
      <c r="Z23" s="111">
        <f>+GETPIVOTDATA(" Total # Prof New",'Counts Pivot Table'!$A$3,"State","AR","Category",6,"Category2","Four-Year")</f>
        <v>42</v>
      </c>
      <c r="AA23" s="113">
        <f>+GETPIVOTDATA(" Total # Prof New",'Counts Pivot Table'!$A$3,"State","AR","Category2","Four-Year")</f>
        <v>876</v>
      </c>
      <c r="AB23" s="110">
        <f>+GETPIVOTDATA(" Total # Prof New",'Counts Pivot Table'!$A$3,"State","AR","Category",7,"Category2","Two-Year")</f>
        <v>0</v>
      </c>
      <c r="AC23" s="111">
        <f>+GETPIVOTDATA(" Total # Prof New",'Counts Pivot Table'!$A$3,"State","AR","Category",8,"Category2","Two-Year")</f>
        <v>0</v>
      </c>
      <c r="AD23" s="111">
        <f>+GETPIVOTDATA(" Total # Prof New",'Counts Pivot Table'!$A$3,"State","AR","Category",9,"Category2","Two-Year")</f>
        <v>5</v>
      </c>
      <c r="AE23" s="111">
        <f>+GETPIVOTDATA(" Total # Prof New",'Counts Pivot Table'!$A$3,"State","AR","Category",10,"Category2","Two-Year")</f>
        <v>0</v>
      </c>
      <c r="AF23" s="112">
        <f>+GETPIVOTDATA(" Total # Prof New",'Counts Pivot Table'!$A$3,"State","AR","Category",11,"Category2","Two-Year")</f>
        <v>0</v>
      </c>
      <c r="AG23" s="112">
        <f>+GETPIVOTDATA(" Total # Prof New",'Counts Pivot Table'!$A$3,"State","AR","Category2","Two-Year")</f>
        <v>5</v>
      </c>
      <c r="AH23" s="110">
        <f>+GETPIVOTDATA(" Total # Prof New",'Counts Pivot Table'!$A$3,"State","AR","Category",12,"Category2","Technical Institutes")</f>
        <v>0</v>
      </c>
      <c r="AI23" s="111">
        <f>+GETPIVOTDATA(" Total # Prof New",'Counts Pivot Table'!$A$3,"State","AR","Category",13,"Category2","Technical Institutes")</f>
        <v>0</v>
      </c>
      <c r="AJ23" s="112">
        <f>+GETPIVOTDATA(" Total # Prof New",'Counts Pivot Table'!$A$3,"State","AR","Category",14,"Category2","Technical Institutes")</f>
        <v>0</v>
      </c>
      <c r="AK23" s="110">
        <f>+GETPIVOTDATA(" Total # Prof New",'Counts Pivot Table'!$A$3,"State","AR","Category2","Technical Institutes")</f>
        <v>0</v>
      </c>
    </row>
    <row r="24" spans="1:39">
      <c r="A24" s="30"/>
      <c r="B24" s="38" t="s">
        <v>436</v>
      </c>
      <c r="C24" s="32">
        <f t="shared" si="4"/>
        <v>0.25795033017743502</v>
      </c>
      <c r="D24" s="34">
        <f t="shared" si="4"/>
        <v>0</v>
      </c>
      <c r="E24" s="34">
        <f t="shared" si="4"/>
        <v>0.22689669204678081</v>
      </c>
      <c r="F24" s="34">
        <f t="shared" si="4"/>
        <v>0.22925783820102938</v>
      </c>
      <c r="G24" s="34">
        <f t="shared" si="4"/>
        <v>0.20198653854219378</v>
      </c>
      <c r="H24" s="68">
        <f t="shared" si="4"/>
        <v>0.18848167150977291</v>
      </c>
      <c r="I24" s="32">
        <f t="shared" si="4"/>
        <v>0.2284219902459412</v>
      </c>
      <c r="J24" s="32">
        <f t="shared" si="4"/>
        <v>0</v>
      </c>
      <c r="K24" s="34">
        <f t="shared" si="4"/>
        <v>0</v>
      </c>
      <c r="L24" s="34">
        <f t="shared" si="4"/>
        <v>4.3478279590115493E-2</v>
      </c>
      <c r="M24" s="34">
        <f t="shared" si="5"/>
        <v>0</v>
      </c>
      <c r="N24" s="68">
        <f t="shared" si="5"/>
        <v>0</v>
      </c>
      <c r="O24" s="32">
        <f t="shared" si="5"/>
        <v>7.9767947211124395E-3</v>
      </c>
      <c r="P24" s="32">
        <f t="shared" si="5"/>
        <v>0</v>
      </c>
      <c r="Q24" s="34">
        <f t="shared" si="5"/>
        <v>0</v>
      </c>
      <c r="R24" s="68">
        <f t="shared" si="5"/>
        <v>0</v>
      </c>
      <c r="S24" s="32">
        <f t="shared" si="5"/>
        <v>0</v>
      </c>
      <c r="T24" s="92"/>
      <c r="U24" s="114">
        <f>+GETPIVOTDATA(" Tot # Asc. Prof New",'Counts Pivot Table'!$A$3,"State","AR","Category",1,"Category2","Four-Year")</f>
        <v>219</v>
      </c>
      <c r="V24" s="115">
        <f>+GETPIVOTDATA(" Tot # Asc. Prof New",'Counts Pivot Table'!$A$3,"State","AR","Category",2,"Category2","Four-Year")</f>
        <v>0</v>
      </c>
      <c r="W24" s="115">
        <f>+GETPIVOTDATA(" Tot # Asc. Prof New",'Counts Pivot Table'!$A$3,"State","AR","Category",3,"Category2","Four-Year")</f>
        <v>329</v>
      </c>
      <c r="X24" s="115">
        <f>+GETPIVOTDATA(" Tot # Asc. Prof New",'Counts Pivot Table'!$A$3,"State","AR","Category",4,"Category2","Four-Year")</f>
        <v>105</v>
      </c>
      <c r="Y24" s="115">
        <f>+GETPIVOTDATA(" Tot # Asc. Prof New",'Counts Pivot Table'!$A$3,"State","AR","Category",5,"Category2","Four-Year")</f>
        <v>61</v>
      </c>
      <c r="Z24" s="115">
        <f>+GETPIVOTDATA(" Tot # Asc. Prof New",'Counts Pivot Table'!$A$3,"State","AR","Category",6,"Category2","Four-Year")</f>
        <v>72</v>
      </c>
      <c r="AA24" s="117">
        <f>+GETPIVOTDATA(" Tot # Asc. Prof New",'Counts Pivot Table'!$A$3,"State","AR","Category2","Four-Year")</f>
        <v>786</v>
      </c>
      <c r="AB24" s="114">
        <f>+GETPIVOTDATA(" Tot # Asc. Prof New",'Counts Pivot Table'!$A$3,"State","AR","Category",7,"Category2","Two-Year")</f>
        <v>0</v>
      </c>
      <c r="AC24" s="115">
        <f>+GETPIVOTDATA(" Tot # Asc. Prof New",'Counts Pivot Table'!$A$3,"State","AR","Category",8,"Category2","Two-Year")</f>
        <v>0</v>
      </c>
      <c r="AD24" s="115">
        <f>+GETPIVOTDATA(" Tot # Asc. Prof New",'Counts Pivot Table'!$A$3,"State","AR","Category",9,"Category2","Two-Year")</f>
        <v>11</v>
      </c>
      <c r="AE24" s="115">
        <f>+GETPIVOTDATA(" Tot # Asc. Prof New",'Counts Pivot Table'!$A$3,"State","AR","Category",10,"Category2","Two-Year")</f>
        <v>0</v>
      </c>
      <c r="AF24" s="116">
        <f>+GETPIVOTDATA(" Tot # Asc. Prof New",'Counts Pivot Table'!$A$3,"State","AR","Category",11,"Category2","Two-Year")</f>
        <v>0</v>
      </c>
      <c r="AG24" s="116">
        <f>+GETPIVOTDATA(" Tot # Asc. Prof New",'Counts Pivot Table'!$A$3,"State","AR","Category2","Two-Year")</f>
        <v>11</v>
      </c>
      <c r="AH24" s="114">
        <f>+GETPIVOTDATA(" Tot # Asc. Prof New",'Counts Pivot Table'!$A$3,"State","AR","Category",12,"Category2","Technical Institutes")</f>
        <v>0</v>
      </c>
      <c r="AI24" s="115">
        <f>+GETPIVOTDATA(" Tot # Asc. Prof New",'Counts Pivot Table'!$A$3,"State","AR","Category",13,"Category2","Technical Institutes")</f>
        <v>0</v>
      </c>
      <c r="AJ24" s="116">
        <f>+GETPIVOTDATA(" Tot # Asc. Prof New",'Counts Pivot Table'!$A$3,"State","AR","Category",14,"Category2","Technical Institutes")</f>
        <v>0</v>
      </c>
      <c r="AK24" s="114">
        <f>+GETPIVOTDATA(" Tot # Asc. Prof New",'Counts Pivot Table'!$A$3,"State","AR","Category2","Technical Institutes")</f>
        <v>0</v>
      </c>
    </row>
    <row r="25" spans="1:39">
      <c r="A25" s="30"/>
      <c r="B25" s="38" t="s">
        <v>437</v>
      </c>
      <c r="C25" s="32">
        <f t="shared" si="4"/>
        <v>0.19316905857742928</v>
      </c>
      <c r="D25" s="34">
        <f t="shared" si="4"/>
        <v>0</v>
      </c>
      <c r="E25" s="34">
        <f t="shared" si="4"/>
        <v>0.29793060029293966</v>
      </c>
      <c r="F25" s="34">
        <f t="shared" si="4"/>
        <v>0.3253269332941135</v>
      </c>
      <c r="G25" s="34">
        <f t="shared" si="4"/>
        <v>0.32781528976942065</v>
      </c>
      <c r="H25" s="68">
        <f t="shared" si="4"/>
        <v>0.38481676660004671</v>
      </c>
      <c r="I25" s="32">
        <f t="shared" si="4"/>
        <v>0.28799761310107391</v>
      </c>
      <c r="J25" s="32">
        <f t="shared" si="4"/>
        <v>0</v>
      </c>
      <c r="K25" s="34">
        <f t="shared" si="4"/>
        <v>0</v>
      </c>
      <c r="L25" s="34">
        <f t="shared" si="4"/>
        <v>0.1383395499413474</v>
      </c>
      <c r="M25" s="34">
        <f t="shared" si="5"/>
        <v>3.384627167927208E-2</v>
      </c>
      <c r="N25" s="68">
        <f t="shared" si="5"/>
        <v>0</v>
      </c>
      <c r="O25" s="32">
        <f t="shared" si="5"/>
        <v>4.9311101874690115E-2</v>
      </c>
      <c r="P25" s="32">
        <f t="shared" si="5"/>
        <v>0</v>
      </c>
      <c r="Q25" s="34">
        <f t="shared" si="5"/>
        <v>0</v>
      </c>
      <c r="R25" s="68">
        <f t="shared" si="5"/>
        <v>0</v>
      </c>
      <c r="S25" s="32">
        <f t="shared" si="5"/>
        <v>0</v>
      </c>
      <c r="T25" s="92"/>
      <c r="U25" s="114">
        <f>+GETPIVOTDATA(" Tot # Ast. Prof New",'Counts Pivot Table'!$A$3,"State","AR","Category",1,"Category2","Four-Year")</f>
        <v>164.00065779856746</v>
      </c>
      <c r="V25" s="115">
        <f>+GETPIVOTDATA(" Tot # Ast. Prof New",'Counts Pivot Table'!$A$3,"State","AR","Category",2,"Category2","Four-Year")</f>
        <v>0</v>
      </c>
      <c r="W25" s="115">
        <f>+GETPIVOTDATA(" Tot # Ast. Prof New",'Counts Pivot Table'!$A$3,"State","AR","Category",3,"Category2","Four-Year")</f>
        <v>431.99910325782923</v>
      </c>
      <c r="X25" s="115">
        <f>+GETPIVOTDATA(" Tot # Ast. Prof New",'Counts Pivot Table'!$A$3,"State","AR","Category",4,"Category2","Four-Year")</f>
        <v>148.99960788223353</v>
      </c>
      <c r="Y25" s="115">
        <f>+GETPIVOTDATA(" Tot # Ast. Prof New",'Counts Pivot Table'!$A$3,"State","AR","Category",5,"Category2","Four-Year")</f>
        <v>99.000323587195197</v>
      </c>
      <c r="Z25" s="115">
        <f>+GETPIVOTDATA(" Tot # Ast. Prof New",'Counts Pivot Table'!$A$3,"State","AR","Category",6,"Category2","Four-Year")</f>
        <v>147.00000786955428</v>
      </c>
      <c r="AA25" s="117">
        <f>+GETPIVOTDATA(" Tot # Ast. Prof New",'Counts Pivot Table'!$A$3,"State","AR","Category2","Four-Year")</f>
        <v>990.9997003953797</v>
      </c>
      <c r="AB25" s="114">
        <f>+GETPIVOTDATA(" Tot # Ast. Prof New",'Counts Pivot Table'!$A$3,"State","AR","Category",7,"Category2","Two-Year")</f>
        <v>0</v>
      </c>
      <c r="AC25" s="115">
        <f>+GETPIVOTDATA(" Tot # Ast. Prof New",'Counts Pivot Table'!$A$3,"State","AR","Category",8,"Category2","Two-Year")</f>
        <v>0</v>
      </c>
      <c r="AD25" s="115">
        <f>+GETPIVOTDATA(" Tot # Ast. Prof New",'Counts Pivot Table'!$A$3,"State","AR","Category",9,"Category2","Two-Year")</f>
        <v>34.999891065164817</v>
      </c>
      <c r="AE25" s="115">
        <f>+GETPIVOTDATA(" Tot # Ast. Prof New",'Counts Pivot Table'!$A$3,"State","AR","Category",10,"Category2","Two-Year")</f>
        <v>33.00011891201877</v>
      </c>
      <c r="AF25" s="116">
        <f>+GETPIVOTDATA(" Tot # Ast. Prof New",'Counts Pivot Table'!$A$3,"State","AR","Category",11,"Category2","Two-Year")</f>
        <v>0</v>
      </c>
      <c r="AG25" s="116">
        <f>+GETPIVOTDATA(" Tot # Ast. Prof New",'Counts Pivot Table'!$A$3,"State","AR","Category2","Two-Year")</f>
        <v>68.000009977183595</v>
      </c>
      <c r="AH25" s="114">
        <f>+GETPIVOTDATA(" Tot # Ast. Prof New",'Counts Pivot Table'!$A$3,"State","AR","Category",12,"Category2","Technical Institutes")</f>
        <v>0</v>
      </c>
      <c r="AI25" s="115">
        <f>+GETPIVOTDATA(" Tot # Ast. Prof New",'Counts Pivot Table'!$A$3,"State","AR","Category",13,"Category2","Technical Institutes")</f>
        <v>0</v>
      </c>
      <c r="AJ25" s="116">
        <f>+GETPIVOTDATA(" Tot # Ast. Prof New",'Counts Pivot Table'!$A$3,"State","AR","Category",14,"Category2","Technical Institutes")</f>
        <v>0</v>
      </c>
      <c r="AK25" s="114">
        <f>+GETPIVOTDATA(" Tot # Ast. Prof New",'Counts Pivot Table'!$A$3,"State","AR","Category2","Technical Institutes")</f>
        <v>0</v>
      </c>
    </row>
    <row r="26" spans="1:39">
      <c r="A26" s="30"/>
      <c r="B26" s="38" t="s">
        <v>438</v>
      </c>
      <c r="C26" s="32">
        <f t="shared" si="4"/>
        <v>0.13545336972787683</v>
      </c>
      <c r="D26" s="34">
        <f t="shared" si="4"/>
        <v>0</v>
      </c>
      <c r="E26" s="34">
        <f t="shared" si="4"/>
        <v>0.23586221483282382</v>
      </c>
      <c r="F26" s="34">
        <f t="shared" si="4"/>
        <v>0.14192151888635152</v>
      </c>
      <c r="G26" s="34">
        <f t="shared" si="4"/>
        <v>0.23841034057439264</v>
      </c>
      <c r="H26" s="68">
        <f t="shared" si="4"/>
        <v>0.28795810925104198</v>
      </c>
      <c r="I26" s="32">
        <f t="shared" si="4"/>
        <v>0.20459170627626286</v>
      </c>
      <c r="J26" s="32">
        <f t="shared" si="4"/>
        <v>0</v>
      </c>
      <c r="K26" s="34">
        <f t="shared" si="4"/>
        <v>0</v>
      </c>
      <c r="L26" s="34">
        <f t="shared" si="4"/>
        <v>0.27667996102800768</v>
      </c>
      <c r="M26" s="34">
        <f t="shared" si="5"/>
        <v>8.4102553845328762E-2</v>
      </c>
      <c r="N26" s="68">
        <f t="shared" si="5"/>
        <v>0</v>
      </c>
      <c r="O26" s="32">
        <f t="shared" si="5"/>
        <v>0.11022479978264461</v>
      </c>
      <c r="P26" s="32">
        <f t="shared" si="5"/>
        <v>0</v>
      </c>
      <c r="Q26" s="34">
        <f t="shared" si="5"/>
        <v>0</v>
      </c>
      <c r="R26" s="68">
        <f t="shared" si="5"/>
        <v>0</v>
      </c>
      <c r="S26" s="32">
        <f t="shared" si="5"/>
        <v>0</v>
      </c>
      <c r="T26" s="92"/>
      <c r="U26" s="114">
        <f>+GETPIVOTDATA(" Tot # Instr. New",'Counts Pivot Table'!$A$3,"State","AR","Category",1,"Category2","Four-Year")</f>
        <v>115</v>
      </c>
      <c r="V26" s="115">
        <f>+GETPIVOTDATA(" Tot # Instr. New",'Counts Pivot Table'!$A$3,"State","AR","Category",2,"Category2","Four-Year")</f>
        <v>0</v>
      </c>
      <c r="W26" s="115">
        <f>+GETPIVOTDATA(" Tot # Instr. New",'Counts Pivot Table'!$A$3,"State","AR","Category",3,"Category2","Four-Year")</f>
        <v>342</v>
      </c>
      <c r="X26" s="115">
        <f>+GETPIVOTDATA(" Tot # Instr. New",'Counts Pivot Table'!$A$3,"State","AR","Category",4,"Category2","Four-Year")</f>
        <v>65</v>
      </c>
      <c r="Y26" s="115">
        <f>+GETPIVOTDATA(" Tot # Instr. New",'Counts Pivot Table'!$A$3,"State","AR","Category",5,"Category2","Four-Year")</f>
        <v>72</v>
      </c>
      <c r="Z26" s="115">
        <f>+GETPIVOTDATA(" Tot # Instr. New",'Counts Pivot Table'!$A$3,"State","AR","Category",6,"Category2","Four-Year")</f>
        <v>110</v>
      </c>
      <c r="AA26" s="117">
        <f>+GETPIVOTDATA(" Tot # Instr. New",'Counts Pivot Table'!$A$3,"State","AR","Category2","Four-Year")</f>
        <v>704</v>
      </c>
      <c r="AB26" s="114">
        <f>+GETPIVOTDATA(" Tot # Instr. New",'Counts Pivot Table'!$A$3,"State","AR","Category",7,"Category2","Two-Year")</f>
        <v>0</v>
      </c>
      <c r="AC26" s="115">
        <f>+GETPIVOTDATA(" Tot # Instr. New",'Counts Pivot Table'!$A$3,"State","AR","Category",8,"Category2","Two-Year")</f>
        <v>0</v>
      </c>
      <c r="AD26" s="115">
        <f>+GETPIVOTDATA(" Tot # Instr. New",'Counts Pivot Table'!$A$3,"State","AR","Category",9,"Category2","Two-Year")</f>
        <v>70</v>
      </c>
      <c r="AE26" s="115">
        <f>+GETPIVOTDATA(" Tot # Instr. New",'Counts Pivot Table'!$A$3,"State","AR","Category",10,"Category2","Two-Year")</f>
        <v>82</v>
      </c>
      <c r="AF26" s="116">
        <f>+GETPIVOTDATA(" Tot # Instr. New",'Counts Pivot Table'!$A$3,"State","AR","Category",11,"Category2","Two-Year")</f>
        <v>0</v>
      </c>
      <c r="AG26" s="116">
        <f>+GETPIVOTDATA(" Tot # Instr. New",'Counts Pivot Table'!$A$3,"State","AR","Category2","Two-Year")</f>
        <v>152</v>
      </c>
      <c r="AH26" s="114">
        <f>+GETPIVOTDATA(" Tot # Instr. New",'Counts Pivot Table'!$A$3,"State","AR","Category",12,"Category2","Technical Institutes")</f>
        <v>0</v>
      </c>
      <c r="AI26" s="115">
        <f>+GETPIVOTDATA(" Tot # Instr. New",'Counts Pivot Table'!$A$3,"State","AR","Category",13,"Category2","Technical Institutes")</f>
        <v>0</v>
      </c>
      <c r="AJ26" s="116">
        <f>+GETPIVOTDATA(" Tot # Instr. New",'Counts Pivot Table'!$A$3,"State","AR","Category",14,"Category2","Technical Institutes")</f>
        <v>0</v>
      </c>
      <c r="AK26" s="114">
        <f>+GETPIVOTDATA(" Tot # Instr. New",'Counts Pivot Table'!$A$3,"State","AR","Category2","Technical Institutes")</f>
        <v>0</v>
      </c>
    </row>
    <row r="27" spans="1:39">
      <c r="A27" s="30"/>
      <c r="B27" s="38" t="s">
        <v>414</v>
      </c>
      <c r="C27" s="32">
        <f t="shared" si="4"/>
        <v>0</v>
      </c>
      <c r="D27" s="34">
        <f t="shared" si="4"/>
        <v>0</v>
      </c>
      <c r="E27" s="34">
        <f t="shared" si="4"/>
        <v>6.8965559892638544E-3</v>
      </c>
      <c r="F27" s="34">
        <f t="shared" si="4"/>
        <v>7.8602687383210079E-2</v>
      </c>
      <c r="G27" s="34">
        <f t="shared" si="4"/>
        <v>8.9403877715397248E-2</v>
      </c>
      <c r="H27" s="68">
        <f t="shared" si="4"/>
        <v>2.8795810925104196E-2</v>
      </c>
      <c r="I27" s="32">
        <f t="shared" si="4"/>
        <v>2.4411510407963181E-2</v>
      </c>
      <c r="J27" s="32">
        <f t="shared" si="4"/>
        <v>0</v>
      </c>
      <c r="K27" s="34">
        <f t="shared" si="4"/>
        <v>0</v>
      </c>
      <c r="L27" s="34">
        <f t="shared" si="4"/>
        <v>0</v>
      </c>
      <c r="M27" s="34">
        <f t="shared" si="5"/>
        <v>0.37846149230397941</v>
      </c>
      <c r="N27" s="124">
        <f t="shared" si="5"/>
        <v>0</v>
      </c>
      <c r="O27" s="32">
        <f t="shared" si="5"/>
        <v>0.26758520473549907</v>
      </c>
      <c r="P27" s="32">
        <f t="shared" si="5"/>
        <v>0</v>
      </c>
      <c r="Q27" s="34">
        <f t="shared" si="5"/>
        <v>0</v>
      </c>
      <c r="R27" s="68">
        <f t="shared" si="5"/>
        <v>0</v>
      </c>
      <c r="S27" s="32">
        <f t="shared" si="5"/>
        <v>0</v>
      </c>
      <c r="T27" s="92"/>
      <c r="U27" s="114">
        <f>++GETPIVOTDATA(" Tot # Undes. New",'Counts Pivot Table'!$A$3,"State","AR","Category",1,"Category2","Four-Year")</f>
        <v>0</v>
      </c>
      <c r="V27" s="115">
        <f>+GETPIVOTDATA(" Tot # Undes. New",'Counts Pivot Table'!$A$3,"State","AR","Category",2,"Category2","Four-Year")</f>
        <v>0</v>
      </c>
      <c r="W27" s="115">
        <f>+GETPIVOTDATA(" Tot # Undes. New",'Counts Pivot Table'!$A$3,"State","AR","Category",3,"Category2","Four-Year")</f>
        <v>10</v>
      </c>
      <c r="X27" s="115">
        <f>+GETPIVOTDATA(" Tot # Undes. New",'Counts Pivot Table'!$A$3,"State","AR","Category",4,"Category2","Four-Year")</f>
        <v>36</v>
      </c>
      <c r="Y27" s="115">
        <f>+GETPIVOTDATA(" Tot # Undes. New",'Counts Pivot Table'!$A$3,"State","AR","Category",5,"Category2","Four-Year")</f>
        <v>27</v>
      </c>
      <c r="Z27" s="115">
        <f>+GETPIVOTDATA(" Tot # Undes. New",'Counts Pivot Table'!$A$3,"State","AR","Category",6,"Category2","Four-Year")</f>
        <v>11</v>
      </c>
      <c r="AA27" s="117">
        <f>+GETPIVOTDATA(" Tot # Undes. New",'Counts Pivot Table'!$A$3,"State","AR","Category2","Four-Year")</f>
        <v>84</v>
      </c>
      <c r="AB27" s="114">
        <f>+GETPIVOTDATA(" Tot # Undes. New",'Counts Pivot Table'!$A$3,"State","AR","Category",7,"Category2","Two-Year")</f>
        <v>0</v>
      </c>
      <c r="AC27" s="115">
        <f>+GETPIVOTDATA(" Tot # Undes. New",'Counts Pivot Table'!$A$3,"State","AR","Category",8,"Category2","Two-Year")</f>
        <v>0</v>
      </c>
      <c r="AD27" s="115">
        <f>+GETPIVOTDATA(" Tot # Undes. New",'Counts Pivot Table'!$A$3,"State","AR","Category",9,"Category2","Two-Year")</f>
        <v>0</v>
      </c>
      <c r="AE27" s="115">
        <f>+GETPIVOTDATA(" Tot # Undes. New",'Counts Pivot Table'!$A$3,"State","AR","Category",10,"Category2","Two-Year")</f>
        <v>369</v>
      </c>
      <c r="AF27" s="116">
        <f>+GETPIVOTDATA(" Tot # Undes. New",'Counts Pivot Table'!$A$3,"State","AR","Category",11,"Category2","Two-Year")</f>
        <v>0</v>
      </c>
      <c r="AG27" s="116">
        <f>+GETPIVOTDATA(" Tot # Undes. New",'Counts Pivot Table'!$A$3,"State","AR","Category2","Two-Year")</f>
        <v>369</v>
      </c>
      <c r="AH27" s="114">
        <f>+GETPIVOTDATA(" Tot # Undes. New",'Counts Pivot Table'!$A$3,"State","AR","Category",12,"Category2","Technical Institutes")</f>
        <v>0</v>
      </c>
      <c r="AI27" s="115">
        <f>+GETPIVOTDATA(" Tot # Undes. New",'Counts Pivot Table'!$A$3,"State","AR","Category",13,"Category2","Technical Institutes")</f>
        <v>0</v>
      </c>
      <c r="AJ27" s="116">
        <f>+GETPIVOTDATA(" Tot # Undes. New",'Counts Pivot Table'!$A$3,"State","AR","Category",14,"Category2","Technical Institutes")</f>
        <v>0</v>
      </c>
      <c r="AK27" s="114">
        <f>+GETPIVOTDATA(" Tot # Undes. New",'Counts Pivot Table'!$A$3,"State","AR","Category2","Technical Institutes")</f>
        <v>0</v>
      </c>
    </row>
    <row r="28" spans="1:39">
      <c r="A28" s="30"/>
      <c r="B28" s="38" t="s">
        <v>413</v>
      </c>
      <c r="C28" s="32">
        <f t="shared" si="4"/>
        <v>0</v>
      </c>
      <c r="D28" s="34">
        <f t="shared" si="4"/>
        <v>0</v>
      </c>
      <c r="E28" s="199">
        <f t="shared" si="4"/>
        <v>0</v>
      </c>
      <c r="F28" s="34">
        <f t="shared" si="4"/>
        <v>0</v>
      </c>
      <c r="G28" s="199">
        <f t="shared" si="4"/>
        <v>0</v>
      </c>
      <c r="H28" s="68">
        <f t="shared" si="4"/>
        <v>0</v>
      </c>
      <c r="I28" s="198">
        <f t="shared" si="4"/>
        <v>0</v>
      </c>
      <c r="J28" s="32">
        <f t="shared" si="4"/>
        <v>0</v>
      </c>
      <c r="K28" s="34">
        <f t="shared" si="4"/>
        <v>1</v>
      </c>
      <c r="L28" s="34">
        <f t="shared" si="4"/>
        <v>0.52173935508138591</v>
      </c>
      <c r="M28" s="34">
        <f t="shared" si="5"/>
        <v>0.50358968217141975</v>
      </c>
      <c r="N28" s="68">
        <f t="shared" si="5"/>
        <v>0</v>
      </c>
      <c r="O28" s="32">
        <f t="shared" si="5"/>
        <v>0.56127628310372979</v>
      </c>
      <c r="P28" s="32">
        <f t="shared" si="5"/>
        <v>0</v>
      </c>
      <c r="Q28" s="34">
        <f t="shared" si="5"/>
        <v>0</v>
      </c>
      <c r="R28" s="68">
        <f t="shared" si="5"/>
        <v>0</v>
      </c>
      <c r="S28" s="32">
        <f t="shared" si="5"/>
        <v>0</v>
      </c>
      <c r="T28" s="92"/>
      <c r="U28" s="114">
        <f>+GETPIVOTDATA(" Tot # Single Rnk New",'Counts Pivot Table'!$A$3,"State","AR","Category",1,"Category2","Four-Year")</f>
        <v>0</v>
      </c>
      <c r="V28" s="115">
        <f>+GETPIVOTDATA(" Tot # Single Rnk New",'Counts Pivot Table'!$A$3,"State","AR","Category",2,"Category2","Four-Year")</f>
        <v>0</v>
      </c>
      <c r="W28" s="115">
        <f>+GETPIVOTDATA(" Tot # Single Rnk New",'Counts Pivot Table'!$A$3,"State","AR","Category",3,"Category2","Four-Year")</f>
        <v>0</v>
      </c>
      <c r="X28" s="115">
        <f>+GETPIVOTDATA(" Tot # Single Rnk New",'Counts Pivot Table'!$A$3,"State","AR","Category",4,"Category2","Four-Year")</f>
        <v>0</v>
      </c>
      <c r="Y28" s="115">
        <f>+GETPIVOTDATA(" Tot # Single Rnk New",'Counts Pivot Table'!$A$3,"State","AR","Category",5,"Category2","Four-Year")</f>
        <v>0</v>
      </c>
      <c r="Z28" s="115">
        <f>+GETPIVOTDATA(" Tot # Single Rnk New",'Counts Pivot Table'!$A$3,"State","AR","Category",6,"Category2","Four-Year")</f>
        <v>0</v>
      </c>
      <c r="AA28" s="117">
        <f>+GETPIVOTDATA(" Tot # Single Rnk New",'Counts Pivot Table'!$A$3,"State","AR","Category2","Four-Year")</f>
        <v>0</v>
      </c>
      <c r="AB28" s="114">
        <f>+GETPIVOTDATA(" Tot # Single Rnk New",'Counts Pivot Table'!$A$3,"State","AR","Category",7,"Category2","Two-Year")</f>
        <v>0</v>
      </c>
      <c r="AC28" s="115">
        <f>+GETPIVOTDATA(" Tot # Single Rnk New",'Counts Pivot Table'!$A$3,"State","AR","Category",8,"Category2","Two-Year")</f>
        <v>151</v>
      </c>
      <c r="AD28" s="115">
        <f>+GETPIVOTDATA(" Tot # Single Rnk New",'Counts Pivot Table'!$A$3,"State","AR","Category",9,"Category2","Two-Year")</f>
        <v>132</v>
      </c>
      <c r="AE28" s="115">
        <f>+GETPIVOTDATA(" Tot # Single Rnk New",'Counts Pivot Table'!$A$3,"State","AR","Category",10,"Category2","Two-Year")</f>
        <v>491</v>
      </c>
      <c r="AF28" s="116">
        <f>+GETPIVOTDATA(" Tot # Single Rnk New",'Counts Pivot Table'!$A$3,"State","AR","Category",11,"Category2","Two-Year")</f>
        <v>0</v>
      </c>
      <c r="AG28" s="116">
        <f>+GETPIVOTDATA(" Tot # Single Rnk New",'Counts Pivot Table'!$A$3,"State","AR","Category2","Two-Year")</f>
        <v>774</v>
      </c>
      <c r="AH28" s="114">
        <f>+GETPIVOTDATA(" Tot # Single Rnk New",'Counts Pivot Table'!$A$3,"State","AR","Category",12,"Category2","Technical Institutes")</f>
        <v>0</v>
      </c>
      <c r="AI28" s="115">
        <f>+GETPIVOTDATA(" Tot # Single Rnk New",'Counts Pivot Table'!$A$3,"State","AR","Category",13,"Category2","Technical Institutes")</f>
        <v>0</v>
      </c>
      <c r="AJ28" s="116">
        <f>+GETPIVOTDATA(" Tot # Single Rnk New",'Counts Pivot Table'!$A$3,"State","AR","Category",14,"Category2","Technical Institutes")</f>
        <v>0</v>
      </c>
      <c r="AK28" s="114">
        <f>+GETPIVOTDATA(" Tot # Single Rnk New",'Counts Pivot Table'!$A$3,"State","AR","Category2","Technical Institutes")</f>
        <v>0</v>
      </c>
    </row>
    <row r="29" spans="1:39" s="54" customFormat="1">
      <c r="A29" s="207"/>
      <c r="B29" s="208" t="s">
        <v>415</v>
      </c>
      <c r="C29" s="33">
        <f t="shared" si="4"/>
        <v>1</v>
      </c>
      <c r="D29" s="31">
        <f t="shared" si="4"/>
        <v>0</v>
      </c>
      <c r="E29" s="31">
        <f t="shared" si="4"/>
        <v>1</v>
      </c>
      <c r="F29" s="31">
        <f t="shared" si="4"/>
        <v>1</v>
      </c>
      <c r="G29" s="31">
        <f t="shared" si="4"/>
        <v>1</v>
      </c>
      <c r="H29" s="69">
        <f t="shared" si="4"/>
        <v>1</v>
      </c>
      <c r="I29" s="33">
        <f t="shared" si="4"/>
        <v>1</v>
      </c>
      <c r="J29" s="33">
        <f t="shared" si="4"/>
        <v>0</v>
      </c>
      <c r="K29" s="31">
        <f t="shared" si="4"/>
        <v>1</v>
      </c>
      <c r="L29" s="31">
        <f t="shared" si="4"/>
        <v>1</v>
      </c>
      <c r="M29" s="31">
        <f t="shared" si="5"/>
        <v>1</v>
      </c>
      <c r="N29" s="69">
        <f t="shared" si="5"/>
        <v>0</v>
      </c>
      <c r="O29" s="33">
        <f t="shared" si="5"/>
        <v>1</v>
      </c>
      <c r="P29" s="33">
        <f t="shared" si="5"/>
        <v>0</v>
      </c>
      <c r="Q29" s="31">
        <f t="shared" si="5"/>
        <v>0</v>
      </c>
      <c r="R29" s="69">
        <f t="shared" si="5"/>
        <v>0</v>
      </c>
      <c r="S29" s="33">
        <f t="shared" si="5"/>
        <v>0</v>
      </c>
      <c r="T29" s="93"/>
      <c r="U29" s="118">
        <f>+GETPIVOTDATA(" All Ranks # New",'Counts Pivot Table'!$A$3,"State","AR","Category",1,"Category2","Four-Year")</f>
        <v>849.00065779856743</v>
      </c>
      <c r="V29" s="119">
        <f>+GETPIVOTDATA(" All Ranks # New",'Counts Pivot Table'!$A$3,"State","AR","Category",2,"Category2","Four-Year")</f>
        <v>0</v>
      </c>
      <c r="W29" s="119">
        <f>+GETPIVOTDATA(" All Ranks # New",'Counts Pivot Table'!$A$3,"State","AR","Category",3,"Category2","Four-Year")</f>
        <v>1449.9991032578291</v>
      </c>
      <c r="X29" s="119">
        <f>+GETPIVOTDATA(" All Ranks # New",'Counts Pivot Table'!$A$3,"State","AR","Category",4,"Category2","Four-Year")</f>
        <v>457.99960788223353</v>
      </c>
      <c r="Y29" s="119">
        <f>+GETPIVOTDATA(" All Ranks # New",'Counts Pivot Table'!$A$3,"State","AR","Category",5,"Category2","Four-Year")</f>
        <v>302.00032358719523</v>
      </c>
      <c r="Z29" s="119">
        <f>+GETPIVOTDATA(" All Ranks # New",'Counts Pivot Table'!$A$3,"State","AR","Category",6,"Category2","Four-Year")</f>
        <v>382.00000786955428</v>
      </c>
      <c r="AA29" s="121">
        <f>+GETPIVOTDATA(" All Ranks # New",'Counts Pivot Table'!$A$3,"State","AR","Category2","Four-Year")</f>
        <v>3440.9997003953795</v>
      </c>
      <c r="AB29" s="118">
        <f>+GETPIVOTDATA(" All Ranks # New",'Counts Pivot Table'!$A$3,"State","AR","Category",7,"Category2","Two-Year")</f>
        <v>0</v>
      </c>
      <c r="AC29" s="119">
        <f>+GETPIVOTDATA(" All Ranks # New",'Counts Pivot Table'!$A$3,"State","AR","Category",8,"Category2","Two-Year")</f>
        <v>151</v>
      </c>
      <c r="AD29" s="119">
        <f>+GETPIVOTDATA(" All Ranks # New",'Counts Pivot Table'!$A$3,"State","AR","Category",9,"Category2","Two-Year")</f>
        <v>252.99989106516483</v>
      </c>
      <c r="AE29" s="119">
        <f>+GETPIVOTDATA(" All Ranks # New",'Counts Pivot Table'!$A$3,"State","AR","Category",10,"Category2","Two-Year")</f>
        <v>975.00011891201871</v>
      </c>
      <c r="AF29" s="120">
        <f>+GETPIVOTDATA(" All Ranks # New",'Counts Pivot Table'!$A$3,"State","AR","Category",11,"Category2","Two-Year")</f>
        <v>0</v>
      </c>
      <c r="AG29" s="120">
        <f>+GETPIVOTDATA(" All Ranks # New",'Counts Pivot Table'!$A$3,"State","AR","Category2","Two-Year")</f>
        <v>1379.0000099771837</v>
      </c>
      <c r="AH29" s="118">
        <f>+GETPIVOTDATA(" All Ranks # New",'Counts Pivot Table'!$A$3,"State","AR","Category",12,"Category2","Technical Institutes")</f>
        <v>0</v>
      </c>
      <c r="AI29" s="119">
        <f>+GETPIVOTDATA(" All Ranks # New",'Counts Pivot Table'!$A$3,"State","AR","Category",13,"Category2","Technical Institutes")</f>
        <v>0</v>
      </c>
      <c r="AJ29" s="120">
        <f>+GETPIVOTDATA(" All Ranks # New",'Counts Pivot Table'!$A$3,"State","AR","Category",14,"Category2","Technical Institutes")</f>
        <v>0</v>
      </c>
      <c r="AK29" s="118">
        <f>+GETPIVOTDATA(" All Ranks # New",'Counts Pivot Table'!$A$3,"State","AR","Category2","Technical Institutes")</f>
        <v>0</v>
      </c>
      <c r="AL29" s="122"/>
      <c r="AM29" s="122"/>
    </row>
    <row r="30" spans="1:39">
      <c r="A30" s="38" t="s">
        <v>442</v>
      </c>
      <c r="B30" s="35" t="s">
        <v>435</v>
      </c>
      <c r="C30" s="36">
        <f t="shared" ref="C30:L36" si="6">IF(U$36&gt;0,(U30/U$36),0)</f>
        <v>0.34198746642793199</v>
      </c>
      <c r="D30" s="37">
        <f t="shared" si="6"/>
        <v>0</v>
      </c>
      <c r="E30" s="37">
        <f t="shared" si="6"/>
        <v>0</v>
      </c>
      <c r="F30" s="37">
        <f t="shared" si="6"/>
        <v>0.20207253886010362</v>
      </c>
      <c r="G30" s="37">
        <f t="shared" si="6"/>
        <v>0</v>
      </c>
      <c r="H30" s="67">
        <f t="shared" si="6"/>
        <v>0</v>
      </c>
      <c r="I30" s="36">
        <f t="shared" si="6"/>
        <v>0.32137404580152673</v>
      </c>
      <c r="J30" s="36">
        <f t="shared" si="6"/>
        <v>0</v>
      </c>
      <c r="K30" s="37">
        <f t="shared" si="6"/>
        <v>0</v>
      </c>
      <c r="L30" s="37">
        <f t="shared" si="6"/>
        <v>0</v>
      </c>
      <c r="M30" s="37">
        <f t="shared" ref="M30:S36" si="7">IF(AE$36&gt;0,(AE30/AE$36),0)</f>
        <v>0</v>
      </c>
      <c r="N30" s="67">
        <f t="shared" si="7"/>
        <v>0</v>
      </c>
      <c r="O30" s="36">
        <f t="shared" si="7"/>
        <v>0</v>
      </c>
      <c r="P30" s="164">
        <f t="shared" si="7"/>
        <v>0</v>
      </c>
      <c r="Q30" s="37">
        <f t="shared" si="7"/>
        <v>0</v>
      </c>
      <c r="R30" s="67">
        <f t="shared" si="7"/>
        <v>0</v>
      </c>
      <c r="S30" s="164">
        <f t="shared" si="7"/>
        <v>0</v>
      </c>
      <c r="T30" s="123"/>
      <c r="U30" s="110">
        <f>+GETPIVOTDATA(" Total # Prof New",'Counts Pivot Table'!$A$3,"State","DE","Category",1,"Category2","Four-Year")</f>
        <v>382</v>
      </c>
      <c r="V30" s="111">
        <f>+GETPIVOTDATA(" Total # Prof New",'Counts Pivot Table'!$A$3,"State","DE","Category",2,"Category2","Four-Year")</f>
        <v>0</v>
      </c>
      <c r="W30" s="111">
        <f>+GETPIVOTDATA(" Total # Prof New",'Counts Pivot Table'!$A$3,"State","DE","Category",3,"Category2","Four-Year")</f>
        <v>0</v>
      </c>
      <c r="X30" s="111">
        <f>+GETPIVOTDATA(" Total # Prof New",'Counts Pivot Table'!$A$3,"State","DE","Category",4,"Category2","Four-Year")</f>
        <v>39</v>
      </c>
      <c r="Y30" s="111">
        <f>+GETPIVOTDATA(" Total # Prof New",'Counts Pivot Table'!$A$3,"State","DE","Category",5,"Category2","Four-Year")</f>
        <v>0</v>
      </c>
      <c r="Z30" s="111">
        <f>+GETPIVOTDATA(" Total # Prof New",'Counts Pivot Table'!$A$3,"State","DE","Category",6,"Category2","Four-Year")</f>
        <v>0</v>
      </c>
      <c r="AA30" s="113">
        <f>+GETPIVOTDATA(" Total # Prof New",'Counts Pivot Table'!$A$3,"State","DE","Category2","Four-Year")</f>
        <v>421</v>
      </c>
      <c r="AB30" s="110">
        <f>+GETPIVOTDATA(" Total # Prof New",'Counts Pivot Table'!$A$3,"State","DE","Category",7,"Category2","Two-Year")</f>
        <v>0</v>
      </c>
      <c r="AC30" s="111">
        <f>+GETPIVOTDATA(" Total # Prof New",'Counts Pivot Table'!$A$3,"State","DE","Category",8,"Category2","Two-Year")</f>
        <v>0</v>
      </c>
      <c r="AD30" s="111">
        <f>+GETPIVOTDATA(" Total # Prof New",'Counts Pivot Table'!$A$3,"State","DE","Category",9,"Category2","Two-Year")</f>
        <v>0</v>
      </c>
      <c r="AE30" s="111">
        <f>+GETPIVOTDATA(" Total # Prof New",'Counts Pivot Table'!$A$3,"State","DE","Category",10,"Category2","Two-Year")</f>
        <v>0</v>
      </c>
      <c r="AF30" s="112">
        <f>+GETPIVOTDATA(" Total # Prof New",'Counts Pivot Table'!$A$3,"State","DE","Category",11,"Category2","Two-Year")</f>
        <v>0</v>
      </c>
      <c r="AG30" s="112">
        <f>+GETPIVOTDATA(" Total # Prof New",'Counts Pivot Table'!$A$3,"State","DE","Category2","Two-Year")</f>
        <v>0</v>
      </c>
      <c r="AH30" s="110">
        <f>+GETPIVOTDATA(" Total # Prof New",'Counts Pivot Table'!$A$3,"State","DE","Category",12,"Category2","Technical Institutes")</f>
        <v>0</v>
      </c>
      <c r="AI30" s="111">
        <f>+GETPIVOTDATA(" Total # Prof New",'Counts Pivot Table'!$A$3,"State","DE","Category",13,"Category2","Technical Institutes")</f>
        <v>0</v>
      </c>
      <c r="AJ30" s="112">
        <f>+GETPIVOTDATA(" Total # Prof New",'Counts Pivot Table'!$A$3,"State","DE","Category",14,"Category2","Technical Institutes")</f>
        <v>0</v>
      </c>
      <c r="AK30" s="110">
        <f>+GETPIVOTDATA(" Total # Prof New",'Counts Pivot Table'!$A$3,"State","DE","Category2","Technical Institutes")</f>
        <v>0</v>
      </c>
    </row>
    <row r="31" spans="1:39">
      <c r="A31" s="30"/>
      <c r="B31" s="38" t="s">
        <v>436</v>
      </c>
      <c r="C31" s="32">
        <f t="shared" si="6"/>
        <v>0.29364368845120858</v>
      </c>
      <c r="D31" s="34">
        <f t="shared" si="6"/>
        <v>0</v>
      </c>
      <c r="E31" s="34">
        <f t="shared" si="6"/>
        <v>0</v>
      </c>
      <c r="F31" s="34">
        <f t="shared" si="6"/>
        <v>0.44041450777202074</v>
      </c>
      <c r="G31" s="34">
        <f t="shared" si="6"/>
        <v>0</v>
      </c>
      <c r="H31" s="68">
        <f t="shared" si="6"/>
        <v>0</v>
      </c>
      <c r="I31" s="32">
        <f t="shared" si="6"/>
        <v>0.3152671755725191</v>
      </c>
      <c r="J31" s="32">
        <f t="shared" si="6"/>
        <v>0</v>
      </c>
      <c r="K31" s="34">
        <f t="shared" si="6"/>
        <v>0</v>
      </c>
      <c r="L31" s="34">
        <f t="shared" si="6"/>
        <v>0</v>
      </c>
      <c r="M31" s="34">
        <f t="shared" si="7"/>
        <v>0</v>
      </c>
      <c r="N31" s="68">
        <f t="shared" si="7"/>
        <v>0</v>
      </c>
      <c r="O31" s="32">
        <f t="shared" si="7"/>
        <v>0</v>
      </c>
      <c r="P31" s="32">
        <f t="shared" si="7"/>
        <v>0</v>
      </c>
      <c r="Q31" s="34">
        <f t="shared" si="7"/>
        <v>0</v>
      </c>
      <c r="R31" s="68">
        <f t="shared" si="7"/>
        <v>0</v>
      </c>
      <c r="S31" s="32">
        <f t="shared" si="7"/>
        <v>0</v>
      </c>
      <c r="T31" s="92"/>
      <c r="U31" s="114">
        <f>+GETPIVOTDATA(" Tot # Asc. Prof New",'Counts Pivot Table'!$A$3,"State","DE","Category",1,"Category2","Four-Year")</f>
        <v>328</v>
      </c>
      <c r="V31" s="115">
        <f>+GETPIVOTDATA(" Tot # Asc. Prof New",'Counts Pivot Table'!$A$3,"State","DE","Category",2,"Category2","Four-Year")</f>
        <v>0</v>
      </c>
      <c r="W31" s="115">
        <f>+GETPIVOTDATA(" Tot # Asc. Prof New",'Counts Pivot Table'!$A$3,"State","DE","Category",3,"Category2","Four-Year")</f>
        <v>0</v>
      </c>
      <c r="X31" s="115">
        <f>+GETPIVOTDATA(" Tot # Asc. Prof New",'Counts Pivot Table'!$A$3,"State","DE","Category",4,"Category2","Four-Year")</f>
        <v>85</v>
      </c>
      <c r="Y31" s="115">
        <f>+GETPIVOTDATA(" Tot # Asc. Prof New",'Counts Pivot Table'!$A$3,"State","DE","Category",5,"Category2","Four-Year")</f>
        <v>0</v>
      </c>
      <c r="Z31" s="115">
        <f>+GETPIVOTDATA(" Tot # Asc. Prof New",'Counts Pivot Table'!$A$3,"State","DE","Category",6,"Category2","Four-Year")</f>
        <v>0</v>
      </c>
      <c r="AA31" s="117">
        <f>+GETPIVOTDATA(" Tot # Asc. Prof New",'Counts Pivot Table'!$A$3,"State","DE","Category2","Four-Year")</f>
        <v>413</v>
      </c>
      <c r="AB31" s="114">
        <f>+GETPIVOTDATA(" Tot # Asc. Prof New",'Counts Pivot Table'!$A$3,"State","DE","Category",7,"Category2","Two-Year")</f>
        <v>0</v>
      </c>
      <c r="AC31" s="115">
        <f>+GETPIVOTDATA(" Tot # Asc. Prof New",'Counts Pivot Table'!$A$3,"State","DE","Category",8,"Category2","Two-Year")</f>
        <v>0</v>
      </c>
      <c r="AD31" s="115">
        <f>+GETPIVOTDATA(" Tot # Asc. Prof New",'Counts Pivot Table'!$A$3,"State","DE","Category",9,"Category2","Two-Year")</f>
        <v>0</v>
      </c>
      <c r="AE31" s="115">
        <f>+GETPIVOTDATA(" Tot # Asc. Prof New",'Counts Pivot Table'!$A$3,"State","DE","Category",10,"Category2","Two-Year")</f>
        <v>0</v>
      </c>
      <c r="AF31" s="116">
        <f>+GETPIVOTDATA(" Tot # Asc. Prof New",'Counts Pivot Table'!$A$3,"State","DE","Category",11,"Category2","Two-Year")</f>
        <v>0</v>
      </c>
      <c r="AG31" s="116">
        <f>+GETPIVOTDATA(" Tot # Asc. Prof New",'Counts Pivot Table'!$A$3,"State","DE","Category2","Two-Year")</f>
        <v>0</v>
      </c>
      <c r="AH31" s="114">
        <f>+GETPIVOTDATA(" Tot # Asc. Prof New",'Counts Pivot Table'!$A$3,"State","DE","Category",12,"Category2","Technical Institutes")</f>
        <v>0</v>
      </c>
      <c r="AI31" s="115">
        <f>+GETPIVOTDATA(" Tot # Asc. Prof New",'Counts Pivot Table'!$A$3,"State","DE","Category",13,"Category2","Technical Institutes")</f>
        <v>0</v>
      </c>
      <c r="AJ31" s="116">
        <f>+GETPIVOTDATA(" Tot # Asc. Prof New",'Counts Pivot Table'!$A$3,"State","DE","Category",14,"Category2","Technical Institutes")</f>
        <v>0</v>
      </c>
      <c r="AK31" s="114">
        <f>+GETPIVOTDATA(" Tot # Asc. Prof New",'Counts Pivot Table'!$A$3,"State","DE","Category2","Technical Institutes")</f>
        <v>0</v>
      </c>
    </row>
    <row r="32" spans="1:39">
      <c r="A32" s="30"/>
      <c r="B32" s="38" t="s">
        <v>437</v>
      </c>
      <c r="C32" s="32">
        <f t="shared" si="6"/>
        <v>0.27036705461056398</v>
      </c>
      <c r="D32" s="34">
        <f t="shared" si="6"/>
        <v>0</v>
      </c>
      <c r="E32" s="34">
        <f t="shared" si="6"/>
        <v>0</v>
      </c>
      <c r="F32" s="34">
        <f t="shared" si="6"/>
        <v>0.31606217616580312</v>
      </c>
      <c r="G32" s="34">
        <f t="shared" si="6"/>
        <v>0</v>
      </c>
      <c r="H32" s="68">
        <f t="shared" si="6"/>
        <v>0</v>
      </c>
      <c r="I32" s="32">
        <f t="shared" si="6"/>
        <v>0.27709923664122138</v>
      </c>
      <c r="J32" s="32">
        <f t="shared" si="6"/>
        <v>0</v>
      </c>
      <c r="K32" s="34">
        <f t="shared" si="6"/>
        <v>0</v>
      </c>
      <c r="L32" s="34">
        <f t="shared" si="6"/>
        <v>0</v>
      </c>
      <c r="M32" s="34">
        <f t="shared" si="7"/>
        <v>0</v>
      </c>
      <c r="N32" s="68">
        <f t="shared" si="7"/>
        <v>0</v>
      </c>
      <c r="O32" s="32">
        <f t="shared" si="7"/>
        <v>0</v>
      </c>
      <c r="P32" s="32">
        <f t="shared" si="7"/>
        <v>0</v>
      </c>
      <c r="Q32" s="34">
        <f t="shared" si="7"/>
        <v>0</v>
      </c>
      <c r="R32" s="68">
        <f t="shared" si="7"/>
        <v>0</v>
      </c>
      <c r="S32" s="32">
        <f t="shared" si="7"/>
        <v>0</v>
      </c>
      <c r="T32" s="92"/>
      <c r="U32" s="114">
        <f>+GETPIVOTDATA(" Tot # Ast. Prof New",'Counts Pivot Table'!$A$3,"State","DE","Category",1,"Category2","Four-Year")</f>
        <v>302</v>
      </c>
      <c r="V32" s="115">
        <f>+GETPIVOTDATA(" Tot # Ast. Prof New",'Counts Pivot Table'!$A$3,"State","DE","Category",2,"Category2","Four-Year")</f>
        <v>0</v>
      </c>
      <c r="W32" s="115">
        <f>+GETPIVOTDATA(" Tot # Ast. Prof New",'Counts Pivot Table'!$A$3,"State","DE","Category",3,"Category2","Four-Year")</f>
        <v>0</v>
      </c>
      <c r="X32" s="115">
        <f>+GETPIVOTDATA(" Tot # Ast. Prof New",'Counts Pivot Table'!$A$3,"State","DE","Category",4,"Category2","Four-Year")</f>
        <v>61</v>
      </c>
      <c r="Y32" s="115">
        <f>+GETPIVOTDATA(" Tot # Ast. Prof New",'Counts Pivot Table'!$A$3,"State","DE","Category",5,"Category2","Four-Year")</f>
        <v>0</v>
      </c>
      <c r="Z32" s="115">
        <f>+GETPIVOTDATA(" Tot # Ast. Prof New",'Counts Pivot Table'!$A$3,"State","DE","Category",6,"Category2","Four-Year")</f>
        <v>0</v>
      </c>
      <c r="AA32" s="117">
        <f>+GETPIVOTDATA(" Tot # Ast. Prof New",'Counts Pivot Table'!$A$3,"State","DE","Category2","Four-Year")</f>
        <v>363</v>
      </c>
      <c r="AB32" s="114">
        <f>+GETPIVOTDATA(" Tot # Ast. Prof New",'Counts Pivot Table'!$A$3,"State","DE","Category",7,"Category2","Two-Year")</f>
        <v>0</v>
      </c>
      <c r="AC32" s="115">
        <f>+GETPIVOTDATA(" Tot # Ast. Prof New",'Counts Pivot Table'!$A$3,"State","DE","Category",8,"Category2","Two-Year")</f>
        <v>0</v>
      </c>
      <c r="AD32" s="115">
        <f>+GETPIVOTDATA(" Tot # Ast. Prof New",'Counts Pivot Table'!$A$3,"State","DE","Category",9,"Category2","Two-Year")</f>
        <v>0</v>
      </c>
      <c r="AE32" s="115">
        <f>+GETPIVOTDATA(" Tot # Ast. Prof New",'Counts Pivot Table'!$A$3,"State","DE","Category",10,"Category2","Two-Year")</f>
        <v>0</v>
      </c>
      <c r="AF32" s="116">
        <f>+GETPIVOTDATA(" Tot # Ast. Prof New",'Counts Pivot Table'!$A$3,"State","DE","Category",11,"Category2","Two-Year")</f>
        <v>0</v>
      </c>
      <c r="AG32" s="116">
        <f>+GETPIVOTDATA(" Tot # Ast. Prof New",'Counts Pivot Table'!$A$3,"State","DE","Category2","Two-Year")</f>
        <v>0</v>
      </c>
      <c r="AH32" s="114">
        <f>+GETPIVOTDATA(" Tot # Ast. Prof New",'Counts Pivot Table'!$A$3,"State","DE","Category",12,"Category2","Technical Institutes")</f>
        <v>0</v>
      </c>
      <c r="AI32" s="115">
        <f>+GETPIVOTDATA(" Tot # Ast. Prof New",'Counts Pivot Table'!$A$3,"State","DE","Category",13,"Category2","Technical Institutes")</f>
        <v>0</v>
      </c>
      <c r="AJ32" s="116">
        <f>+GETPIVOTDATA(" Tot # Ast. Prof New",'Counts Pivot Table'!$A$3,"State","DE","Category",14,"Category2","Technical Institutes")</f>
        <v>0</v>
      </c>
      <c r="AK32" s="114">
        <f>+GETPIVOTDATA(" Tot # Ast. Prof New",'Counts Pivot Table'!$A$3,"State","DE","Category2","Technical Institutes")</f>
        <v>0</v>
      </c>
    </row>
    <row r="33" spans="1:39">
      <c r="A33" s="30"/>
      <c r="B33" s="38" t="s">
        <v>438</v>
      </c>
      <c r="C33" s="32">
        <f t="shared" si="6"/>
        <v>9.4001790510295433E-2</v>
      </c>
      <c r="D33" s="34">
        <f t="shared" si="6"/>
        <v>0</v>
      </c>
      <c r="E33" s="34">
        <f t="shared" si="6"/>
        <v>0</v>
      </c>
      <c r="F33" s="34">
        <f t="shared" si="6"/>
        <v>3.6269430051813469E-2</v>
      </c>
      <c r="G33" s="34">
        <f t="shared" si="6"/>
        <v>0</v>
      </c>
      <c r="H33" s="68">
        <f t="shared" si="6"/>
        <v>0</v>
      </c>
      <c r="I33" s="32">
        <f t="shared" si="6"/>
        <v>8.5496183206106871E-2</v>
      </c>
      <c r="J33" s="32">
        <f t="shared" si="6"/>
        <v>0</v>
      </c>
      <c r="K33" s="34">
        <f t="shared" si="6"/>
        <v>0</v>
      </c>
      <c r="L33" s="34">
        <f t="shared" si="6"/>
        <v>0</v>
      </c>
      <c r="M33" s="34">
        <f t="shared" si="7"/>
        <v>0</v>
      </c>
      <c r="N33" s="68">
        <f t="shared" si="7"/>
        <v>0</v>
      </c>
      <c r="O33" s="32">
        <f t="shared" si="7"/>
        <v>0</v>
      </c>
      <c r="P33" s="32">
        <f t="shared" si="7"/>
        <v>0</v>
      </c>
      <c r="Q33" s="34">
        <f t="shared" si="7"/>
        <v>0</v>
      </c>
      <c r="R33" s="68">
        <f t="shared" si="7"/>
        <v>0</v>
      </c>
      <c r="S33" s="32">
        <f t="shared" si="7"/>
        <v>0</v>
      </c>
      <c r="T33" s="92"/>
      <c r="U33" s="114">
        <f>+GETPIVOTDATA(" Tot # Instr. New",'Counts Pivot Table'!$A$3,"State","DE","Category",1,"Category2","Four-Year")</f>
        <v>105</v>
      </c>
      <c r="V33" s="115">
        <f>+GETPIVOTDATA(" Tot # Instr. New",'Counts Pivot Table'!$A$3,"State","DE","Category",2,"Category2","Four-Year")</f>
        <v>0</v>
      </c>
      <c r="W33" s="115">
        <f>+GETPIVOTDATA(" Tot # Instr. New",'Counts Pivot Table'!$A$3,"State","DE","Category",3,"Category2","Four-Year")</f>
        <v>0</v>
      </c>
      <c r="X33" s="115">
        <f>+GETPIVOTDATA(" Tot # Instr. New",'Counts Pivot Table'!$A$3,"State","DE","Category",4,"Category2","Four-Year")</f>
        <v>7</v>
      </c>
      <c r="Y33" s="115">
        <f>+GETPIVOTDATA(" Tot # Instr. New",'Counts Pivot Table'!$A$3,"State","DE","Category",5,"Category2","Four-Year")</f>
        <v>0</v>
      </c>
      <c r="Z33" s="115">
        <f>+GETPIVOTDATA(" Tot # Instr. New",'Counts Pivot Table'!$A$3,"State","DE","Category",6,"Category2","Four-Year")</f>
        <v>0</v>
      </c>
      <c r="AA33" s="117">
        <f>+GETPIVOTDATA(" Tot # Instr. New",'Counts Pivot Table'!$A$3,"State","DE","Category2","Four-Year")</f>
        <v>112</v>
      </c>
      <c r="AB33" s="114">
        <f>+GETPIVOTDATA(" Tot # Instr. New",'Counts Pivot Table'!$A$3,"State","DE","Category",7,"Category2","Two-Year")</f>
        <v>0</v>
      </c>
      <c r="AC33" s="115">
        <f>+GETPIVOTDATA(" Tot # Instr. New",'Counts Pivot Table'!$A$3,"State","DE","Category",8,"Category2","Two-Year")</f>
        <v>0</v>
      </c>
      <c r="AD33" s="115">
        <f>+GETPIVOTDATA(" Tot # Instr. New",'Counts Pivot Table'!$A$3,"State","DE","Category",9,"Category2","Two-Year")</f>
        <v>0</v>
      </c>
      <c r="AE33" s="115">
        <f>+GETPIVOTDATA(" Tot # Instr. New",'Counts Pivot Table'!$A$3,"State","DE","Category",10,"Category2","Two-Year")</f>
        <v>0</v>
      </c>
      <c r="AF33" s="116">
        <f>+GETPIVOTDATA(" Tot # Instr. New",'Counts Pivot Table'!$A$3,"State","DE","Category",11,"Category2","Two-Year")</f>
        <v>0</v>
      </c>
      <c r="AG33" s="116">
        <f>+GETPIVOTDATA(" Tot # Instr. New",'Counts Pivot Table'!$A$3,"State","DE","Category2","Two-Year")</f>
        <v>0</v>
      </c>
      <c r="AH33" s="114">
        <f>+GETPIVOTDATA(" Tot # Instr. New",'Counts Pivot Table'!$A$3,"State","DE","Category",12,"Category2","Technical Institutes")</f>
        <v>0</v>
      </c>
      <c r="AI33" s="115">
        <f>+GETPIVOTDATA(" Tot # Instr. New",'Counts Pivot Table'!$A$3,"State","DE","Category",13,"Category2","Technical Institutes")</f>
        <v>0</v>
      </c>
      <c r="AJ33" s="116">
        <f>+GETPIVOTDATA(" Tot # Instr. New",'Counts Pivot Table'!$A$3,"State","DE","Category",14,"Category2","Technical Institutes")</f>
        <v>0</v>
      </c>
      <c r="AK33" s="114">
        <f>+GETPIVOTDATA(" Tot # Instr. New",'Counts Pivot Table'!$A$3,"State","DE","Category2","Technical Institutes")</f>
        <v>0</v>
      </c>
    </row>
    <row r="34" spans="1:39">
      <c r="A34" s="30"/>
      <c r="B34" s="38" t="s">
        <v>414</v>
      </c>
      <c r="C34" s="265">
        <f t="shared" si="6"/>
        <v>0</v>
      </c>
      <c r="D34" s="34">
        <f t="shared" si="6"/>
        <v>0</v>
      </c>
      <c r="E34" s="34">
        <f t="shared" si="6"/>
        <v>0</v>
      </c>
      <c r="F34" s="34">
        <f t="shared" si="6"/>
        <v>5.1813471502590676E-3</v>
      </c>
      <c r="G34" s="34">
        <f t="shared" si="6"/>
        <v>0</v>
      </c>
      <c r="H34" s="68">
        <f t="shared" si="6"/>
        <v>0</v>
      </c>
      <c r="I34" s="265">
        <f t="shared" si="6"/>
        <v>7.6335877862595419E-4</v>
      </c>
      <c r="J34" s="32">
        <f t="shared" si="6"/>
        <v>0</v>
      </c>
      <c r="K34" s="34">
        <f t="shared" si="6"/>
        <v>0</v>
      </c>
      <c r="L34" s="34">
        <f t="shared" si="6"/>
        <v>0</v>
      </c>
      <c r="M34" s="34">
        <f t="shared" si="7"/>
        <v>0</v>
      </c>
      <c r="N34" s="124">
        <f t="shared" si="7"/>
        <v>0</v>
      </c>
      <c r="O34" s="32">
        <f t="shared" si="7"/>
        <v>0</v>
      </c>
      <c r="P34" s="32">
        <f t="shared" si="7"/>
        <v>0</v>
      </c>
      <c r="Q34" s="34">
        <f t="shared" si="7"/>
        <v>0</v>
      </c>
      <c r="R34" s="68">
        <f t="shared" si="7"/>
        <v>0</v>
      </c>
      <c r="S34" s="32">
        <f t="shared" si="7"/>
        <v>0</v>
      </c>
      <c r="T34" s="92"/>
      <c r="U34" s="114">
        <f>++GETPIVOTDATA(" Tot # Undes. New",'Counts Pivot Table'!$A$3,"State","DE","Category",1,"Category2","Four-Year")</f>
        <v>0</v>
      </c>
      <c r="V34" s="115">
        <f>+GETPIVOTDATA(" Tot # Undes. New",'Counts Pivot Table'!$A$3,"State","DE","Category",2,"Category2","Four-Year")</f>
        <v>0</v>
      </c>
      <c r="W34" s="115">
        <f>+GETPIVOTDATA(" Tot # Undes. New",'Counts Pivot Table'!$A$3,"State","DE","Category",3,"Category2","Four-Year")</f>
        <v>0</v>
      </c>
      <c r="X34" s="115">
        <f>+GETPIVOTDATA(" Tot # Undes. New",'Counts Pivot Table'!$A$3,"State","DE","Category",4,"Category2","Four-Year")</f>
        <v>1</v>
      </c>
      <c r="Y34" s="115">
        <f>+GETPIVOTDATA(" Tot # Undes. New",'Counts Pivot Table'!$A$3,"State","DE","Category",5,"Category2","Four-Year")</f>
        <v>0</v>
      </c>
      <c r="Z34" s="115">
        <f>+GETPIVOTDATA(" Tot # Undes. New",'Counts Pivot Table'!$A$3,"State","DE","Category",6,"Category2","Four-Year")</f>
        <v>0</v>
      </c>
      <c r="AA34" s="117">
        <f>+GETPIVOTDATA(" Tot # Undes. New",'Counts Pivot Table'!$A$3,"State","DE","Category2","Four-Year")</f>
        <v>1</v>
      </c>
      <c r="AB34" s="114">
        <f>+GETPIVOTDATA(" Tot # Undes. New",'Counts Pivot Table'!$A$3,"State","DE","Category",7,"Category2","Two-Year")</f>
        <v>0</v>
      </c>
      <c r="AC34" s="115">
        <f>+GETPIVOTDATA(" Tot # Undes. New",'Counts Pivot Table'!$A$3,"State","DE","Category",8,"Category2","Two-Year")</f>
        <v>0</v>
      </c>
      <c r="AD34" s="115">
        <f>+GETPIVOTDATA(" Tot # Undes. New",'Counts Pivot Table'!$A$3,"State","DE","Category",9,"Category2","Two-Year")</f>
        <v>0</v>
      </c>
      <c r="AE34" s="115">
        <f>+GETPIVOTDATA(" Tot # Undes. New",'Counts Pivot Table'!$A$3,"State","DE","Category",10,"Category2","Two-Year")</f>
        <v>0</v>
      </c>
      <c r="AF34" s="116">
        <f>+GETPIVOTDATA(" Tot # Undes. New",'Counts Pivot Table'!$A$3,"State","DE","Category",11,"Category2","Two-Year")</f>
        <v>0</v>
      </c>
      <c r="AG34" s="116">
        <f>+GETPIVOTDATA(" Tot # Undes. New",'Counts Pivot Table'!$A$3,"State","DE","Category2","Two-Year")</f>
        <v>0</v>
      </c>
      <c r="AH34" s="114">
        <f>+GETPIVOTDATA(" Tot # Undes. New",'Counts Pivot Table'!$A$3,"State","DE","Category",12,"Category2","Technical Institutes")</f>
        <v>0</v>
      </c>
      <c r="AI34" s="115">
        <f>+GETPIVOTDATA(" Tot # Undes. New",'Counts Pivot Table'!$A$3,"State","DE","Category",13,"Category2","Technical Institutes")</f>
        <v>0</v>
      </c>
      <c r="AJ34" s="116">
        <f>+GETPIVOTDATA(" Tot # Undes. New",'Counts Pivot Table'!$A$3,"State","DE","Category",14,"Category2","Technical Institutes")</f>
        <v>0</v>
      </c>
      <c r="AK34" s="114">
        <f>+GETPIVOTDATA(" Tot # Undes. New",'Counts Pivot Table'!$A$3,"State","DE","Category2","Technical Institutes")</f>
        <v>0</v>
      </c>
    </row>
    <row r="35" spans="1:39">
      <c r="A35" s="30"/>
      <c r="B35" s="38" t="s">
        <v>413</v>
      </c>
      <c r="C35" s="32">
        <f t="shared" si="6"/>
        <v>0</v>
      </c>
      <c r="D35" s="34">
        <f t="shared" si="6"/>
        <v>0</v>
      </c>
      <c r="E35" s="199">
        <f t="shared" si="6"/>
        <v>0</v>
      </c>
      <c r="F35" s="34">
        <f t="shared" si="6"/>
        <v>0</v>
      </c>
      <c r="G35" s="199">
        <f t="shared" si="6"/>
        <v>0</v>
      </c>
      <c r="H35" s="68">
        <f t="shared" si="6"/>
        <v>0</v>
      </c>
      <c r="I35" s="198">
        <f t="shared" si="6"/>
        <v>0</v>
      </c>
      <c r="J35" s="32">
        <f t="shared" si="6"/>
        <v>0</v>
      </c>
      <c r="K35" s="34">
        <f t="shared" si="6"/>
        <v>0</v>
      </c>
      <c r="L35" s="34">
        <f t="shared" si="6"/>
        <v>1</v>
      </c>
      <c r="M35" s="34">
        <f t="shared" si="7"/>
        <v>1</v>
      </c>
      <c r="N35" s="68">
        <f t="shared" si="7"/>
        <v>0</v>
      </c>
      <c r="O35" s="32">
        <f t="shared" si="7"/>
        <v>1</v>
      </c>
      <c r="P35" s="32">
        <f t="shared" si="7"/>
        <v>0</v>
      </c>
      <c r="Q35" s="34">
        <f t="shared" si="7"/>
        <v>0</v>
      </c>
      <c r="R35" s="68">
        <f t="shared" si="7"/>
        <v>0</v>
      </c>
      <c r="S35" s="32">
        <f t="shared" si="7"/>
        <v>0</v>
      </c>
      <c r="T35" s="92"/>
      <c r="U35" s="114">
        <f>+GETPIVOTDATA(" Tot # Single Rnk New",'Counts Pivot Table'!$A$3,"State","DE","Category",1,"Category2","Four-Year")</f>
        <v>0</v>
      </c>
      <c r="V35" s="115">
        <f>+GETPIVOTDATA(" Tot # Single Rnk New",'Counts Pivot Table'!$A$3,"State","DE","Category",2,"Category2","Four-Year")</f>
        <v>0</v>
      </c>
      <c r="W35" s="115">
        <f>+GETPIVOTDATA(" Tot # Single Rnk New",'Counts Pivot Table'!$A$3,"State","DE","Category",3,"Category2","Four-Year")</f>
        <v>0</v>
      </c>
      <c r="X35" s="115">
        <f>+GETPIVOTDATA(" Tot # Single Rnk New",'Counts Pivot Table'!$A$3,"State","DE","Category",4,"Category2","Four-Year")</f>
        <v>0</v>
      </c>
      <c r="Y35" s="115">
        <f>+GETPIVOTDATA(" Tot # Single Rnk New",'Counts Pivot Table'!$A$3,"State","DE","Category",5,"Category2","Four-Year")</f>
        <v>0</v>
      </c>
      <c r="Z35" s="115">
        <f>+GETPIVOTDATA(" Tot # Single Rnk New",'Counts Pivot Table'!$A$3,"State","DE","Category",6,"Category2","Four-Year")</f>
        <v>0</v>
      </c>
      <c r="AA35" s="117">
        <f>+GETPIVOTDATA(" Tot # Single Rnk New",'Counts Pivot Table'!$A$3,"State","DE","Category2","Four-Year")</f>
        <v>0</v>
      </c>
      <c r="AB35" s="114">
        <f>+GETPIVOTDATA(" Tot # Single Rnk New",'Counts Pivot Table'!$A$3,"State","DE","Category",7,"Category2","Two-Year")</f>
        <v>0</v>
      </c>
      <c r="AC35" s="115">
        <f>+GETPIVOTDATA(" Tot # Single Rnk New",'Counts Pivot Table'!$A$3,"State","DE","Category",8,"Category2","Two-Year")</f>
        <v>0</v>
      </c>
      <c r="AD35" s="115">
        <f>+GETPIVOTDATA(" Tot # Single Rnk New",'Counts Pivot Table'!$A$3,"State","DE","Category",9,"Category2","Two-Year")</f>
        <v>292</v>
      </c>
      <c r="AE35" s="115">
        <f>+GETPIVOTDATA(" Tot # Single Rnk New",'Counts Pivot Table'!$A$3,"State","DE","Category",10,"Category2","Two-Year")</f>
        <v>81</v>
      </c>
      <c r="AF35" s="116">
        <f>+GETPIVOTDATA(" Tot # Single Rnk New",'Counts Pivot Table'!$A$3,"State","DE","Category",11,"Category2","Two-Year")</f>
        <v>0</v>
      </c>
      <c r="AG35" s="116">
        <f>+GETPIVOTDATA(" Tot # Single Rnk New",'Counts Pivot Table'!$A$3,"State","DE","Category2","Two-Year")</f>
        <v>373</v>
      </c>
      <c r="AH35" s="114">
        <f>+GETPIVOTDATA(" Tot # Single Rnk New",'Counts Pivot Table'!$A$3,"State","DE","Category",12,"Category2","Technical Institutes")</f>
        <v>0</v>
      </c>
      <c r="AI35" s="115">
        <f>+GETPIVOTDATA(" Tot # Single Rnk New",'Counts Pivot Table'!$A$3,"State","DE","Category",13,"Category2","Technical Institutes")</f>
        <v>0</v>
      </c>
      <c r="AJ35" s="116">
        <f>+GETPIVOTDATA(" Tot # Single Rnk New",'Counts Pivot Table'!$A$3,"State","DE","Category",14,"Category2","Technical Institutes")</f>
        <v>0</v>
      </c>
      <c r="AK35" s="114">
        <f>+GETPIVOTDATA(" Tot # Single Rnk New",'Counts Pivot Table'!$A$3,"State","DE","Category2","Technical Institutes")</f>
        <v>0</v>
      </c>
    </row>
    <row r="36" spans="1:39" s="54" customFormat="1">
      <c r="A36" s="207"/>
      <c r="B36" s="208" t="s">
        <v>415</v>
      </c>
      <c r="C36" s="33">
        <f t="shared" si="6"/>
        <v>1</v>
      </c>
      <c r="D36" s="31">
        <f t="shared" si="6"/>
        <v>0</v>
      </c>
      <c r="E36" s="31">
        <f t="shared" si="6"/>
        <v>0</v>
      </c>
      <c r="F36" s="31">
        <f t="shared" si="6"/>
        <v>1</v>
      </c>
      <c r="G36" s="31">
        <f t="shared" si="6"/>
        <v>0</v>
      </c>
      <c r="H36" s="69">
        <f t="shared" si="6"/>
        <v>0</v>
      </c>
      <c r="I36" s="33">
        <f t="shared" si="6"/>
        <v>1</v>
      </c>
      <c r="J36" s="33">
        <f t="shared" si="6"/>
        <v>0</v>
      </c>
      <c r="K36" s="31">
        <f t="shared" si="6"/>
        <v>0</v>
      </c>
      <c r="L36" s="31">
        <f t="shared" si="6"/>
        <v>1</v>
      </c>
      <c r="M36" s="31">
        <f t="shared" si="7"/>
        <v>1</v>
      </c>
      <c r="N36" s="69">
        <f t="shared" si="7"/>
        <v>0</v>
      </c>
      <c r="O36" s="33">
        <f t="shared" si="7"/>
        <v>1</v>
      </c>
      <c r="P36" s="33">
        <f t="shared" si="7"/>
        <v>0</v>
      </c>
      <c r="Q36" s="31">
        <f t="shared" si="7"/>
        <v>0</v>
      </c>
      <c r="R36" s="69">
        <f t="shared" si="7"/>
        <v>0</v>
      </c>
      <c r="S36" s="33">
        <f t="shared" si="7"/>
        <v>0</v>
      </c>
      <c r="T36" s="93"/>
      <c r="U36" s="118">
        <f>+GETPIVOTDATA(" All Ranks # New",'Counts Pivot Table'!$A$3,"State","DE","Category",1,"Category2","Four-Year")</f>
        <v>1117</v>
      </c>
      <c r="V36" s="119">
        <f>+GETPIVOTDATA(" All Ranks # New",'Counts Pivot Table'!$A$3,"State","DE","Category",2,"Category2","Four-Year")</f>
        <v>0</v>
      </c>
      <c r="W36" s="119">
        <f>+GETPIVOTDATA(" All Ranks # New",'Counts Pivot Table'!$A$3,"State","DE","Category",3,"Category2","Four-Year")</f>
        <v>0</v>
      </c>
      <c r="X36" s="119">
        <f>+GETPIVOTDATA(" All Ranks # New",'Counts Pivot Table'!$A$3,"State","DE","Category",4,"Category2","Four-Year")</f>
        <v>193</v>
      </c>
      <c r="Y36" s="119">
        <f>+GETPIVOTDATA(" All Ranks # New",'Counts Pivot Table'!$A$3,"State","DE","Category",5,"Category2","Four-Year")</f>
        <v>0</v>
      </c>
      <c r="Z36" s="119">
        <f>+GETPIVOTDATA(" All Ranks # New",'Counts Pivot Table'!$A$3,"State","DE","Category",6,"Category2","Four-Year")</f>
        <v>0</v>
      </c>
      <c r="AA36" s="121">
        <f>+GETPIVOTDATA(" All Ranks # New",'Counts Pivot Table'!$A$3,"State","DE","Category2","Four-Year")</f>
        <v>1310</v>
      </c>
      <c r="AB36" s="118">
        <f>+GETPIVOTDATA(" All Ranks # New",'Counts Pivot Table'!$A$3,"State","DE","Category",7,"Category2","Two-Year")</f>
        <v>0</v>
      </c>
      <c r="AC36" s="119">
        <f>+GETPIVOTDATA(" All Ranks # New",'Counts Pivot Table'!$A$3,"State","DE","Category",8,"Category2","Two-Year")</f>
        <v>0</v>
      </c>
      <c r="AD36" s="119">
        <f>+GETPIVOTDATA(" All Ranks # New",'Counts Pivot Table'!$A$3,"State","DE","Category",9,"Category2","Two-Year")</f>
        <v>292</v>
      </c>
      <c r="AE36" s="119">
        <f>+GETPIVOTDATA(" All Ranks # New",'Counts Pivot Table'!$A$3,"State","DE","Category",10,"Category2","Two-Year")</f>
        <v>81</v>
      </c>
      <c r="AF36" s="120">
        <f>+GETPIVOTDATA(" All Ranks # New",'Counts Pivot Table'!$A$3,"State","DE","Category",11,"Category2","Two-Year")</f>
        <v>0</v>
      </c>
      <c r="AG36" s="120">
        <f>+GETPIVOTDATA(" All Ranks # New",'Counts Pivot Table'!$A$3,"State","DE","Category2","Two-Year")</f>
        <v>373</v>
      </c>
      <c r="AH36" s="118">
        <f>+GETPIVOTDATA(" All Ranks # New",'Counts Pivot Table'!$A$3,"State","DE","Category",12,"Category2","Technical Institutes")</f>
        <v>0</v>
      </c>
      <c r="AI36" s="119">
        <f>+GETPIVOTDATA(" All Ranks # New",'Counts Pivot Table'!$A$3,"State","DE","Category",13,"Category2","Technical Institutes")</f>
        <v>0</v>
      </c>
      <c r="AJ36" s="120">
        <f>+GETPIVOTDATA(" All Ranks # New",'Counts Pivot Table'!$A$3,"State","DE","Category",14,"Category2","Technical Institutes")</f>
        <v>0</v>
      </c>
      <c r="AK36" s="118">
        <f>+GETPIVOTDATA(" All Ranks # New",'Counts Pivot Table'!$A$3,"State","DE","Category2","Technical Institutes")</f>
        <v>0</v>
      </c>
      <c r="AL36" s="122"/>
      <c r="AM36" s="122"/>
    </row>
    <row r="37" spans="1:39">
      <c r="A37" s="38" t="s">
        <v>450</v>
      </c>
      <c r="B37" s="35" t="s">
        <v>435</v>
      </c>
      <c r="C37" s="36">
        <f t="shared" ref="C37:L43" si="8">IF(U$43&gt;0,(U37/U$43),0)</f>
        <v>0.30317544793329787</v>
      </c>
      <c r="D37" s="37">
        <f t="shared" si="8"/>
        <v>0.23007915567282322</v>
      </c>
      <c r="E37" s="37">
        <f t="shared" si="8"/>
        <v>0.20775969962453067</v>
      </c>
      <c r="F37" s="37">
        <f t="shared" si="8"/>
        <v>0.17437722419928825</v>
      </c>
      <c r="G37" s="37">
        <f t="shared" si="8"/>
        <v>0</v>
      </c>
      <c r="H37" s="67">
        <f t="shared" si="8"/>
        <v>0.26027397260273971</v>
      </c>
      <c r="I37" s="36">
        <f t="shared" si="8"/>
        <v>0.26834668916069171</v>
      </c>
      <c r="J37" s="36">
        <f t="shared" si="8"/>
        <v>0</v>
      </c>
      <c r="K37" s="37">
        <f t="shared" si="8"/>
        <v>0</v>
      </c>
      <c r="L37" s="37">
        <f t="shared" si="8"/>
        <v>0</v>
      </c>
      <c r="M37" s="37">
        <f t="shared" ref="M37:S43" si="9">IF(AE$43&gt;0,(AE37/AE$43),0)</f>
        <v>0</v>
      </c>
      <c r="N37" s="67">
        <f t="shared" si="9"/>
        <v>0</v>
      </c>
      <c r="O37" s="36">
        <f t="shared" si="9"/>
        <v>0</v>
      </c>
      <c r="P37" s="164">
        <f t="shared" si="9"/>
        <v>0</v>
      </c>
      <c r="Q37" s="37">
        <f t="shared" si="9"/>
        <v>0</v>
      </c>
      <c r="R37" s="67">
        <f t="shared" si="9"/>
        <v>0</v>
      </c>
      <c r="S37" s="164">
        <f t="shared" si="9"/>
        <v>0</v>
      </c>
      <c r="T37" s="123"/>
      <c r="U37" s="110">
        <f>+GETPIVOTDATA(" Total # Prof New",'Counts Pivot Table'!$A$3,"State","FL","Category",1,"Category2","Four-Year")</f>
        <v>1709</v>
      </c>
      <c r="V37" s="111">
        <f>+GETPIVOTDATA(" Total # Prof New",'Counts Pivot Table'!$A$3,"State","FL","Category",2,"Category2","Four-Year")</f>
        <v>436</v>
      </c>
      <c r="W37" s="111">
        <f>+GETPIVOTDATA(" Total # Prof New",'Counts Pivot Table'!$A$3,"State","FL","Category",3,"Category2","Four-Year")</f>
        <v>332</v>
      </c>
      <c r="X37" s="111">
        <f>+GETPIVOTDATA(" Total # Prof New",'Counts Pivot Table'!$A$3,"State","FL","Category",4,"Category2","Four-Year")</f>
        <v>49</v>
      </c>
      <c r="Y37" s="111">
        <f>+GETPIVOTDATA(" Total # Prof New",'Counts Pivot Table'!$A$3,"State","FL","Category",5,"Category2","Four-Year")</f>
        <v>0</v>
      </c>
      <c r="Z37" s="111">
        <f>+GETPIVOTDATA(" Total # Prof New",'Counts Pivot Table'!$A$3,"State","FL","Category",6,"Category2","Four-Year")</f>
        <v>19</v>
      </c>
      <c r="AA37" s="113">
        <f>+GETPIVOTDATA(" Total # Prof New",'Counts Pivot Table'!$A$3,"State","FL","Category2","Four-Year")</f>
        <v>2545</v>
      </c>
      <c r="AB37" s="110">
        <f>+GETPIVOTDATA(" Total # Prof New",'Counts Pivot Table'!$A$3,"State","FL","Category",7,"Category2","Two-Year")</f>
        <v>0</v>
      </c>
      <c r="AC37" s="111">
        <f>+GETPIVOTDATA(" Total # Prof New",'Counts Pivot Table'!$A$3,"State","FL","Category",8,"Category2","Two-Year")</f>
        <v>0</v>
      </c>
      <c r="AD37" s="111">
        <f>+GETPIVOTDATA(" Total # Prof New",'Counts Pivot Table'!$A$3,"State","FL","Category",9,"Category2","Two-Year")</f>
        <v>0</v>
      </c>
      <c r="AE37" s="111">
        <f>+GETPIVOTDATA(" Total # Prof New",'Counts Pivot Table'!$A$3,"State","FL","Category",10,"Category2","Two-Year")</f>
        <v>0</v>
      </c>
      <c r="AF37" s="112">
        <f>+GETPIVOTDATA(" Total # Prof New",'Counts Pivot Table'!$A$3,"State","FL","Category",11,"Category2","Two-Year")</f>
        <v>0</v>
      </c>
      <c r="AG37" s="112">
        <f>+GETPIVOTDATA(" Total # Prof New",'Counts Pivot Table'!$A$3,"State","FL","Category2","Two-Year")</f>
        <v>0</v>
      </c>
      <c r="AH37" s="110">
        <f>+GETPIVOTDATA(" Total # Prof New",'Counts Pivot Table'!$A$3,"State","FL","Category",12,"Category2","Technical Institutes")</f>
        <v>0</v>
      </c>
      <c r="AI37" s="111">
        <f>+GETPIVOTDATA(" Total # Prof New",'Counts Pivot Table'!$A$3,"State","FL","Category",13,"Category2","Technical Institutes")</f>
        <v>0</v>
      </c>
      <c r="AJ37" s="112">
        <f>+GETPIVOTDATA(" Total # Prof New",'Counts Pivot Table'!$A$3,"State","FL","Category",14,"Category2","Technical Institutes")</f>
        <v>0</v>
      </c>
      <c r="AK37" s="110">
        <f>+GETPIVOTDATA(" Total # Prof New",'Counts Pivot Table'!$A$3,"State","FL","Category2","Technical Institutes")</f>
        <v>0</v>
      </c>
    </row>
    <row r="38" spans="1:39">
      <c r="A38" s="30"/>
      <c r="B38" s="38" t="s">
        <v>436</v>
      </c>
      <c r="C38" s="32">
        <f t="shared" si="8"/>
        <v>0.27603335107326593</v>
      </c>
      <c r="D38" s="34">
        <f t="shared" si="8"/>
        <v>0.28707124010554091</v>
      </c>
      <c r="E38" s="34">
        <f t="shared" si="8"/>
        <v>0.28848560700876097</v>
      </c>
      <c r="F38" s="34">
        <f t="shared" si="8"/>
        <v>0.28113879003558717</v>
      </c>
      <c r="G38" s="34">
        <f t="shared" si="8"/>
        <v>0</v>
      </c>
      <c r="H38" s="68">
        <f t="shared" si="8"/>
        <v>0.38356164383561642</v>
      </c>
      <c r="I38" s="32">
        <f t="shared" si="8"/>
        <v>0.28131590046393928</v>
      </c>
      <c r="J38" s="32">
        <f t="shared" si="8"/>
        <v>0</v>
      </c>
      <c r="K38" s="34">
        <f t="shared" si="8"/>
        <v>0</v>
      </c>
      <c r="L38" s="34">
        <f t="shared" si="8"/>
        <v>0</v>
      </c>
      <c r="M38" s="34">
        <f t="shared" si="9"/>
        <v>0</v>
      </c>
      <c r="N38" s="68">
        <f t="shared" si="9"/>
        <v>0</v>
      </c>
      <c r="O38" s="32">
        <f t="shared" si="9"/>
        <v>0</v>
      </c>
      <c r="P38" s="32">
        <f t="shared" si="9"/>
        <v>0</v>
      </c>
      <c r="Q38" s="34">
        <f t="shared" si="9"/>
        <v>0</v>
      </c>
      <c r="R38" s="68">
        <f t="shared" si="9"/>
        <v>0</v>
      </c>
      <c r="S38" s="32">
        <f t="shared" si="9"/>
        <v>0</v>
      </c>
      <c r="T38" s="92"/>
      <c r="U38" s="114">
        <f>+GETPIVOTDATA(" Tot # Asc. Prof New",'Counts Pivot Table'!$A$3,"State","FL","Category",1,"Category2","Four-Year")</f>
        <v>1556</v>
      </c>
      <c r="V38" s="115">
        <f>+GETPIVOTDATA(" Tot # Asc. Prof New",'Counts Pivot Table'!$A$3,"State","FL","Category",2,"Category2","Four-Year")</f>
        <v>544</v>
      </c>
      <c r="W38" s="115">
        <f>+GETPIVOTDATA(" Tot # Asc. Prof New",'Counts Pivot Table'!$A$3,"State","FL","Category",3,"Category2","Four-Year")</f>
        <v>461</v>
      </c>
      <c r="X38" s="115">
        <f>+GETPIVOTDATA(" Tot # Asc. Prof New",'Counts Pivot Table'!$A$3,"State","FL","Category",4,"Category2","Four-Year")</f>
        <v>79</v>
      </c>
      <c r="Y38" s="115">
        <f>+GETPIVOTDATA(" Tot # Asc. Prof New",'Counts Pivot Table'!$A$3,"State","FL","Category",5,"Category2","Four-Year")</f>
        <v>0</v>
      </c>
      <c r="Z38" s="115">
        <f>+GETPIVOTDATA(" Tot # Asc. Prof New",'Counts Pivot Table'!$A$3,"State","FL","Category",6,"Category2","Four-Year")</f>
        <v>28</v>
      </c>
      <c r="AA38" s="117">
        <f>+GETPIVOTDATA(" Tot # Asc. Prof New",'Counts Pivot Table'!$A$3,"State","FL","Category2","Four-Year")</f>
        <v>2668</v>
      </c>
      <c r="AB38" s="114">
        <f>+GETPIVOTDATA(" Tot # Asc. Prof New",'Counts Pivot Table'!$A$3,"State","FL","Category",7,"Category2","Two-Year")</f>
        <v>0</v>
      </c>
      <c r="AC38" s="115">
        <f>+GETPIVOTDATA(" Tot # Asc. Prof New",'Counts Pivot Table'!$A$3,"State","FL","Category",8,"Category2","Two-Year")</f>
        <v>0</v>
      </c>
      <c r="AD38" s="115">
        <f>+GETPIVOTDATA(" Tot # Asc. Prof New",'Counts Pivot Table'!$A$3,"State","FL","Category",9,"Category2","Two-Year")</f>
        <v>0</v>
      </c>
      <c r="AE38" s="115">
        <f>+GETPIVOTDATA(" Tot # Asc. Prof New",'Counts Pivot Table'!$A$3,"State","FL","Category",10,"Category2","Two-Year")</f>
        <v>0</v>
      </c>
      <c r="AF38" s="116">
        <f>+GETPIVOTDATA(" Tot # Asc. Prof New",'Counts Pivot Table'!$A$3,"State","FL","Category",11,"Category2","Two-Year")</f>
        <v>0</v>
      </c>
      <c r="AG38" s="116">
        <f>+GETPIVOTDATA(" Tot # Asc. Prof New",'Counts Pivot Table'!$A$3,"State","FL","Category2","Two-Year")</f>
        <v>0</v>
      </c>
      <c r="AH38" s="114">
        <f>+GETPIVOTDATA(" Tot # Asc. Prof New",'Counts Pivot Table'!$A$3,"State","FL","Category",12,"Category2","Technical Institutes")</f>
        <v>0</v>
      </c>
      <c r="AI38" s="115">
        <f>+GETPIVOTDATA(" Tot # Asc. Prof New",'Counts Pivot Table'!$A$3,"State","FL","Category",13,"Category2","Technical Institutes")</f>
        <v>0</v>
      </c>
      <c r="AJ38" s="116">
        <f>+GETPIVOTDATA(" Tot # Asc. Prof New",'Counts Pivot Table'!$A$3,"State","FL","Category",14,"Category2","Technical Institutes")</f>
        <v>0</v>
      </c>
      <c r="AK38" s="114">
        <f>+GETPIVOTDATA(" Tot # Asc. Prof New",'Counts Pivot Table'!$A$3,"State","FL","Category2","Technical Institutes")</f>
        <v>0</v>
      </c>
    </row>
    <row r="39" spans="1:39">
      <c r="A39" s="30"/>
      <c r="B39" s="38" t="s">
        <v>437</v>
      </c>
      <c r="C39" s="32">
        <f t="shared" si="8"/>
        <v>0.25687422387794928</v>
      </c>
      <c r="D39" s="34">
        <f t="shared" si="8"/>
        <v>0.27229551451187334</v>
      </c>
      <c r="E39" s="34">
        <f t="shared" si="8"/>
        <v>0.31289111389236546</v>
      </c>
      <c r="F39" s="34">
        <f t="shared" si="8"/>
        <v>0.33451957295373663</v>
      </c>
      <c r="G39" s="34">
        <f t="shared" si="8"/>
        <v>0</v>
      </c>
      <c r="H39" s="68">
        <f t="shared" si="8"/>
        <v>0.34246575342465752</v>
      </c>
      <c r="I39" s="32">
        <f t="shared" si="8"/>
        <v>0.27235343736819906</v>
      </c>
      <c r="J39" s="32">
        <f t="shared" si="8"/>
        <v>0</v>
      </c>
      <c r="K39" s="34">
        <f t="shared" si="8"/>
        <v>0</v>
      </c>
      <c r="L39" s="34">
        <f t="shared" si="8"/>
        <v>0</v>
      </c>
      <c r="M39" s="34">
        <f t="shared" si="9"/>
        <v>0</v>
      </c>
      <c r="N39" s="68">
        <f t="shared" si="9"/>
        <v>0</v>
      </c>
      <c r="O39" s="32">
        <f t="shared" si="9"/>
        <v>0</v>
      </c>
      <c r="P39" s="32">
        <f t="shared" si="9"/>
        <v>0</v>
      </c>
      <c r="Q39" s="34">
        <f t="shared" si="9"/>
        <v>0</v>
      </c>
      <c r="R39" s="68">
        <f t="shared" si="9"/>
        <v>0</v>
      </c>
      <c r="S39" s="32">
        <f t="shared" si="9"/>
        <v>0</v>
      </c>
      <c r="T39" s="92"/>
      <c r="U39" s="114">
        <f>+GETPIVOTDATA(" Tot # Ast. Prof New",'Counts Pivot Table'!$A$3,"State","FL","Category",1,"Category2","Four-Year")</f>
        <v>1448</v>
      </c>
      <c r="V39" s="115">
        <f>+GETPIVOTDATA(" Tot # Ast. Prof New",'Counts Pivot Table'!$A$3,"State","FL","Category",2,"Category2","Four-Year")</f>
        <v>516</v>
      </c>
      <c r="W39" s="115">
        <f>+GETPIVOTDATA(" Tot # Ast. Prof New",'Counts Pivot Table'!$A$3,"State","FL","Category",3,"Category2","Four-Year")</f>
        <v>500</v>
      </c>
      <c r="X39" s="115">
        <f>+GETPIVOTDATA(" Tot # Ast. Prof New",'Counts Pivot Table'!$A$3,"State","FL","Category",4,"Category2","Four-Year")</f>
        <v>94</v>
      </c>
      <c r="Y39" s="115">
        <f>+GETPIVOTDATA(" Tot # Ast. Prof New",'Counts Pivot Table'!$A$3,"State","FL","Category",5,"Category2","Four-Year")</f>
        <v>0</v>
      </c>
      <c r="Z39" s="115">
        <f>+GETPIVOTDATA(" Tot # Ast. Prof New",'Counts Pivot Table'!$A$3,"State","FL","Category",6,"Category2","Four-Year")</f>
        <v>25</v>
      </c>
      <c r="AA39" s="117">
        <f>+GETPIVOTDATA(" Tot # Ast. Prof New",'Counts Pivot Table'!$A$3,"State","FL","Category2","Four-Year")</f>
        <v>2583</v>
      </c>
      <c r="AB39" s="114">
        <f>+GETPIVOTDATA(" Tot # Ast. Prof New",'Counts Pivot Table'!$A$3,"State","FL","Category",7,"Category2","Two-Year")</f>
        <v>0</v>
      </c>
      <c r="AC39" s="115">
        <f>+GETPIVOTDATA(" Tot # Ast. Prof New",'Counts Pivot Table'!$A$3,"State","FL","Category",8,"Category2","Two-Year")</f>
        <v>0</v>
      </c>
      <c r="AD39" s="115">
        <f>+GETPIVOTDATA(" Tot # Ast. Prof New",'Counts Pivot Table'!$A$3,"State","FL","Category",9,"Category2","Two-Year")</f>
        <v>0</v>
      </c>
      <c r="AE39" s="115">
        <f>+GETPIVOTDATA(" Tot # Ast. Prof New",'Counts Pivot Table'!$A$3,"State","FL","Category",10,"Category2","Two-Year")</f>
        <v>0</v>
      </c>
      <c r="AF39" s="116">
        <f>+GETPIVOTDATA(" Tot # Ast. Prof New",'Counts Pivot Table'!$A$3,"State","FL","Category",11,"Category2","Two-Year")</f>
        <v>0</v>
      </c>
      <c r="AG39" s="116">
        <f>+GETPIVOTDATA(" Tot # Ast. Prof New",'Counts Pivot Table'!$A$3,"State","FL","Category2","Two-Year")</f>
        <v>0</v>
      </c>
      <c r="AH39" s="114">
        <f>+GETPIVOTDATA(" Tot # Ast. Prof New",'Counts Pivot Table'!$A$3,"State","FL","Category",12,"Category2","Technical Institutes")</f>
        <v>0</v>
      </c>
      <c r="AI39" s="115">
        <f>+GETPIVOTDATA(" Tot # Ast. Prof New",'Counts Pivot Table'!$A$3,"State","FL","Category",13,"Category2","Technical Institutes")</f>
        <v>0</v>
      </c>
      <c r="AJ39" s="116">
        <f>+GETPIVOTDATA(" Tot # Ast. Prof New",'Counts Pivot Table'!$A$3,"State","FL","Category",14,"Category2","Technical Institutes")</f>
        <v>0</v>
      </c>
      <c r="AK39" s="114">
        <f>+GETPIVOTDATA(" Tot # Ast. Prof New",'Counts Pivot Table'!$A$3,"State","FL","Category2","Technical Institutes")</f>
        <v>0</v>
      </c>
    </row>
    <row r="40" spans="1:39">
      <c r="A40" s="30"/>
      <c r="B40" s="38" t="s">
        <v>438</v>
      </c>
      <c r="C40" s="32">
        <f t="shared" si="8"/>
        <v>8.5861273727159834E-2</v>
      </c>
      <c r="D40" s="34">
        <f t="shared" si="8"/>
        <v>0.18047493403693932</v>
      </c>
      <c r="E40" s="34">
        <f t="shared" si="8"/>
        <v>0.15081351689612016</v>
      </c>
      <c r="F40" s="34">
        <f t="shared" si="8"/>
        <v>0.20996441281138789</v>
      </c>
      <c r="G40" s="34">
        <f t="shared" si="8"/>
        <v>0</v>
      </c>
      <c r="H40" s="68">
        <f t="shared" si="8"/>
        <v>1.3698630136986301E-2</v>
      </c>
      <c r="I40" s="32">
        <f t="shared" si="8"/>
        <v>0.11883171657528468</v>
      </c>
      <c r="J40" s="32">
        <f t="shared" si="8"/>
        <v>0</v>
      </c>
      <c r="K40" s="34">
        <f t="shared" si="8"/>
        <v>0</v>
      </c>
      <c r="L40" s="34">
        <f t="shared" si="8"/>
        <v>0</v>
      </c>
      <c r="M40" s="34">
        <f t="shared" si="9"/>
        <v>0</v>
      </c>
      <c r="N40" s="68">
        <f t="shared" si="9"/>
        <v>0</v>
      </c>
      <c r="O40" s="32">
        <f t="shared" si="9"/>
        <v>0</v>
      </c>
      <c r="P40" s="32">
        <f t="shared" si="9"/>
        <v>0</v>
      </c>
      <c r="Q40" s="34">
        <f t="shared" si="9"/>
        <v>0</v>
      </c>
      <c r="R40" s="68">
        <f t="shared" si="9"/>
        <v>0</v>
      </c>
      <c r="S40" s="32">
        <f t="shared" si="9"/>
        <v>0</v>
      </c>
      <c r="T40" s="92"/>
      <c r="U40" s="114">
        <f>+GETPIVOTDATA(" Tot # Instr. New",'Counts Pivot Table'!$A$3,"State","FL","Category",1,"Category2","Four-Year")</f>
        <v>484</v>
      </c>
      <c r="V40" s="115">
        <f>+GETPIVOTDATA(" Tot # Instr. New",'Counts Pivot Table'!$A$3,"State","FL","Category",2,"Category2","Four-Year")</f>
        <v>342</v>
      </c>
      <c r="W40" s="115">
        <f>+GETPIVOTDATA(" Tot # Instr. New",'Counts Pivot Table'!$A$3,"State","FL","Category",3,"Category2","Four-Year")</f>
        <v>241</v>
      </c>
      <c r="X40" s="115">
        <f>+GETPIVOTDATA(" Tot # Instr. New",'Counts Pivot Table'!$A$3,"State","FL","Category",4,"Category2","Four-Year")</f>
        <v>59</v>
      </c>
      <c r="Y40" s="115">
        <f>+GETPIVOTDATA(" Tot # Instr. New",'Counts Pivot Table'!$A$3,"State","FL","Category",5,"Category2","Four-Year")</f>
        <v>0</v>
      </c>
      <c r="Z40" s="115">
        <f>+GETPIVOTDATA(" Tot # Instr. New",'Counts Pivot Table'!$A$3,"State","FL","Category",6,"Category2","Four-Year")</f>
        <v>1</v>
      </c>
      <c r="AA40" s="117">
        <f>+GETPIVOTDATA(" Tot # Instr. New",'Counts Pivot Table'!$A$3,"State","FL","Category2","Four-Year")</f>
        <v>1127</v>
      </c>
      <c r="AB40" s="114">
        <f>+GETPIVOTDATA(" Tot # Instr. New",'Counts Pivot Table'!$A$3,"State","FL","Category",7,"Category2","Two-Year")</f>
        <v>0</v>
      </c>
      <c r="AC40" s="115">
        <f>+GETPIVOTDATA(" Tot # Instr. New",'Counts Pivot Table'!$A$3,"State","FL","Category",8,"Category2","Two-Year")</f>
        <v>0</v>
      </c>
      <c r="AD40" s="115">
        <f>+GETPIVOTDATA(" Tot # Instr. New",'Counts Pivot Table'!$A$3,"State","FL","Category",9,"Category2","Two-Year")</f>
        <v>0</v>
      </c>
      <c r="AE40" s="115">
        <f>+GETPIVOTDATA(" Tot # Instr. New",'Counts Pivot Table'!$A$3,"State","FL","Category",10,"Category2","Two-Year")</f>
        <v>0</v>
      </c>
      <c r="AF40" s="116">
        <f>+GETPIVOTDATA(" Tot # Instr. New",'Counts Pivot Table'!$A$3,"State","FL","Category",11,"Category2","Two-Year")</f>
        <v>0</v>
      </c>
      <c r="AG40" s="116">
        <f>+GETPIVOTDATA(" Tot # Instr. New",'Counts Pivot Table'!$A$3,"State","FL","Category2","Two-Year")</f>
        <v>0</v>
      </c>
      <c r="AH40" s="114">
        <f>+GETPIVOTDATA(" Tot # Instr. New",'Counts Pivot Table'!$A$3,"State","FL","Category",12,"Category2","Technical Institutes")</f>
        <v>0</v>
      </c>
      <c r="AI40" s="115">
        <f>+GETPIVOTDATA(" Tot # Instr. New",'Counts Pivot Table'!$A$3,"State","FL","Category",13,"Category2","Technical Institutes")</f>
        <v>0</v>
      </c>
      <c r="AJ40" s="116">
        <f>+GETPIVOTDATA(" Tot # Instr. New",'Counts Pivot Table'!$A$3,"State","FL","Category",14,"Category2","Technical Institutes")</f>
        <v>0</v>
      </c>
      <c r="AK40" s="114">
        <f>+GETPIVOTDATA(" Tot # Instr. New",'Counts Pivot Table'!$A$3,"State","FL","Category2","Technical Institutes")</f>
        <v>0</v>
      </c>
    </row>
    <row r="41" spans="1:39">
      <c r="A41" s="30"/>
      <c r="B41" s="38" t="s">
        <v>414</v>
      </c>
      <c r="C41" s="32">
        <f t="shared" si="8"/>
        <v>7.8055703388327125E-2</v>
      </c>
      <c r="D41" s="34">
        <f t="shared" si="8"/>
        <v>3.0079155672823221E-2</v>
      </c>
      <c r="E41" s="34">
        <f t="shared" si="8"/>
        <v>4.005006257822278E-2</v>
      </c>
      <c r="F41" s="34">
        <f t="shared" si="8"/>
        <v>0</v>
      </c>
      <c r="G41" s="264">
        <f t="shared" si="8"/>
        <v>0</v>
      </c>
      <c r="H41" s="68">
        <f t="shared" si="8"/>
        <v>0</v>
      </c>
      <c r="I41" s="32">
        <f t="shared" si="8"/>
        <v>5.9152256431885278E-2</v>
      </c>
      <c r="J41" s="32">
        <f t="shared" si="8"/>
        <v>0</v>
      </c>
      <c r="K41" s="34">
        <f t="shared" si="8"/>
        <v>0</v>
      </c>
      <c r="L41" s="34">
        <f t="shared" si="8"/>
        <v>0</v>
      </c>
      <c r="M41" s="34">
        <f t="shared" si="9"/>
        <v>0</v>
      </c>
      <c r="N41" s="124">
        <f t="shared" si="9"/>
        <v>0</v>
      </c>
      <c r="O41" s="32">
        <f t="shared" si="9"/>
        <v>0</v>
      </c>
      <c r="P41" s="32">
        <f t="shared" si="9"/>
        <v>0</v>
      </c>
      <c r="Q41" s="34">
        <f t="shared" si="9"/>
        <v>0</v>
      </c>
      <c r="R41" s="68">
        <f t="shared" si="9"/>
        <v>0</v>
      </c>
      <c r="S41" s="32">
        <f t="shared" si="9"/>
        <v>0</v>
      </c>
      <c r="T41" s="92"/>
      <c r="U41" s="114">
        <f>++GETPIVOTDATA(" Tot # Undes. New",'Counts Pivot Table'!$A$3,"State","FL","Category",1,"Category2","Four-Year")</f>
        <v>440</v>
      </c>
      <c r="V41" s="115">
        <f>+GETPIVOTDATA(" Tot # Undes. New",'Counts Pivot Table'!$A$3,"State","FL","Category",2,"Category2","Four-Year")</f>
        <v>57</v>
      </c>
      <c r="W41" s="115">
        <f>+GETPIVOTDATA(" Tot # Undes. New",'Counts Pivot Table'!$A$3,"State","FL","Category",3,"Category2","Four-Year")</f>
        <v>64</v>
      </c>
      <c r="X41" s="115">
        <f>+GETPIVOTDATA(" Tot # Undes. New",'Counts Pivot Table'!$A$3,"State","FL","Category",4,"Category2","Four-Year")</f>
        <v>0</v>
      </c>
      <c r="Y41" s="115">
        <f>+GETPIVOTDATA(" Tot # Undes. New",'Counts Pivot Table'!$A$3,"State","FL","Category",5,"Category2","Four-Year")</f>
        <v>0</v>
      </c>
      <c r="Z41" s="115">
        <f>+GETPIVOTDATA(" Tot # Undes. New",'Counts Pivot Table'!$A$3,"State","FL","Category",6,"Category2","Four-Year")</f>
        <v>0</v>
      </c>
      <c r="AA41" s="117">
        <f>+GETPIVOTDATA(" Tot # Undes. New",'Counts Pivot Table'!$A$3,"State","FL","Category2","Four-Year")</f>
        <v>561</v>
      </c>
      <c r="AB41" s="114">
        <f>+GETPIVOTDATA(" Tot # Undes. New",'Counts Pivot Table'!$A$3,"State","FL","Category",7,"Category2","Two-Year")</f>
        <v>0</v>
      </c>
      <c r="AC41" s="115">
        <f>+GETPIVOTDATA(" Tot # Undes. New",'Counts Pivot Table'!$A$3,"State","FL","Category",8,"Category2","Two-Year")</f>
        <v>0</v>
      </c>
      <c r="AD41" s="115">
        <f>+GETPIVOTDATA(" Tot # Undes. New",'Counts Pivot Table'!$A$3,"State","FL","Category",9,"Category2","Two-Year")</f>
        <v>0</v>
      </c>
      <c r="AE41" s="115">
        <f>+GETPIVOTDATA(" Tot # Undes. New",'Counts Pivot Table'!$A$3,"State","FL","Category",10,"Category2","Two-Year")</f>
        <v>0</v>
      </c>
      <c r="AF41" s="116">
        <f>+GETPIVOTDATA(" Tot # Undes. New",'Counts Pivot Table'!$A$3,"State","FL","Category",11,"Category2","Two-Year")</f>
        <v>0</v>
      </c>
      <c r="AG41" s="116">
        <f>+GETPIVOTDATA(" Tot # Undes. New",'Counts Pivot Table'!$A$3,"State","FL","Category2","Two-Year")</f>
        <v>0</v>
      </c>
      <c r="AH41" s="114">
        <f>+GETPIVOTDATA(" Tot # Undes. New",'Counts Pivot Table'!$A$3,"State","FL","Category",12,"Category2","Technical Institutes")</f>
        <v>0</v>
      </c>
      <c r="AI41" s="115">
        <f>+GETPIVOTDATA(" Tot # Undes. New",'Counts Pivot Table'!$A$3,"State","FL","Category",13,"Category2","Technical Institutes")</f>
        <v>0</v>
      </c>
      <c r="AJ41" s="116">
        <f>+GETPIVOTDATA(" Tot # Undes. New",'Counts Pivot Table'!$A$3,"State","FL","Category",14,"Category2","Technical Institutes")</f>
        <v>0</v>
      </c>
      <c r="AK41" s="114">
        <f>+GETPIVOTDATA(" Tot # Undes. New",'Counts Pivot Table'!$A$3,"State","FL","Category2","Technical Institutes")</f>
        <v>0</v>
      </c>
    </row>
    <row r="42" spans="1:39">
      <c r="A42" s="30"/>
      <c r="B42" s="38" t="s">
        <v>413</v>
      </c>
      <c r="C42" s="32">
        <f t="shared" si="8"/>
        <v>0</v>
      </c>
      <c r="D42" s="34">
        <f t="shared" si="8"/>
        <v>0</v>
      </c>
      <c r="E42" s="199">
        <f t="shared" si="8"/>
        <v>0</v>
      </c>
      <c r="F42" s="34">
        <f t="shared" si="8"/>
        <v>0</v>
      </c>
      <c r="G42" s="199">
        <f t="shared" si="8"/>
        <v>0</v>
      </c>
      <c r="H42" s="68">
        <f t="shared" si="8"/>
        <v>0</v>
      </c>
      <c r="I42" s="198">
        <f t="shared" si="8"/>
        <v>0</v>
      </c>
      <c r="J42" s="32">
        <f t="shared" si="8"/>
        <v>1</v>
      </c>
      <c r="K42" s="34">
        <f t="shared" si="8"/>
        <v>1</v>
      </c>
      <c r="L42" s="34">
        <f t="shared" si="8"/>
        <v>1</v>
      </c>
      <c r="M42" s="34">
        <f t="shared" si="9"/>
        <v>1</v>
      </c>
      <c r="N42" s="68">
        <f t="shared" si="9"/>
        <v>0</v>
      </c>
      <c r="O42" s="32">
        <f t="shared" si="9"/>
        <v>1</v>
      </c>
      <c r="P42" s="32">
        <f t="shared" si="9"/>
        <v>0</v>
      </c>
      <c r="Q42" s="34">
        <f t="shared" si="9"/>
        <v>0</v>
      </c>
      <c r="R42" s="68">
        <f t="shared" si="9"/>
        <v>0</v>
      </c>
      <c r="S42" s="32">
        <f t="shared" si="9"/>
        <v>0</v>
      </c>
      <c r="T42" s="92"/>
      <c r="U42" s="114">
        <f>+GETPIVOTDATA(" Tot # Single Rnk New",'Counts Pivot Table'!$A$3,"State","FL","Category",1,"Category2","Four-Year")</f>
        <v>0</v>
      </c>
      <c r="V42" s="115">
        <f>+GETPIVOTDATA(" Tot # Single Rnk New",'Counts Pivot Table'!$A$3,"State","FL","Category",2,"Category2","Four-Year")</f>
        <v>0</v>
      </c>
      <c r="W42" s="115">
        <f>+GETPIVOTDATA(" Tot # Single Rnk New",'Counts Pivot Table'!$A$3,"State","FL","Category",3,"Category2","Four-Year")</f>
        <v>0</v>
      </c>
      <c r="X42" s="115">
        <f>+GETPIVOTDATA(" Tot # Single Rnk New",'Counts Pivot Table'!$A$3,"State","FL","Category",4,"Category2","Four-Year")</f>
        <v>0</v>
      </c>
      <c r="Y42" s="115">
        <f>+GETPIVOTDATA(" Tot # Single Rnk New",'Counts Pivot Table'!$A$3,"State","FL","Category",5,"Category2","Four-Year")</f>
        <v>0</v>
      </c>
      <c r="Z42" s="115">
        <f>+GETPIVOTDATA(" Tot # Single Rnk New",'Counts Pivot Table'!$A$3,"State","FL","Category",6,"Category2","Four-Year")</f>
        <v>0</v>
      </c>
      <c r="AA42" s="117">
        <f>+GETPIVOTDATA(" Tot # Single Rnk New",'Counts Pivot Table'!$A$3,"State","FL","Category2","Four-Year")</f>
        <v>0</v>
      </c>
      <c r="AB42" s="114">
        <f>+GETPIVOTDATA(" Tot # Single Rnk New",'Counts Pivot Table'!$A$3,"State","FL","Category",7,"Category2","Two-Year")</f>
        <v>1137</v>
      </c>
      <c r="AC42" s="115">
        <f>+GETPIVOTDATA(" Tot # Single Rnk New",'Counts Pivot Table'!$A$3,"State","FL","Category",8,"Category2","Two-Year")</f>
        <v>3479</v>
      </c>
      <c r="AD42" s="115">
        <f>+GETPIVOTDATA(" Tot # Single Rnk New",'Counts Pivot Table'!$A$3,"State","FL","Category",9,"Category2","Two-Year")</f>
        <v>656</v>
      </c>
      <c r="AE42" s="115">
        <f>+GETPIVOTDATA(" Tot # Single Rnk New",'Counts Pivot Table'!$A$3,"State","FL","Category",10,"Category2","Two-Year")</f>
        <v>56</v>
      </c>
      <c r="AF42" s="116">
        <f>+GETPIVOTDATA(" Tot # Single Rnk New",'Counts Pivot Table'!$A$3,"State","FL","Category",11,"Category2","Two-Year")</f>
        <v>0</v>
      </c>
      <c r="AG42" s="116">
        <f>+GETPIVOTDATA(" Tot # Single Rnk New",'Counts Pivot Table'!$A$3,"State","FL","Category2","Two-Year")</f>
        <v>5328</v>
      </c>
      <c r="AH42" s="114">
        <f>+GETPIVOTDATA(" Tot # Single Rnk New",'Counts Pivot Table'!$A$3,"State","FL","Category",12,"Category2","Technical Institutes")</f>
        <v>0</v>
      </c>
      <c r="AI42" s="115">
        <f>+GETPIVOTDATA(" Tot # Single Rnk New",'Counts Pivot Table'!$A$3,"State","FL","Category",13,"Category2","Technical Institutes")</f>
        <v>0</v>
      </c>
      <c r="AJ42" s="116">
        <f>+GETPIVOTDATA(" Tot # Single Rnk New",'Counts Pivot Table'!$A$3,"State","FL","Category",14,"Category2","Technical Institutes")</f>
        <v>0</v>
      </c>
      <c r="AK42" s="114">
        <f>+GETPIVOTDATA(" Tot # Single Rnk New",'Counts Pivot Table'!$A$3,"State","FL","Category2","Technical Institutes")</f>
        <v>0</v>
      </c>
    </row>
    <row r="43" spans="1:39" s="54" customFormat="1">
      <c r="A43" s="207"/>
      <c r="B43" s="208" t="s">
        <v>415</v>
      </c>
      <c r="C43" s="33">
        <f t="shared" si="8"/>
        <v>1</v>
      </c>
      <c r="D43" s="31">
        <f t="shared" si="8"/>
        <v>1</v>
      </c>
      <c r="E43" s="31">
        <f t="shared" si="8"/>
        <v>1</v>
      </c>
      <c r="F43" s="31">
        <f t="shared" si="8"/>
        <v>1</v>
      </c>
      <c r="G43" s="31">
        <f t="shared" si="8"/>
        <v>0</v>
      </c>
      <c r="H43" s="69">
        <f t="shared" si="8"/>
        <v>1</v>
      </c>
      <c r="I43" s="33">
        <f t="shared" si="8"/>
        <v>1</v>
      </c>
      <c r="J43" s="33">
        <f t="shared" si="8"/>
        <v>1</v>
      </c>
      <c r="K43" s="31">
        <f t="shared" si="8"/>
        <v>1</v>
      </c>
      <c r="L43" s="31">
        <f t="shared" si="8"/>
        <v>1</v>
      </c>
      <c r="M43" s="31">
        <f t="shared" si="9"/>
        <v>1</v>
      </c>
      <c r="N43" s="69">
        <f t="shared" si="9"/>
        <v>0</v>
      </c>
      <c r="O43" s="33">
        <f t="shared" si="9"/>
        <v>1</v>
      </c>
      <c r="P43" s="33">
        <f t="shared" si="9"/>
        <v>0</v>
      </c>
      <c r="Q43" s="31">
        <f t="shared" si="9"/>
        <v>0</v>
      </c>
      <c r="R43" s="69">
        <f t="shared" si="9"/>
        <v>0</v>
      </c>
      <c r="S43" s="33">
        <f t="shared" si="9"/>
        <v>0</v>
      </c>
      <c r="T43" s="93"/>
      <c r="U43" s="118">
        <f>+GETPIVOTDATA(" All Ranks # New",'Counts Pivot Table'!$A$3,"State","FL","Category",1,"Category2","Four-Year")</f>
        <v>5637</v>
      </c>
      <c r="V43" s="119">
        <f>+GETPIVOTDATA(" All Ranks # New",'Counts Pivot Table'!$A$3,"State","FL","Category",2,"Category2","Four-Year")</f>
        <v>1895</v>
      </c>
      <c r="W43" s="119">
        <f>+GETPIVOTDATA(" All Ranks # New",'Counts Pivot Table'!$A$3,"State","FL","Category",3,"Category2","Four-Year")</f>
        <v>1598</v>
      </c>
      <c r="X43" s="119">
        <f>+GETPIVOTDATA(" All Ranks # New",'Counts Pivot Table'!$A$3,"State","FL","Category",4,"Category2","Four-Year")</f>
        <v>281</v>
      </c>
      <c r="Y43" s="119">
        <f>+GETPIVOTDATA(" All Ranks # New",'Counts Pivot Table'!$A$3,"State","FL","Category",5,"Category2","Four-Year")</f>
        <v>0</v>
      </c>
      <c r="Z43" s="119">
        <f>+GETPIVOTDATA(" All Ranks # New",'Counts Pivot Table'!$A$3,"State","FL","Category",6,"Category2","Four-Year")</f>
        <v>73</v>
      </c>
      <c r="AA43" s="121">
        <f>+GETPIVOTDATA(" All Ranks # New",'Counts Pivot Table'!$A$3,"State","FL","Category2","Four-Year")</f>
        <v>9484</v>
      </c>
      <c r="AB43" s="118">
        <f>+GETPIVOTDATA(" All Ranks # New",'Counts Pivot Table'!$A$3,"State","FL","Category",7,"Category2","Two-Year")</f>
        <v>1137</v>
      </c>
      <c r="AC43" s="119">
        <f>+GETPIVOTDATA(" All Ranks # New",'Counts Pivot Table'!$A$3,"State","FL","Category",8,"Category2","Two-Year")</f>
        <v>3479</v>
      </c>
      <c r="AD43" s="119">
        <f>+GETPIVOTDATA(" All Ranks # New",'Counts Pivot Table'!$A$3,"State","FL","Category",9,"Category2","Two-Year")</f>
        <v>656</v>
      </c>
      <c r="AE43" s="119">
        <f>+GETPIVOTDATA(" All Ranks # New",'Counts Pivot Table'!$A$3,"State","FL","Category",10,"Category2","Two-Year")</f>
        <v>56</v>
      </c>
      <c r="AF43" s="120">
        <f>+GETPIVOTDATA(" All Ranks # New",'Counts Pivot Table'!$A$3,"State","FL","Category",11,"Category2","Two-Year")</f>
        <v>0</v>
      </c>
      <c r="AG43" s="120">
        <f>+GETPIVOTDATA(" All Ranks # New",'Counts Pivot Table'!$A$3,"State","FL","Category2","Two-Year")</f>
        <v>5328</v>
      </c>
      <c r="AH43" s="118">
        <f>+GETPIVOTDATA(" All Ranks # New",'Counts Pivot Table'!$A$3,"State","FL","Category",12,"Category2","Technical Institutes")</f>
        <v>0</v>
      </c>
      <c r="AI43" s="119">
        <f>+GETPIVOTDATA(" All Ranks # New",'Counts Pivot Table'!$A$3,"State","FL","Category",13,"Category2","Technical Institutes")</f>
        <v>0</v>
      </c>
      <c r="AJ43" s="120">
        <f>+GETPIVOTDATA(" All Ranks # New",'Counts Pivot Table'!$A$3,"State","FL","Category",14,"Category2","Technical Institutes")</f>
        <v>0</v>
      </c>
      <c r="AK43" s="118">
        <f>+GETPIVOTDATA(" All Ranks # New",'Counts Pivot Table'!$A$3,"State","FL","Category2","Technical Institutes")</f>
        <v>0</v>
      </c>
      <c r="AL43" s="122"/>
      <c r="AM43" s="122"/>
    </row>
    <row r="44" spans="1:39">
      <c r="A44" s="38" t="s">
        <v>448</v>
      </c>
      <c r="B44" s="35" t="s">
        <v>435</v>
      </c>
      <c r="C44" s="36">
        <f t="shared" ref="C44:L50" si="10">IF(U$50&gt;0,(U44/U$50),0)</f>
        <v>0.33239337328163554</v>
      </c>
      <c r="D44" s="37">
        <f t="shared" si="10"/>
        <v>0.44962080173347779</v>
      </c>
      <c r="E44" s="37">
        <f t="shared" si="10"/>
        <v>0.22761664564943254</v>
      </c>
      <c r="F44" s="37">
        <f t="shared" si="10"/>
        <v>0.21941747572815534</v>
      </c>
      <c r="G44" s="37">
        <f t="shared" si="10"/>
        <v>0.19873417721518988</v>
      </c>
      <c r="H44" s="67">
        <f t="shared" si="10"/>
        <v>0.1256544502617801</v>
      </c>
      <c r="I44" s="36">
        <f t="shared" si="10"/>
        <v>0.28066476497581544</v>
      </c>
      <c r="J44" s="36">
        <f t="shared" si="10"/>
        <v>0.12142857142857143</v>
      </c>
      <c r="K44" s="37">
        <f t="shared" si="10"/>
        <v>8.3333333333333329E-2</v>
      </c>
      <c r="L44" s="37">
        <f t="shared" si="10"/>
        <v>0.14652014652014653</v>
      </c>
      <c r="M44" s="37">
        <f t="shared" ref="M44:S50" si="11">IF(AE$50&gt;0,(AE44/AE$50),0)</f>
        <v>0.10909090909090909</v>
      </c>
      <c r="N44" s="67">
        <f t="shared" si="11"/>
        <v>0</v>
      </c>
      <c r="O44" s="36">
        <f t="shared" si="11"/>
        <v>0.121571072319202</v>
      </c>
      <c r="P44" s="164">
        <f t="shared" si="11"/>
        <v>0</v>
      </c>
      <c r="Q44" s="37">
        <f t="shared" si="11"/>
        <v>0</v>
      </c>
      <c r="R44" s="67">
        <f t="shared" si="11"/>
        <v>0</v>
      </c>
      <c r="S44" s="164">
        <f t="shared" si="11"/>
        <v>0</v>
      </c>
      <c r="T44" s="123"/>
      <c r="U44" s="110">
        <f>+GETPIVOTDATA(" Total # Prof New",'Counts Pivot Table'!$A$3,"State","GA","Category",1,"Category2","Four-Year")</f>
        <v>943</v>
      </c>
      <c r="V44" s="111">
        <f>+GETPIVOTDATA(" Total # Prof New",'Counts Pivot Table'!$A$3,"State","GA","Category",2,"Category2","Four-Year")</f>
        <v>415</v>
      </c>
      <c r="W44" s="111">
        <f>+GETPIVOTDATA(" Total # Prof New",'Counts Pivot Table'!$A$3,"State","GA","Category",3,"Category2","Four-Year")</f>
        <v>361</v>
      </c>
      <c r="X44" s="111">
        <f>+GETPIVOTDATA(" Total # Prof New",'Counts Pivot Table'!$A$3,"State","GA","Category",4,"Category2","Four-Year")</f>
        <v>339</v>
      </c>
      <c r="Y44" s="111">
        <f>+GETPIVOTDATA(" Total # Prof New",'Counts Pivot Table'!$A$3,"State","GA","Category",5,"Category2","Four-Year")</f>
        <v>157</v>
      </c>
      <c r="Z44" s="111">
        <f>+GETPIVOTDATA(" Total # Prof New",'Counts Pivot Table'!$A$3,"State","GA","Category",6,"Category2","Four-Year")</f>
        <v>48</v>
      </c>
      <c r="AA44" s="113">
        <f>+GETPIVOTDATA(" Total # Prof New",'Counts Pivot Table'!$A$3,"State","GA","Category2","Four-Year")</f>
        <v>2263</v>
      </c>
      <c r="AB44" s="110">
        <f>+GETPIVOTDATA(" Total # Prof New",'Counts Pivot Table'!$A$3,"State","GA","Category",7,"Category2","Two-Year")</f>
        <v>17</v>
      </c>
      <c r="AC44" s="111">
        <f>+GETPIVOTDATA(" Total # Prof New",'Counts Pivot Table'!$A$3,"State","GA","Category",8,"Category2","Two-Year")</f>
        <v>40</v>
      </c>
      <c r="AD44" s="111">
        <f>+GETPIVOTDATA(" Total # Prof New",'Counts Pivot Table'!$A$3,"State","GA","Category",9,"Category2","Two-Year")</f>
        <v>120</v>
      </c>
      <c r="AE44" s="111">
        <f>+GETPIVOTDATA(" Total # Prof New",'Counts Pivot Table'!$A$3,"State","GA","Category",10,"Category2","Two-Year")</f>
        <v>18</v>
      </c>
      <c r="AF44" s="112">
        <f>+GETPIVOTDATA(" Total # Prof New",'Counts Pivot Table'!$A$3,"State","GA","Category",11,"Category2","Two-Year")</f>
        <v>0</v>
      </c>
      <c r="AG44" s="112">
        <f>+GETPIVOTDATA(" Total # Prof New",'Counts Pivot Table'!$A$3,"State","GA","Category2","Two-Year")</f>
        <v>195</v>
      </c>
      <c r="AH44" s="110">
        <f>+GETPIVOTDATA(" Total # Prof New",'Counts Pivot Table'!$A$3,"State","GA","Category",12,"Category2","Technical Institutes")</f>
        <v>0</v>
      </c>
      <c r="AI44" s="111">
        <f>+GETPIVOTDATA(" Total # Prof New",'Counts Pivot Table'!$A$3,"State","GA","Category",13,"Category2","Technical Institutes")</f>
        <v>0</v>
      </c>
      <c r="AJ44" s="112">
        <f>+GETPIVOTDATA(" Total # Prof New",'Counts Pivot Table'!$A$3,"State","GA","Category",14,"Category2","Technical Institutes")</f>
        <v>0</v>
      </c>
      <c r="AK44" s="110">
        <f>+GETPIVOTDATA(" Total # Prof New",'Counts Pivot Table'!$A$3,"State","GA","Category2","Technical Institutes")</f>
        <v>0</v>
      </c>
    </row>
    <row r="45" spans="1:39">
      <c r="A45" s="30"/>
      <c r="B45" s="38" t="s">
        <v>436</v>
      </c>
      <c r="C45" s="32">
        <f t="shared" si="10"/>
        <v>0.29432499118787453</v>
      </c>
      <c r="D45" s="34">
        <f t="shared" si="10"/>
        <v>0.26327193932827736</v>
      </c>
      <c r="E45" s="34">
        <f t="shared" si="10"/>
        <v>0.24148802017654478</v>
      </c>
      <c r="F45" s="34">
        <f t="shared" si="10"/>
        <v>0.25113268608414241</v>
      </c>
      <c r="G45" s="34">
        <f t="shared" si="10"/>
        <v>0.24683544303797469</v>
      </c>
      <c r="H45" s="68">
        <f t="shared" si="10"/>
        <v>0.25916230366492149</v>
      </c>
      <c r="I45" s="32">
        <f t="shared" si="10"/>
        <v>0.26578196700979784</v>
      </c>
      <c r="J45" s="32">
        <f t="shared" si="10"/>
        <v>0.36428571428571427</v>
      </c>
      <c r="K45" s="34">
        <f t="shared" si="10"/>
        <v>0.29583333333333334</v>
      </c>
      <c r="L45" s="34">
        <f t="shared" si="10"/>
        <v>0.21855921855921856</v>
      </c>
      <c r="M45" s="34">
        <f t="shared" si="11"/>
        <v>0.25454545454545452</v>
      </c>
      <c r="N45" s="68">
        <f t="shared" si="11"/>
        <v>0</v>
      </c>
      <c r="O45" s="32">
        <f t="shared" si="11"/>
        <v>0.25810473815461349</v>
      </c>
      <c r="P45" s="32">
        <f t="shared" si="11"/>
        <v>0</v>
      </c>
      <c r="Q45" s="34">
        <f t="shared" si="11"/>
        <v>0</v>
      </c>
      <c r="R45" s="68">
        <f t="shared" si="11"/>
        <v>0</v>
      </c>
      <c r="S45" s="32">
        <f t="shared" si="11"/>
        <v>0</v>
      </c>
      <c r="T45" s="92"/>
      <c r="U45" s="114">
        <f>+GETPIVOTDATA(" Tot # Asc. Prof New",'Counts Pivot Table'!$A$3,"State","GA","Category",1,"Category2","Four-Year")</f>
        <v>835</v>
      </c>
      <c r="V45" s="115">
        <f>+GETPIVOTDATA(" Tot # Asc. Prof New",'Counts Pivot Table'!$A$3,"State","GA","Category",2,"Category2","Four-Year")</f>
        <v>243</v>
      </c>
      <c r="W45" s="115">
        <f>+GETPIVOTDATA(" Tot # Asc. Prof New",'Counts Pivot Table'!$A$3,"State","GA","Category",3,"Category2","Four-Year")</f>
        <v>383</v>
      </c>
      <c r="X45" s="115">
        <f>+GETPIVOTDATA(" Tot # Asc. Prof New",'Counts Pivot Table'!$A$3,"State","GA","Category",4,"Category2","Four-Year")</f>
        <v>388</v>
      </c>
      <c r="Y45" s="115">
        <f>+GETPIVOTDATA(" Tot # Asc. Prof New",'Counts Pivot Table'!$A$3,"State","GA","Category",5,"Category2","Four-Year")</f>
        <v>195</v>
      </c>
      <c r="Z45" s="115">
        <f>+GETPIVOTDATA(" Tot # Asc. Prof New",'Counts Pivot Table'!$A$3,"State","GA","Category",6,"Category2","Four-Year")</f>
        <v>99</v>
      </c>
      <c r="AA45" s="117">
        <f>+GETPIVOTDATA(" Tot # Asc. Prof New",'Counts Pivot Table'!$A$3,"State","GA","Category2","Four-Year")</f>
        <v>2143</v>
      </c>
      <c r="AB45" s="114">
        <f>+GETPIVOTDATA(" Tot # Asc. Prof New",'Counts Pivot Table'!$A$3,"State","GA","Category",7,"Category2","Two-Year")</f>
        <v>51</v>
      </c>
      <c r="AC45" s="115">
        <f>+GETPIVOTDATA(" Tot # Asc. Prof New",'Counts Pivot Table'!$A$3,"State","GA","Category",8,"Category2","Two-Year")</f>
        <v>142</v>
      </c>
      <c r="AD45" s="115">
        <f>+GETPIVOTDATA(" Tot # Asc. Prof New",'Counts Pivot Table'!$A$3,"State","GA","Category",9,"Category2","Two-Year")</f>
        <v>179</v>
      </c>
      <c r="AE45" s="115">
        <f>+GETPIVOTDATA(" Tot # Asc. Prof New",'Counts Pivot Table'!$A$3,"State","GA","Category",10,"Category2","Two-Year")</f>
        <v>42</v>
      </c>
      <c r="AF45" s="116">
        <f>+GETPIVOTDATA(" Tot # Asc. Prof New",'Counts Pivot Table'!$A$3,"State","GA","Category",11,"Category2","Two-Year")</f>
        <v>0</v>
      </c>
      <c r="AG45" s="116">
        <f>+GETPIVOTDATA(" Tot # Asc. Prof New",'Counts Pivot Table'!$A$3,"State","GA","Category2","Two-Year")</f>
        <v>414</v>
      </c>
      <c r="AH45" s="114">
        <f>+GETPIVOTDATA(" Tot # Asc. Prof New",'Counts Pivot Table'!$A$3,"State","GA","Category",12,"Category2","Technical Institutes")</f>
        <v>0</v>
      </c>
      <c r="AI45" s="115">
        <f>+GETPIVOTDATA(" Tot # Asc. Prof New",'Counts Pivot Table'!$A$3,"State","GA","Category",13,"Category2","Technical Institutes")</f>
        <v>0</v>
      </c>
      <c r="AJ45" s="116">
        <f>+GETPIVOTDATA(" Tot # Asc. Prof New",'Counts Pivot Table'!$A$3,"State","GA","Category",14,"Category2","Technical Institutes")</f>
        <v>0</v>
      </c>
      <c r="AK45" s="114">
        <f>+GETPIVOTDATA(" Tot # Asc. Prof New",'Counts Pivot Table'!$A$3,"State","GA","Category2","Technical Institutes")</f>
        <v>0</v>
      </c>
    </row>
    <row r="46" spans="1:39">
      <c r="A46" s="30"/>
      <c r="B46" s="38" t="s">
        <v>437</v>
      </c>
      <c r="C46" s="32">
        <f t="shared" si="10"/>
        <v>0.25555163905534017</v>
      </c>
      <c r="D46" s="34">
        <f t="shared" si="10"/>
        <v>0.26218851570964247</v>
      </c>
      <c r="E46" s="34">
        <f t="shared" si="10"/>
        <v>0.34237074401008827</v>
      </c>
      <c r="F46" s="34">
        <f t="shared" si="10"/>
        <v>0.41423948220064727</v>
      </c>
      <c r="G46" s="34">
        <f t="shared" si="10"/>
        <v>0.41645569620253164</v>
      </c>
      <c r="H46" s="68">
        <f t="shared" si="10"/>
        <v>0.53403141361256545</v>
      </c>
      <c r="I46" s="32">
        <f t="shared" si="10"/>
        <v>0.33275455785687708</v>
      </c>
      <c r="J46" s="32">
        <f t="shared" si="10"/>
        <v>0.37142857142857144</v>
      </c>
      <c r="K46" s="34">
        <f t="shared" si="10"/>
        <v>0.22708333333333333</v>
      </c>
      <c r="L46" s="34">
        <f t="shared" si="10"/>
        <v>0.40170940170940173</v>
      </c>
      <c r="M46" s="34">
        <f t="shared" si="11"/>
        <v>0.33939393939393941</v>
      </c>
      <c r="N46" s="68">
        <f t="shared" si="11"/>
        <v>0</v>
      </c>
      <c r="O46" s="32">
        <f t="shared" si="11"/>
        <v>0.34039900249376559</v>
      </c>
      <c r="P46" s="32">
        <f t="shared" si="11"/>
        <v>0</v>
      </c>
      <c r="Q46" s="34">
        <f t="shared" si="11"/>
        <v>0</v>
      </c>
      <c r="R46" s="68">
        <f t="shared" si="11"/>
        <v>0</v>
      </c>
      <c r="S46" s="32">
        <f t="shared" si="11"/>
        <v>0</v>
      </c>
      <c r="T46" s="92"/>
      <c r="U46" s="114">
        <f>+GETPIVOTDATA(" Tot # Ast. Prof New",'Counts Pivot Table'!$A$3,"State","GA","Category",1,"Category2","Four-Year")</f>
        <v>725</v>
      </c>
      <c r="V46" s="115">
        <f>+GETPIVOTDATA(" Tot # Ast. Prof New",'Counts Pivot Table'!$A$3,"State","GA","Category",2,"Category2","Four-Year")</f>
        <v>242</v>
      </c>
      <c r="W46" s="115">
        <f>+GETPIVOTDATA(" Tot # Ast. Prof New",'Counts Pivot Table'!$A$3,"State","GA","Category",3,"Category2","Four-Year")</f>
        <v>543</v>
      </c>
      <c r="X46" s="115">
        <f>+GETPIVOTDATA(" Tot # Ast. Prof New",'Counts Pivot Table'!$A$3,"State","GA","Category",4,"Category2","Four-Year")</f>
        <v>640</v>
      </c>
      <c r="Y46" s="115">
        <f>+GETPIVOTDATA(" Tot # Ast. Prof New",'Counts Pivot Table'!$A$3,"State","GA","Category",5,"Category2","Four-Year")</f>
        <v>329</v>
      </c>
      <c r="Z46" s="115">
        <f>+GETPIVOTDATA(" Tot # Ast. Prof New",'Counts Pivot Table'!$A$3,"State","GA","Category",6,"Category2","Four-Year")</f>
        <v>204</v>
      </c>
      <c r="AA46" s="117">
        <f>+GETPIVOTDATA(" Tot # Ast. Prof New",'Counts Pivot Table'!$A$3,"State","GA","Category2","Four-Year")</f>
        <v>2683</v>
      </c>
      <c r="AB46" s="114">
        <f>+GETPIVOTDATA(" Tot # Ast. Prof New",'Counts Pivot Table'!$A$3,"State","GA","Category",7,"Category2","Two-Year")</f>
        <v>52</v>
      </c>
      <c r="AC46" s="115">
        <f>+GETPIVOTDATA(" Tot # Ast. Prof New",'Counts Pivot Table'!$A$3,"State","GA","Category",8,"Category2","Two-Year")</f>
        <v>109</v>
      </c>
      <c r="AD46" s="115">
        <f>+GETPIVOTDATA(" Tot # Ast. Prof New",'Counts Pivot Table'!$A$3,"State","GA","Category",9,"Category2","Two-Year")</f>
        <v>329</v>
      </c>
      <c r="AE46" s="115">
        <f>+GETPIVOTDATA(" Tot # Ast. Prof New",'Counts Pivot Table'!$A$3,"State","GA","Category",10,"Category2","Two-Year")</f>
        <v>56</v>
      </c>
      <c r="AF46" s="116">
        <f>+GETPIVOTDATA(" Tot # Ast. Prof New",'Counts Pivot Table'!$A$3,"State","GA","Category",11,"Category2","Two-Year")</f>
        <v>0</v>
      </c>
      <c r="AG46" s="116">
        <f>+GETPIVOTDATA(" Tot # Ast. Prof New",'Counts Pivot Table'!$A$3,"State","GA","Category2","Two-Year")</f>
        <v>546</v>
      </c>
      <c r="AH46" s="114">
        <f>+GETPIVOTDATA(" Tot # Ast. Prof New",'Counts Pivot Table'!$A$3,"State","GA","Category",12,"Category2","Technical Institutes")</f>
        <v>0</v>
      </c>
      <c r="AI46" s="115">
        <f>+GETPIVOTDATA(" Tot # Ast. Prof New",'Counts Pivot Table'!$A$3,"State","GA","Category",13,"Category2","Technical Institutes")</f>
        <v>0</v>
      </c>
      <c r="AJ46" s="116">
        <f>+GETPIVOTDATA(" Tot # Ast. Prof New",'Counts Pivot Table'!$A$3,"State","GA","Category",14,"Category2","Technical Institutes")</f>
        <v>0</v>
      </c>
      <c r="AK46" s="114">
        <f>+GETPIVOTDATA(" Tot # Ast. Prof New",'Counts Pivot Table'!$A$3,"State","GA","Category2","Technical Institutes")</f>
        <v>0</v>
      </c>
    </row>
    <row r="47" spans="1:39">
      <c r="A47" s="30"/>
      <c r="B47" s="38" t="s">
        <v>438</v>
      </c>
      <c r="C47" s="32">
        <f t="shared" si="10"/>
        <v>4.0183292210081073E-2</v>
      </c>
      <c r="D47" s="34">
        <f t="shared" si="10"/>
        <v>1.5167930660888408E-2</v>
      </c>
      <c r="E47" s="34">
        <f t="shared" si="10"/>
        <v>0.15447667087011349</v>
      </c>
      <c r="F47" s="34">
        <f t="shared" si="10"/>
        <v>5.372168284789644E-2</v>
      </c>
      <c r="G47" s="34">
        <f t="shared" si="10"/>
        <v>0.11392405063291139</v>
      </c>
      <c r="H47" s="68">
        <f t="shared" si="10"/>
        <v>6.5445026178010471E-2</v>
      </c>
      <c r="I47" s="32">
        <f t="shared" si="10"/>
        <v>7.0817313654967129E-2</v>
      </c>
      <c r="J47" s="32">
        <f t="shared" si="10"/>
        <v>0.14285714285714285</v>
      </c>
      <c r="K47" s="34">
        <f t="shared" si="10"/>
        <v>0.39374999999999999</v>
      </c>
      <c r="L47" s="34">
        <f t="shared" si="10"/>
        <v>0.23321123321123322</v>
      </c>
      <c r="M47" s="34">
        <f t="shared" si="11"/>
        <v>0.29696969696969699</v>
      </c>
      <c r="N47" s="68">
        <f t="shared" si="11"/>
        <v>0</v>
      </c>
      <c r="O47" s="32">
        <f t="shared" si="11"/>
        <v>0.27992518703241898</v>
      </c>
      <c r="P47" s="32">
        <f t="shared" si="11"/>
        <v>0</v>
      </c>
      <c r="Q47" s="34">
        <f t="shared" si="11"/>
        <v>0</v>
      </c>
      <c r="R47" s="68">
        <f t="shared" si="11"/>
        <v>0</v>
      </c>
      <c r="S47" s="32">
        <f t="shared" si="11"/>
        <v>0</v>
      </c>
      <c r="T47" s="92"/>
      <c r="U47" s="114">
        <f>+GETPIVOTDATA(" Tot # Instr. New",'Counts Pivot Table'!$A$3,"State","GA","Category",1,"Category2","Four-Year")</f>
        <v>114</v>
      </c>
      <c r="V47" s="115">
        <f>+GETPIVOTDATA(" Tot # Instr. New",'Counts Pivot Table'!$A$3,"State","GA","Category",2,"Category2","Four-Year")</f>
        <v>14</v>
      </c>
      <c r="W47" s="115">
        <f>+GETPIVOTDATA(" Tot # Instr. New",'Counts Pivot Table'!$A$3,"State","GA","Category",3,"Category2","Four-Year")</f>
        <v>245</v>
      </c>
      <c r="X47" s="115">
        <f>+GETPIVOTDATA(" Tot # Instr. New",'Counts Pivot Table'!$A$3,"State","GA","Category",4,"Category2","Four-Year")</f>
        <v>83</v>
      </c>
      <c r="Y47" s="115">
        <f>+GETPIVOTDATA(" Tot # Instr. New",'Counts Pivot Table'!$A$3,"State","GA","Category",5,"Category2","Four-Year")</f>
        <v>90</v>
      </c>
      <c r="Z47" s="115">
        <f>+GETPIVOTDATA(" Tot # Instr. New",'Counts Pivot Table'!$A$3,"State","GA","Category",6,"Category2","Four-Year")</f>
        <v>25</v>
      </c>
      <c r="AA47" s="117">
        <f>+GETPIVOTDATA(" Tot # Instr. New",'Counts Pivot Table'!$A$3,"State","GA","Category2","Four-Year")</f>
        <v>571</v>
      </c>
      <c r="AB47" s="114">
        <f>+GETPIVOTDATA(" Tot # Instr. New",'Counts Pivot Table'!$A$3,"State","GA","Category",7,"Category2","Two-Year")</f>
        <v>20</v>
      </c>
      <c r="AC47" s="115">
        <f>+GETPIVOTDATA(" Tot # Instr. New",'Counts Pivot Table'!$A$3,"State","GA","Category",8,"Category2","Two-Year")</f>
        <v>189</v>
      </c>
      <c r="AD47" s="115">
        <f>+GETPIVOTDATA(" Tot # Instr. New",'Counts Pivot Table'!$A$3,"State","GA","Category",9,"Category2","Two-Year")</f>
        <v>191</v>
      </c>
      <c r="AE47" s="115">
        <f>+GETPIVOTDATA(" Tot # Instr. New",'Counts Pivot Table'!$A$3,"State","GA","Category",10,"Category2","Two-Year")</f>
        <v>49</v>
      </c>
      <c r="AF47" s="116">
        <f>+GETPIVOTDATA(" Tot # Instr. New",'Counts Pivot Table'!$A$3,"State","GA","Category",11,"Category2","Two-Year")</f>
        <v>0</v>
      </c>
      <c r="AG47" s="116">
        <f>+GETPIVOTDATA(" Tot # Instr. New",'Counts Pivot Table'!$A$3,"State","GA","Category2","Two-Year")</f>
        <v>449</v>
      </c>
      <c r="AH47" s="114">
        <f>+GETPIVOTDATA(" Tot # Instr. New",'Counts Pivot Table'!$A$3,"State","GA","Category",12,"Category2","Technical Institutes")</f>
        <v>0</v>
      </c>
      <c r="AI47" s="115">
        <f>+GETPIVOTDATA(" Tot # Instr. New",'Counts Pivot Table'!$A$3,"State","GA","Category",13,"Category2","Technical Institutes")</f>
        <v>0</v>
      </c>
      <c r="AJ47" s="116">
        <f>+GETPIVOTDATA(" Tot # Instr. New",'Counts Pivot Table'!$A$3,"State","GA","Category",14,"Category2","Technical Institutes")</f>
        <v>0</v>
      </c>
      <c r="AK47" s="114">
        <f>+GETPIVOTDATA(" Tot # Instr. New",'Counts Pivot Table'!$A$3,"State","GA","Category2","Technical Institutes")</f>
        <v>0</v>
      </c>
    </row>
    <row r="48" spans="1:39">
      <c r="A48" s="30"/>
      <c r="B48" s="38" t="s">
        <v>414</v>
      </c>
      <c r="C48" s="32">
        <f t="shared" si="10"/>
        <v>7.7546704265068739E-2</v>
      </c>
      <c r="D48" s="34">
        <f t="shared" si="10"/>
        <v>9.7508125677139759E-3</v>
      </c>
      <c r="E48" s="264">
        <f t="shared" si="10"/>
        <v>3.4047919293820936E-2</v>
      </c>
      <c r="F48" s="34">
        <f t="shared" si="10"/>
        <v>6.1488673139158574E-2</v>
      </c>
      <c r="G48" s="34">
        <f t="shared" si="10"/>
        <v>2.4050632911392405E-2</v>
      </c>
      <c r="H48" s="124">
        <f t="shared" si="10"/>
        <v>1.5706806282722512E-2</v>
      </c>
      <c r="I48" s="32">
        <f t="shared" si="10"/>
        <v>4.9981396502542477E-2</v>
      </c>
      <c r="J48" s="32">
        <f t="shared" si="10"/>
        <v>0</v>
      </c>
      <c r="K48" s="34">
        <f t="shared" si="10"/>
        <v>0</v>
      </c>
      <c r="L48" s="34">
        <f t="shared" si="10"/>
        <v>0</v>
      </c>
      <c r="M48" s="34">
        <f t="shared" si="11"/>
        <v>0</v>
      </c>
      <c r="N48" s="124">
        <f t="shared" si="11"/>
        <v>0</v>
      </c>
      <c r="O48" s="32">
        <f t="shared" si="11"/>
        <v>0</v>
      </c>
      <c r="P48" s="32">
        <f t="shared" si="11"/>
        <v>0</v>
      </c>
      <c r="Q48" s="34">
        <f t="shared" si="11"/>
        <v>0</v>
      </c>
      <c r="R48" s="68">
        <f t="shared" si="11"/>
        <v>0</v>
      </c>
      <c r="S48" s="32">
        <f t="shared" si="11"/>
        <v>0</v>
      </c>
      <c r="T48" s="92"/>
      <c r="U48" s="114">
        <f>++GETPIVOTDATA(" Tot # Undes. New",'Counts Pivot Table'!$A$3,"State","GA","Category",1,"Category2","Four-Year")</f>
        <v>220</v>
      </c>
      <c r="V48" s="115">
        <f>+GETPIVOTDATA(" Tot # Undes. New",'Counts Pivot Table'!$A$3,"State","GA","Category",2,"Category2","Four-Year")</f>
        <v>9</v>
      </c>
      <c r="W48" s="115">
        <f>+GETPIVOTDATA(" Tot # Undes. New",'Counts Pivot Table'!$A$3,"State","GA","Category",3,"Category2","Four-Year")</f>
        <v>54</v>
      </c>
      <c r="X48" s="115">
        <f>+GETPIVOTDATA(" Tot # Undes. New",'Counts Pivot Table'!$A$3,"State","GA","Category",4,"Category2","Four-Year")</f>
        <v>95</v>
      </c>
      <c r="Y48" s="115">
        <f>+GETPIVOTDATA(" Tot # Undes. New",'Counts Pivot Table'!$A$3,"State","GA","Category",5,"Category2","Four-Year")</f>
        <v>19</v>
      </c>
      <c r="Z48" s="115">
        <f>+GETPIVOTDATA(" Tot # Undes. New",'Counts Pivot Table'!$A$3,"State","GA","Category",6,"Category2","Four-Year")</f>
        <v>6</v>
      </c>
      <c r="AA48" s="117">
        <f>+GETPIVOTDATA(" Tot # Undes. New",'Counts Pivot Table'!$A$3,"State","GA","Category2","Four-Year")</f>
        <v>403</v>
      </c>
      <c r="AB48" s="114">
        <f>+GETPIVOTDATA(" Tot # Undes. New",'Counts Pivot Table'!$A$3,"State","GA","Category",7,"Category2","Two-Year")</f>
        <v>0</v>
      </c>
      <c r="AC48" s="115">
        <f>+GETPIVOTDATA(" Tot # Undes. New",'Counts Pivot Table'!$A$3,"State","GA","Category",8,"Category2","Two-Year")</f>
        <v>0</v>
      </c>
      <c r="AD48" s="115">
        <f>+GETPIVOTDATA(" Tot # Undes. New",'Counts Pivot Table'!$A$3,"State","GA","Category",9,"Category2","Two-Year")</f>
        <v>0</v>
      </c>
      <c r="AE48" s="115">
        <f>+GETPIVOTDATA(" Tot # Undes. New",'Counts Pivot Table'!$A$3,"State","GA","Category",10,"Category2","Two-Year")</f>
        <v>0</v>
      </c>
      <c r="AF48" s="116">
        <f>+GETPIVOTDATA(" Tot # Undes. New",'Counts Pivot Table'!$A$3,"State","GA","Category",11,"Category2","Two-Year")</f>
        <v>0</v>
      </c>
      <c r="AG48" s="116">
        <f>+GETPIVOTDATA(" Tot # Undes. New",'Counts Pivot Table'!$A$3,"State","GA","Category2","Two-Year")</f>
        <v>0</v>
      </c>
      <c r="AH48" s="114">
        <f>+GETPIVOTDATA(" Tot # Undes. New",'Counts Pivot Table'!$A$3,"State","GA","Category",12,"Category2","Technical Institutes")</f>
        <v>0</v>
      </c>
      <c r="AI48" s="115">
        <f>+GETPIVOTDATA(" Tot # Undes. New",'Counts Pivot Table'!$A$3,"State","GA","Category",13,"Category2","Technical Institutes")</f>
        <v>0</v>
      </c>
      <c r="AJ48" s="116">
        <f>+GETPIVOTDATA(" Tot # Undes. New",'Counts Pivot Table'!$A$3,"State","GA","Category",14,"Category2","Technical Institutes")</f>
        <v>0</v>
      </c>
      <c r="AK48" s="114">
        <f>+GETPIVOTDATA(" Tot # Undes. New",'Counts Pivot Table'!$A$3,"State","GA","Category2","Technical Institutes")</f>
        <v>0</v>
      </c>
    </row>
    <row r="49" spans="1:39">
      <c r="A49" s="30"/>
      <c r="B49" s="38" t="s">
        <v>413</v>
      </c>
      <c r="C49" s="32">
        <f t="shared" si="10"/>
        <v>0</v>
      </c>
      <c r="D49" s="34">
        <f t="shared" si="10"/>
        <v>0</v>
      </c>
      <c r="E49" s="199">
        <f t="shared" si="10"/>
        <v>0</v>
      </c>
      <c r="F49" s="34">
        <f t="shared" si="10"/>
        <v>0</v>
      </c>
      <c r="G49" s="199">
        <f t="shared" si="10"/>
        <v>0</v>
      </c>
      <c r="H49" s="68">
        <f t="shared" si="10"/>
        <v>0</v>
      </c>
      <c r="I49" s="198">
        <f t="shared" si="10"/>
        <v>0</v>
      </c>
      <c r="J49" s="32">
        <f t="shared" si="10"/>
        <v>0</v>
      </c>
      <c r="K49" s="34">
        <f t="shared" si="10"/>
        <v>0</v>
      </c>
      <c r="L49" s="34">
        <f t="shared" si="10"/>
        <v>0</v>
      </c>
      <c r="M49" s="34">
        <f t="shared" si="11"/>
        <v>0</v>
      </c>
      <c r="N49" s="68">
        <f t="shared" si="11"/>
        <v>0</v>
      </c>
      <c r="O49" s="32">
        <f t="shared" si="11"/>
        <v>0</v>
      </c>
      <c r="P49" s="32">
        <f t="shared" si="11"/>
        <v>1</v>
      </c>
      <c r="Q49" s="34">
        <f t="shared" si="11"/>
        <v>1</v>
      </c>
      <c r="R49" s="68">
        <f t="shared" si="11"/>
        <v>0</v>
      </c>
      <c r="S49" s="32">
        <f t="shared" si="11"/>
        <v>1</v>
      </c>
      <c r="T49" s="92"/>
      <c r="U49" s="114">
        <f>+GETPIVOTDATA(" Tot # Single Rnk New",'Counts Pivot Table'!$A$3,"State","GA","Category",1,"Category2","Four-Year")</f>
        <v>0</v>
      </c>
      <c r="V49" s="115">
        <f>+GETPIVOTDATA(" Tot # Single Rnk New",'Counts Pivot Table'!$A$3,"State","GA","Category",2,"Category2","Four-Year")</f>
        <v>0</v>
      </c>
      <c r="W49" s="115">
        <f>+GETPIVOTDATA(" Tot # Single Rnk New",'Counts Pivot Table'!$A$3,"State","GA","Category",3,"Category2","Four-Year")</f>
        <v>0</v>
      </c>
      <c r="X49" s="115">
        <f>+GETPIVOTDATA(" Tot # Single Rnk New",'Counts Pivot Table'!$A$3,"State","GA","Category",4,"Category2","Four-Year")</f>
        <v>0</v>
      </c>
      <c r="Y49" s="115">
        <f>+GETPIVOTDATA(" Tot # Single Rnk New",'Counts Pivot Table'!$A$3,"State","GA","Category",5,"Category2","Four-Year")</f>
        <v>0</v>
      </c>
      <c r="Z49" s="115">
        <f>+GETPIVOTDATA(" Tot # Single Rnk New",'Counts Pivot Table'!$A$3,"State","GA","Category",6,"Category2","Four-Year")</f>
        <v>0</v>
      </c>
      <c r="AA49" s="117">
        <f>+GETPIVOTDATA(" Tot # Single Rnk New",'Counts Pivot Table'!$A$3,"State","GA","Category2","Four-Year")</f>
        <v>0</v>
      </c>
      <c r="AB49" s="114">
        <f>+GETPIVOTDATA(" Tot # Single Rnk New",'Counts Pivot Table'!$A$3,"State","GA","Category",7,"Category2","Two-Year")</f>
        <v>0</v>
      </c>
      <c r="AC49" s="115">
        <f>+GETPIVOTDATA(" Tot # Single Rnk New",'Counts Pivot Table'!$A$3,"State","GA","Category",8,"Category2","Two-Year")</f>
        <v>0</v>
      </c>
      <c r="AD49" s="115">
        <f>+GETPIVOTDATA(" Tot # Single Rnk New",'Counts Pivot Table'!$A$3,"State","GA","Category",9,"Category2","Two-Year")</f>
        <v>0</v>
      </c>
      <c r="AE49" s="115">
        <f>+GETPIVOTDATA(" Tot # Single Rnk New",'Counts Pivot Table'!$A$3,"State","GA","Category",10,"Category2","Two-Year")</f>
        <v>0</v>
      </c>
      <c r="AF49" s="116">
        <f>+GETPIVOTDATA(" Tot # Single Rnk New",'Counts Pivot Table'!$A$3,"State","GA","Category",11,"Category2","Two-Year")</f>
        <v>0</v>
      </c>
      <c r="AG49" s="116">
        <f>+GETPIVOTDATA(" Tot # Single Rnk New",'Counts Pivot Table'!$A$3,"State","GA","Category2","Two-Year")</f>
        <v>0</v>
      </c>
      <c r="AH49" s="114">
        <f>+GETPIVOTDATA(" Tot # Single Rnk New",'Counts Pivot Table'!$A$3,"State","GA","Category",12,"Category2","Technical Institutes")</f>
        <v>2017</v>
      </c>
      <c r="AI49" s="115">
        <f>+GETPIVOTDATA(" Tot # Single Rnk New",'Counts Pivot Table'!$A$3,"State","GA","Category",13,"Category2","Technical Institutes")</f>
        <v>207</v>
      </c>
      <c r="AJ49" s="116">
        <f>+GETPIVOTDATA(" Tot # Single Rnk New",'Counts Pivot Table'!$A$3,"State","GA","Category",14,"Category2","Technical Institutes")</f>
        <v>0</v>
      </c>
      <c r="AK49" s="114">
        <f>+GETPIVOTDATA(" Tot # Single Rnk New",'Counts Pivot Table'!$A$3,"State","GA","Category2","Technical Institutes")</f>
        <v>2224</v>
      </c>
    </row>
    <row r="50" spans="1:39" s="54" customFormat="1">
      <c r="A50" s="207"/>
      <c r="B50" s="208" t="s">
        <v>415</v>
      </c>
      <c r="C50" s="33">
        <f t="shared" si="10"/>
        <v>1</v>
      </c>
      <c r="D50" s="31">
        <f t="shared" si="10"/>
        <v>1</v>
      </c>
      <c r="E50" s="31">
        <f t="shared" si="10"/>
        <v>1</v>
      </c>
      <c r="F50" s="31">
        <f t="shared" si="10"/>
        <v>1</v>
      </c>
      <c r="G50" s="31">
        <f t="shared" si="10"/>
        <v>1</v>
      </c>
      <c r="H50" s="69">
        <f t="shared" si="10"/>
        <v>1</v>
      </c>
      <c r="I50" s="33">
        <f t="shared" si="10"/>
        <v>1</v>
      </c>
      <c r="J50" s="33">
        <f t="shared" si="10"/>
        <v>1</v>
      </c>
      <c r="K50" s="31">
        <f t="shared" si="10"/>
        <v>1</v>
      </c>
      <c r="L50" s="31">
        <f t="shared" si="10"/>
        <v>1</v>
      </c>
      <c r="M50" s="31">
        <f t="shared" si="11"/>
        <v>1</v>
      </c>
      <c r="N50" s="69">
        <f t="shared" si="11"/>
        <v>0</v>
      </c>
      <c r="O50" s="33">
        <f t="shared" si="11"/>
        <v>1</v>
      </c>
      <c r="P50" s="33">
        <f t="shared" si="11"/>
        <v>1</v>
      </c>
      <c r="Q50" s="31">
        <f t="shared" si="11"/>
        <v>1</v>
      </c>
      <c r="R50" s="69">
        <f t="shared" si="11"/>
        <v>0</v>
      </c>
      <c r="S50" s="33">
        <f t="shared" si="11"/>
        <v>1</v>
      </c>
      <c r="T50" s="93"/>
      <c r="U50" s="118">
        <f>+GETPIVOTDATA(" All Ranks # New",'Counts Pivot Table'!$A$3,"State","GA","Category",1,"Category2","Four-Year")</f>
        <v>2837</v>
      </c>
      <c r="V50" s="119">
        <f>+GETPIVOTDATA(" All Ranks # New",'Counts Pivot Table'!$A$3,"State","GA","Category",2,"Category2","Four-Year")</f>
        <v>923</v>
      </c>
      <c r="W50" s="119">
        <f>+GETPIVOTDATA(" All Ranks # New",'Counts Pivot Table'!$A$3,"State","GA","Category",3,"Category2","Four-Year")</f>
        <v>1586</v>
      </c>
      <c r="X50" s="119">
        <f>+GETPIVOTDATA(" All Ranks # New",'Counts Pivot Table'!$A$3,"State","GA","Category",4,"Category2","Four-Year")</f>
        <v>1545</v>
      </c>
      <c r="Y50" s="119">
        <f>+GETPIVOTDATA(" All Ranks # New",'Counts Pivot Table'!$A$3,"State","GA","Category",5,"Category2","Four-Year")</f>
        <v>790</v>
      </c>
      <c r="Z50" s="119">
        <f>+GETPIVOTDATA(" All Ranks # New",'Counts Pivot Table'!$A$3,"State","GA","Category",6,"Category2","Four-Year")</f>
        <v>382</v>
      </c>
      <c r="AA50" s="121">
        <f>+GETPIVOTDATA(" All Ranks # New",'Counts Pivot Table'!$A$3,"State","GA","Category2","Four-Year")</f>
        <v>8063</v>
      </c>
      <c r="AB50" s="118">
        <f>+GETPIVOTDATA(" All Ranks # New",'Counts Pivot Table'!$A$3,"State","GA","Category",7,"Category2","Two-Year")</f>
        <v>140</v>
      </c>
      <c r="AC50" s="119">
        <f>+GETPIVOTDATA(" All Ranks # New",'Counts Pivot Table'!$A$3,"State","GA","Category",8,"Category2","Two-Year")</f>
        <v>480</v>
      </c>
      <c r="AD50" s="119">
        <f>+GETPIVOTDATA(" All Ranks # New",'Counts Pivot Table'!$A$3,"State","GA","Category",9,"Category2","Two-Year")</f>
        <v>819</v>
      </c>
      <c r="AE50" s="119">
        <f>+GETPIVOTDATA(" All Ranks # New",'Counts Pivot Table'!$A$3,"State","GA","Category",10,"Category2","Two-Year")</f>
        <v>165</v>
      </c>
      <c r="AF50" s="120">
        <f>+GETPIVOTDATA(" All Ranks # New",'Counts Pivot Table'!$A$3,"State","GA","Category",11,"Category2","Two-Year")</f>
        <v>0</v>
      </c>
      <c r="AG50" s="120">
        <f>+GETPIVOTDATA(" All Ranks # New",'Counts Pivot Table'!$A$3,"State","GA","Category2","Two-Year")</f>
        <v>1604</v>
      </c>
      <c r="AH50" s="118">
        <f>+GETPIVOTDATA(" All Ranks # New",'Counts Pivot Table'!$A$3,"State","GA","Category",12,"Category2","Technical Institutes")</f>
        <v>2017</v>
      </c>
      <c r="AI50" s="119">
        <f>+GETPIVOTDATA(" All Ranks # New",'Counts Pivot Table'!$A$3,"State","GA","Category",13,"Category2","Technical Institutes")</f>
        <v>207</v>
      </c>
      <c r="AJ50" s="120">
        <f>+GETPIVOTDATA(" All Ranks # New",'Counts Pivot Table'!$A$3,"State","GA","Category",14,"Category2","Technical Institutes")</f>
        <v>0</v>
      </c>
      <c r="AK50" s="118">
        <f>+GETPIVOTDATA(" All Ranks # New",'Counts Pivot Table'!$A$3,"State","GA","Category2","Technical Institutes")</f>
        <v>2224</v>
      </c>
      <c r="AL50" s="122"/>
      <c r="AM50" s="122"/>
    </row>
    <row r="51" spans="1:39">
      <c r="A51" s="38" t="s">
        <v>451</v>
      </c>
      <c r="B51" s="35" t="s">
        <v>435</v>
      </c>
      <c r="C51" s="36">
        <f t="shared" ref="C51:L57" si="12">IF(U$57&gt;0,(U51/U$57),0)</f>
        <v>0.34978642619838635</v>
      </c>
      <c r="D51" s="37">
        <f t="shared" si="12"/>
        <v>0</v>
      </c>
      <c r="E51" s="37">
        <f t="shared" si="12"/>
        <v>0.20947488584474885</v>
      </c>
      <c r="F51" s="37">
        <f t="shared" si="12"/>
        <v>0.16924778761061948</v>
      </c>
      <c r="G51" s="37">
        <f t="shared" si="12"/>
        <v>0.19083969465648856</v>
      </c>
      <c r="H51" s="67">
        <f t="shared" si="12"/>
        <v>0</v>
      </c>
      <c r="I51" s="36">
        <f t="shared" si="12"/>
        <v>0.26195341234164282</v>
      </c>
      <c r="J51" s="36">
        <f t="shared" si="12"/>
        <v>0</v>
      </c>
      <c r="K51" s="37">
        <f t="shared" si="12"/>
        <v>0.2691588785046729</v>
      </c>
      <c r="L51" s="37">
        <f t="shared" si="12"/>
        <v>0.35335335335335333</v>
      </c>
      <c r="M51" s="37">
        <f t="shared" ref="M51:S57" si="13">IF(AE$57&gt;0,(AE51/AE$57),0)</f>
        <v>0.40277777777777779</v>
      </c>
      <c r="N51" s="67">
        <f t="shared" si="13"/>
        <v>0</v>
      </c>
      <c r="O51" s="36">
        <f t="shared" si="13"/>
        <v>0.33371428571428574</v>
      </c>
      <c r="P51" s="36">
        <f t="shared" si="13"/>
        <v>5.9259259259259262E-2</v>
      </c>
      <c r="Q51" s="37">
        <f t="shared" si="13"/>
        <v>0</v>
      </c>
      <c r="R51" s="67">
        <f t="shared" si="13"/>
        <v>0</v>
      </c>
      <c r="S51" s="36">
        <f t="shared" si="13"/>
        <v>5.9259259259259262E-2</v>
      </c>
      <c r="T51" s="123"/>
      <c r="U51" s="110">
        <f>+GETPIVOTDATA(" Total # Prof New",'Counts Pivot Table'!$A$3,"State","KY","Category",1,"Category2","Four-Year")</f>
        <v>737</v>
      </c>
      <c r="V51" s="111">
        <f>+GETPIVOTDATA(" Total # Prof New",'Counts Pivot Table'!$A$3,"State","KY","Category",2,"Category2","Four-Year")</f>
        <v>0</v>
      </c>
      <c r="W51" s="111">
        <f>+GETPIVOTDATA(" Total # Prof New",'Counts Pivot Table'!$A$3,"State","KY","Category",3,"Category2","Four-Year")</f>
        <v>367</v>
      </c>
      <c r="X51" s="111">
        <f>+GETPIVOTDATA(" Total # Prof New",'Counts Pivot Table'!$A$3,"State","KY","Category",4,"Category2","Four-Year")</f>
        <v>153</v>
      </c>
      <c r="Y51" s="111">
        <f>+GETPIVOTDATA(" Total # Prof New",'Counts Pivot Table'!$A$3,"State","KY","Category",5,"Category2","Four-Year")</f>
        <v>25</v>
      </c>
      <c r="Z51" s="111">
        <f>+GETPIVOTDATA(" Total # Prof New",'Counts Pivot Table'!$A$3,"State","KY","Category",6,"Category2","Four-Year")</f>
        <v>0</v>
      </c>
      <c r="AA51" s="113">
        <f>+GETPIVOTDATA(" Total # Prof New",'Counts Pivot Table'!$A$3,"State","KY","Category2","Four-Year")</f>
        <v>1282</v>
      </c>
      <c r="AB51" s="110">
        <f>+GETPIVOTDATA(" Total # Prof New",'Counts Pivot Table'!$A$3,"State","KY","Category",7,"Category2","Two-Year")</f>
        <v>0</v>
      </c>
      <c r="AC51" s="111">
        <f>+GETPIVOTDATA(" Total # Prof New",'Counts Pivot Table'!$A$3,"State","KY","Category",8,"Category2","Two-Year")</f>
        <v>144</v>
      </c>
      <c r="AD51" s="111">
        <f>+GETPIVOTDATA(" Total # Prof New",'Counts Pivot Table'!$A$3,"State","KY","Category",9,"Category2","Two-Year")</f>
        <v>353</v>
      </c>
      <c r="AE51" s="111">
        <f>+GETPIVOTDATA(" Total # Prof New",'Counts Pivot Table'!$A$3,"State","KY","Category",10,"Category2","Two-Year")</f>
        <v>87</v>
      </c>
      <c r="AF51" s="112">
        <f>+GETPIVOTDATA(" Total # Prof New",'Counts Pivot Table'!$A$3,"State","KY","Category",11,"Category2","Two-Year")</f>
        <v>0</v>
      </c>
      <c r="AG51" s="112">
        <f>+GETPIVOTDATA(" Total # Prof New",'Counts Pivot Table'!$A$3,"State","KY","Category2","Two-Year")</f>
        <v>584</v>
      </c>
      <c r="AH51" s="110">
        <f>+GETPIVOTDATA(" Total # Prof New",'Counts Pivot Table'!$A$3,"State","KY","Category",12,"Category2","Technical Institutes")</f>
        <v>8</v>
      </c>
      <c r="AI51" s="111">
        <f>+GETPIVOTDATA(" Total # Prof New",'Counts Pivot Table'!$A$3,"State","KY","Category",13,"Category2","Technical Institutes")</f>
        <v>0</v>
      </c>
      <c r="AJ51" s="112">
        <f>+GETPIVOTDATA(" Total # Prof New",'Counts Pivot Table'!$A$3,"State","KY","Category",14,"Category2","Technical Institutes")</f>
        <v>0</v>
      </c>
      <c r="AK51" s="110">
        <f>+GETPIVOTDATA(" Total # Prof New",'Counts Pivot Table'!$A$3,"State","KY","Category2","Technical Institutes")</f>
        <v>8</v>
      </c>
    </row>
    <row r="52" spans="1:39">
      <c r="A52" s="30"/>
      <c r="B52" s="38" t="s">
        <v>436</v>
      </c>
      <c r="C52" s="32">
        <f t="shared" si="12"/>
        <v>0.30232558139534882</v>
      </c>
      <c r="D52" s="34">
        <f t="shared" si="12"/>
        <v>0</v>
      </c>
      <c r="E52" s="34">
        <f t="shared" si="12"/>
        <v>0.23515981735159816</v>
      </c>
      <c r="F52" s="34">
        <f t="shared" si="12"/>
        <v>0.2831858407079646</v>
      </c>
      <c r="G52" s="34">
        <f t="shared" si="12"/>
        <v>0.29007633587786258</v>
      </c>
      <c r="H52" s="68">
        <f t="shared" si="12"/>
        <v>0</v>
      </c>
      <c r="I52" s="32">
        <f t="shared" si="12"/>
        <v>0.27441765427053533</v>
      </c>
      <c r="J52" s="32">
        <f t="shared" si="12"/>
        <v>0</v>
      </c>
      <c r="K52" s="34">
        <f t="shared" si="12"/>
        <v>0.40186915887850466</v>
      </c>
      <c r="L52" s="34">
        <f t="shared" si="12"/>
        <v>0.29629629629629628</v>
      </c>
      <c r="M52" s="34">
        <f t="shared" si="13"/>
        <v>0.34259259259259262</v>
      </c>
      <c r="N52" s="68">
        <f t="shared" si="13"/>
        <v>0</v>
      </c>
      <c r="O52" s="32">
        <f t="shared" si="13"/>
        <v>0.3342857142857143</v>
      </c>
      <c r="P52" s="32">
        <f t="shared" si="13"/>
        <v>0.24444444444444444</v>
      </c>
      <c r="Q52" s="34">
        <f t="shared" si="13"/>
        <v>0</v>
      </c>
      <c r="R52" s="68">
        <f t="shared" si="13"/>
        <v>0</v>
      </c>
      <c r="S52" s="32">
        <f t="shared" si="13"/>
        <v>0.24444444444444444</v>
      </c>
      <c r="T52" s="92"/>
      <c r="U52" s="114">
        <f>+GETPIVOTDATA(" Tot # Asc. Prof New",'Counts Pivot Table'!$A$3,"State","KY","Category",1,"Category2","Four-Year")</f>
        <v>637</v>
      </c>
      <c r="V52" s="115">
        <f>+GETPIVOTDATA(" Tot # Asc. Prof New",'Counts Pivot Table'!$A$3,"State","KY","Category",2,"Category2","Four-Year")</f>
        <v>0</v>
      </c>
      <c r="W52" s="115">
        <f>+GETPIVOTDATA(" Tot # Asc. Prof New",'Counts Pivot Table'!$A$3,"State","KY","Category",3,"Category2","Four-Year")</f>
        <v>412</v>
      </c>
      <c r="X52" s="115">
        <f>+GETPIVOTDATA(" Tot # Asc. Prof New",'Counts Pivot Table'!$A$3,"State","KY","Category",4,"Category2","Four-Year")</f>
        <v>256</v>
      </c>
      <c r="Y52" s="115">
        <f>+GETPIVOTDATA(" Tot # Asc. Prof New",'Counts Pivot Table'!$A$3,"State","KY","Category",5,"Category2","Four-Year")</f>
        <v>38</v>
      </c>
      <c r="Z52" s="115">
        <f>+GETPIVOTDATA(" Tot # Asc. Prof New",'Counts Pivot Table'!$A$3,"State","KY","Category",6,"Category2","Four-Year")</f>
        <v>0</v>
      </c>
      <c r="AA52" s="117">
        <f>+GETPIVOTDATA(" Tot # Asc. Prof New",'Counts Pivot Table'!$A$3,"State","KY","Category2","Four-Year")</f>
        <v>1343</v>
      </c>
      <c r="AB52" s="114">
        <f>+GETPIVOTDATA(" Tot # Asc. Prof New",'Counts Pivot Table'!$A$3,"State","KY","Category",7,"Category2","Two-Year")</f>
        <v>0</v>
      </c>
      <c r="AC52" s="115">
        <f>+GETPIVOTDATA(" Tot # Asc. Prof New",'Counts Pivot Table'!$A$3,"State","KY","Category",8,"Category2","Two-Year")</f>
        <v>215</v>
      </c>
      <c r="AD52" s="115">
        <f>+GETPIVOTDATA(" Tot # Asc. Prof New",'Counts Pivot Table'!$A$3,"State","KY","Category",9,"Category2","Two-Year")</f>
        <v>296</v>
      </c>
      <c r="AE52" s="115">
        <f>+GETPIVOTDATA(" Tot # Asc. Prof New",'Counts Pivot Table'!$A$3,"State","KY","Category",10,"Category2","Two-Year")</f>
        <v>74</v>
      </c>
      <c r="AF52" s="116">
        <f>+GETPIVOTDATA(" Tot # Asc. Prof New",'Counts Pivot Table'!$A$3,"State","KY","Category",11,"Category2","Two-Year")</f>
        <v>0</v>
      </c>
      <c r="AG52" s="116">
        <f>+GETPIVOTDATA(" Tot # Asc. Prof New",'Counts Pivot Table'!$A$3,"State","KY","Category2","Two-Year")</f>
        <v>585</v>
      </c>
      <c r="AH52" s="114">
        <f>+GETPIVOTDATA(" Tot # Asc. Prof New",'Counts Pivot Table'!$A$3,"State","KY","Category",12,"Category2","Technical Institutes")</f>
        <v>33</v>
      </c>
      <c r="AI52" s="115">
        <f>+GETPIVOTDATA(" Tot # Asc. Prof New",'Counts Pivot Table'!$A$3,"State","KY","Category",13,"Category2","Technical Institutes")</f>
        <v>0</v>
      </c>
      <c r="AJ52" s="116">
        <f>+GETPIVOTDATA(" Tot # Asc. Prof New",'Counts Pivot Table'!$A$3,"State","KY","Category",14,"Category2","Technical Institutes")</f>
        <v>0</v>
      </c>
      <c r="AK52" s="114">
        <f>+GETPIVOTDATA(" Tot # Asc. Prof New",'Counts Pivot Table'!$A$3,"State","KY","Category2","Technical Institutes")</f>
        <v>33</v>
      </c>
    </row>
    <row r="53" spans="1:39">
      <c r="A53" s="30"/>
      <c r="B53" s="38" t="s">
        <v>437</v>
      </c>
      <c r="C53" s="32">
        <f t="shared" si="12"/>
        <v>0.25296630280018984</v>
      </c>
      <c r="D53" s="34">
        <f t="shared" si="12"/>
        <v>0</v>
      </c>
      <c r="E53" s="34">
        <f t="shared" si="12"/>
        <v>0.2910958904109589</v>
      </c>
      <c r="F53" s="34">
        <f t="shared" si="12"/>
        <v>0.27654867256637167</v>
      </c>
      <c r="G53" s="34">
        <f t="shared" si="12"/>
        <v>0.39694656488549618</v>
      </c>
      <c r="H53" s="68">
        <f t="shared" si="12"/>
        <v>0</v>
      </c>
      <c r="I53" s="32">
        <f t="shared" si="12"/>
        <v>0.27482631794033513</v>
      </c>
      <c r="J53" s="32">
        <f t="shared" si="12"/>
        <v>0</v>
      </c>
      <c r="K53" s="34">
        <f t="shared" si="12"/>
        <v>0.20747663551401868</v>
      </c>
      <c r="L53" s="34">
        <f t="shared" si="12"/>
        <v>0.16516516516516516</v>
      </c>
      <c r="M53" s="34">
        <f t="shared" si="13"/>
        <v>0.10185185185185185</v>
      </c>
      <c r="N53" s="68">
        <f t="shared" si="13"/>
        <v>0</v>
      </c>
      <c r="O53" s="32">
        <f t="shared" si="13"/>
        <v>0.17028571428571429</v>
      </c>
      <c r="P53" s="32">
        <f t="shared" si="13"/>
        <v>0.28888888888888886</v>
      </c>
      <c r="Q53" s="34">
        <f t="shared" si="13"/>
        <v>0</v>
      </c>
      <c r="R53" s="68">
        <f t="shared" si="13"/>
        <v>0</v>
      </c>
      <c r="S53" s="32">
        <f t="shared" si="13"/>
        <v>0.28888888888888886</v>
      </c>
      <c r="T53" s="92"/>
      <c r="U53" s="114">
        <f>+GETPIVOTDATA(" Tot # Ast. Prof New",'Counts Pivot Table'!$A$3,"State","KY","Category",1,"Category2","Four-Year")</f>
        <v>533</v>
      </c>
      <c r="V53" s="115">
        <f>+GETPIVOTDATA(" Tot # Ast. Prof New",'Counts Pivot Table'!$A$3,"State","KY","Category",2,"Category2","Four-Year")</f>
        <v>0</v>
      </c>
      <c r="W53" s="115">
        <f>+GETPIVOTDATA(" Tot # Ast. Prof New",'Counts Pivot Table'!$A$3,"State","KY","Category",3,"Category2","Four-Year")</f>
        <v>510</v>
      </c>
      <c r="X53" s="115">
        <f>+GETPIVOTDATA(" Tot # Ast. Prof New",'Counts Pivot Table'!$A$3,"State","KY","Category",4,"Category2","Four-Year")</f>
        <v>250</v>
      </c>
      <c r="Y53" s="115">
        <f>+GETPIVOTDATA(" Tot # Ast. Prof New",'Counts Pivot Table'!$A$3,"State","KY","Category",5,"Category2","Four-Year")</f>
        <v>52</v>
      </c>
      <c r="Z53" s="115">
        <f>+GETPIVOTDATA(" Tot # Ast. Prof New",'Counts Pivot Table'!$A$3,"State","KY","Category",6,"Category2","Four-Year")</f>
        <v>0</v>
      </c>
      <c r="AA53" s="117">
        <f>+GETPIVOTDATA(" Tot # Ast. Prof New",'Counts Pivot Table'!$A$3,"State","KY","Category2","Four-Year")</f>
        <v>1345</v>
      </c>
      <c r="AB53" s="114">
        <f>+GETPIVOTDATA(" Tot # Ast. Prof New",'Counts Pivot Table'!$A$3,"State","KY","Category",7,"Category2","Two-Year")</f>
        <v>0</v>
      </c>
      <c r="AC53" s="115">
        <f>+GETPIVOTDATA(" Tot # Ast. Prof New",'Counts Pivot Table'!$A$3,"State","KY","Category",8,"Category2","Two-Year")</f>
        <v>111</v>
      </c>
      <c r="AD53" s="115">
        <f>+GETPIVOTDATA(" Tot # Ast. Prof New",'Counts Pivot Table'!$A$3,"State","KY","Category",9,"Category2","Two-Year")</f>
        <v>165</v>
      </c>
      <c r="AE53" s="115">
        <f>+GETPIVOTDATA(" Tot # Ast. Prof New",'Counts Pivot Table'!$A$3,"State","KY","Category",10,"Category2","Two-Year")</f>
        <v>22</v>
      </c>
      <c r="AF53" s="116">
        <f>+GETPIVOTDATA(" Tot # Ast. Prof New",'Counts Pivot Table'!$A$3,"State","KY","Category",11,"Category2","Two-Year")</f>
        <v>0</v>
      </c>
      <c r="AG53" s="116">
        <f>+GETPIVOTDATA(" Tot # Ast. Prof New",'Counts Pivot Table'!$A$3,"State","KY","Category2","Two-Year")</f>
        <v>298</v>
      </c>
      <c r="AH53" s="114">
        <f>+GETPIVOTDATA(" Tot # Ast. Prof New",'Counts Pivot Table'!$A$3,"State","KY","Category",12,"Category2","Technical Institutes")</f>
        <v>39</v>
      </c>
      <c r="AI53" s="115">
        <f>+GETPIVOTDATA(" Tot # Ast. Prof New",'Counts Pivot Table'!$A$3,"State","KY","Category",13,"Category2","Technical Institutes")</f>
        <v>0</v>
      </c>
      <c r="AJ53" s="116">
        <f>+GETPIVOTDATA(" Tot # Ast. Prof New",'Counts Pivot Table'!$A$3,"State","KY","Category",14,"Category2","Technical Institutes")</f>
        <v>0</v>
      </c>
      <c r="AK53" s="114">
        <f>+GETPIVOTDATA(" Tot # Ast. Prof New",'Counts Pivot Table'!$A$3,"State","KY","Category2","Technical Institutes")</f>
        <v>39</v>
      </c>
    </row>
    <row r="54" spans="1:39">
      <c r="A54" s="30"/>
      <c r="B54" s="38" t="s">
        <v>438</v>
      </c>
      <c r="C54" s="265">
        <f t="shared" si="12"/>
        <v>4.4138585666824867E-2</v>
      </c>
      <c r="D54" s="34">
        <f t="shared" si="12"/>
        <v>0</v>
      </c>
      <c r="E54" s="34">
        <f t="shared" si="12"/>
        <v>0.11757990867579908</v>
      </c>
      <c r="F54" s="34">
        <f t="shared" si="12"/>
        <v>7.9646017699115043E-2</v>
      </c>
      <c r="G54" s="34">
        <f t="shared" si="12"/>
        <v>0.12213740458015267</v>
      </c>
      <c r="H54" s="68">
        <f t="shared" si="12"/>
        <v>0</v>
      </c>
      <c r="I54" s="32">
        <f t="shared" si="12"/>
        <v>7.9076420106252557E-2</v>
      </c>
      <c r="J54" s="32">
        <f t="shared" si="12"/>
        <v>0</v>
      </c>
      <c r="K54" s="34">
        <f t="shared" si="12"/>
        <v>0.12149532710280374</v>
      </c>
      <c r="L54" s="34">
        <f t="shared" si="12"/>
        <v>0.18518518518518517</v>
      </c>
      <c r="M54" s="34">
        <f t="shared" si="13"/>
        <v>0.15277777777777779</v>
      </c>
      <c r="N54" s="68">
        <f t="shared" si="13"/>
        <v>0</v>
      </c>
      <c r="O54" s="32">
        <f t="shared" si="13"/>
        <v>0.16171428571428573</v>
      </c>
      <c r="P54" s="32">
        <f t="shared" si="13"/>
        <v>0.40740740740740738</v>
      </c>
      <c r="Q54" s="34">
        <f t="shared" si="13"/>
        <v>0</v>
      </c>
      <c r="R54" s="68">
        <f t="shared" si="13"/>
        <v>0</v>
      </c>
      <c r="S54" s="32">
        <f t="shared" si="13"/>
        <v>0.40740740740740738</v>
      </c>
      <c r="T54" s="92"/>
      <c r="U54" s="114">
        <f>+GETPIVOTDATA(" Tot # Instr. New",'Counts Pivot Table'!$A$3,"State","KY","Category",1,"Category2","Four-Year")</f>
        <v>93</v>
      </c>
      <c r="V54" s="115">
        <f>+GETPIVOTDATA(" Tot # Instr. New",'Counts Pivot Table'!$A$3,"State","KY","Category",2,"Category2","Four-Year")</f>
        <v>0</v>
      </c>
      <c r="W54" s="115">
        <f>+GETPIVOTDATA(" Tot # Instr. New",'Counts Pivot Table'!$A$3,"State","KY","Category",3,"Category2","Four-Year")</f>
        <v>206</v>
      </c>
      <c r="X54" s="115">
        <f>+GETPIVOTDATA(" Tot # Instr. New",'Counts Pivot Table'!$A$3,"State","KY","Category",4,"Category2","Four-Year")</f>
        <v>72</v>
      </c>
      <c r="Y54" s="115">
        <f>+GETPIVOTDATA(" Tot # Instr. New",'Counts Pivot Table'!$A$3,"State","KY","Category",5,"Category2","Four-Year")</f>
        <v>16</v>
      </c>
      <c r="Z54" s="115">
        <f>+GETPIVOTDATA(" Tot # Instr. New",'Counts Pivot Table'!$A$3,"State","KY","Category",6,"Category2","Four-Year")</f>
        <v>0</v>
      </c>
      <c r="AA54" s="117">
        <f>+GETPIVOTDATA(" Tot # Instr. New",'Counts Pivot Table'!$A$3,"State","KY","Category2","Four-Year")</f>
        <v>387</v>
      </c>
      <c r="AB54" s="114">
        <f>+GETPIVOTDATA(" Tot # Instr. New",'Counts Pivot Table'!$A$3,"State","KY","Category",7,"Category2","Two-Year")</f>
        <v>0</v>
      </c>
      <c r="AC54" s="115">
        <f>+GETPIVOTDATA(" Tot # Instr. New",'Counts Pivot Table'!$A$3,"State","KY","Category",8,"Category2","Two-Year")</f>
        <v>65</v>
      </c>
      <c r="AD54" s="115">
        <f>+GETPIVOTDATA(" Tot # Instr. New",'Counts Pivot Table'!$A$3,"State","KY","Category",9,"Category2","Two-Year")</f>
        <v>185</v>
      </c>
      <c r="AE54" s="115">
        <f>+GETPIVOTDATA(" Tot # Instr. New",'Counts Pivot Table'!$A$3,"State","KY","Category",10,"Category2","Two-Year")</f>
        <v>33</v>
      </c>
      <c r="AF54" s="116">
        <f>+GETPIVOTDATA(" Tot # Instr. New",'Counts Pivot Table'!$A$3,"State","KY","Category",11,"Category2","Two-Year")</f>
        <v>0</v>
      </c>
      <c r="AG54" s="116">
        <f>+GETPIVOTDATA(" Tot # Instr. New",'Counts Pivot Table'!$A$3,"State","KY","Category2","Two-Year")</f>
        <v>283</v>
      </c>
      <c r="AH54" s="114">
        <f>+GETPIVOTDATA(" Tot # Instr. New",'Counts Pivot Table'!$A$3,"State","KY","Category",12,"Category2","Technical Institutes")</f>
        <v>55</v>
      </c>
      <c r="AI54" s="115">
        <f>+GETPIVOTDATA(" Tot # Instr. New",'Counts Pivot Table'!$A$3,"State","KY","Category",13,"Category2","Technical Institutes")</f>
        <v>0</v>
      </c>
      <c r="AJ54" s="116">
        <f>+GETPIVOTDATA(" Tot # Instr. New",'Counts Pivot Table'!$A$3,"State","KY","Category",14,"Category2","Technical Institutes")</f>
        <v>0</v>
      </c>
      <c r="AK54" s="114">
        <f>+GETPIVOTDATA(" Tot # Instr. New",'Counts Pivot Table'!$A$3,"State","KY","Category2","Technical Institutes")</f>
        <v>55</v>
      </c>
    </row>
    <row r="55" spans="1:39">
      <c r="A55" s="30"/>
      <c r="B55" s="38" t="s">
        <v>414</v>
      </c>
      <c r="C55" s="32">
        <f t="shared" si="12"/>
        <v>5.0783103939250118E-2</v>
      </c>
      <c r="D55" s="264">
        <f t="shared" si="12"/>
        <v>0</v>
      </c>
      <c r="E55" s="34">
        <f t="shared" si="12"/>
        <v>0.14668949771689499</v>
      </c>
      <c r="F55" s="34">
        <f t="shared" si="12"/>
        <v>0.1913716814159292</v>
      </c>
      <c r="G55" s="34">
        <f t="shared" si="12"/>
        <v>0</v>
      </c>
      <c r="H55" s="68">
        <f t="shared" si="12"/>
        <v>0</v>
      </c>
      <c r="I55" s="32">
        <f t="shared" si="12"/>
        <v>0.10972619534123416</v>
      </c>
      <c r="J55" s="32">
        <f t="shared" si="12"/>
        <v>0</v>
      </c>
      <c r="K55" s="34">
        <f t="shared" si="12"/>
        <v>0</v>
      </c>
      <c r="L55" s="34">
        <f t="shared" si="12"/>
        <v>0</v>
      </c>
      <c r="M55" s="34">
        <f t="shared" si="13"/>
        <v>0</v>
      </c>
      <c r="N55" s="124">
        <f t="shared" si="13"/>
        <v>0</v>
      </c>
      <c r="O55" s="32">
        <f t="shared" si="13"/>
        <v>0</v>
      </c>
      <c r="P55" s="32">
        <f t="shared" si="13"/>
        <v>0</v>
      </c>
      <c r="Q55" s="34">
        <f t="shared" si="13"/>
        <v>0</v>
      </c>
      <c r="R55" s="68">
        <f t="shared" si="13"/>
        <v>0</v>
      </c>
      <c r="S55" s="32">
        <f t="shared" si="13"/>
        <v>0</v>
      </c>
      <c r="T55" s="92"/>
      <c r="U55" s="114">
        <f>++GETPIVOTDATA(" Tot # Undes. New",'Counts Pivot Table'!$A$3,"State","KY","Category",1,"Category2","Four-Year")</f>
        <v>107</v>
      </c>
      <c r="V55" s="115">
        <f>+GETPIVOTDATA(" Tot # Undes. New",'Counts Pivot Table'!$A$3,"State","KY","Category",2,"Category2","Four-Year")</f>
        <v>0</v>
      </c>
      <c r="W55" s="115">
        <f>+GETPIVOTDATA(" Tot # Undes. New",'Counts Pivot Table'!$A$3,"State","KY","Category",3,"Category2","Four-Year")</f>
        <v>257</v>
      </c>
      <c r="X55" s="115">
        <f>+GETPIVOTDATA(" Tot # Undes. New",'Counts Pivot Table'!$A$3,"State","KY","Category",4,"Category2","Four-Year")</f>
        <v>173</v>
      </c>
      <c r="Y55" s="115">
        <f>+GETPIVOTDATA(" Tot # Undes. New",'Counts Pivot Table'!$A$3,"State","KY","Category",5,"Category2","Four-Year")</f>
        <v>0</v>
      </c>
      <c r="Z55" s="115">
        <f>+GETPIVOTDATA(" Tot # Undes. New",'Counts Pivot Table'!$A$3,"State","KY","Category",6,"Category2","Four-Year")</f>
        <v>0</v>
      </c>
      <c r="AA55" s="117">
        <f>+GETPIVOTDATA(" Tot # Undes. New",'Counts Pivot Table'!$A$3,"State","KY","Category2","Four-Year")</f>
        <v>537</v>
      </c>
      <c r="AB55" s="114">
        <f>+GETPIVOTDATA(" Tot # Undes. New",'Counts Pivot Table'!$A$3,"State","KY","Category",7,"Category2","Two-Year")</f>
        <v>0</v>
      </c>
      <c r="AC55" s="115">
        <f>+GETPIVOTDATA(" Tot # Undes. New",'Counts Pivot Table'!$A$3,"State","KY","Category",8,"Category2","Two-Year")</f>
        <v>0</v>
      </c>
      <c r="AD55" s="115">
        <f>+GETPIVOTDATA(" Tot # Undes. New",'Counts Pivot Table'!$A$3,"State","KY","Category",9,"Category2","Two-Year")</f>
        <v>0</v>
      </c>
      <c r="AE55" s="115">
        <f>+GETPIVOTDATA(" Tot # Undes. New",'Counts Pivot Table'!$A$3,"State","KY","Category",10,"Category2","Two-Year")</f>
        <v>0</v>
      </c>
      <c r="AF55" s="116">
        <f>+GETPIVOTDATA(" Tot # Undes. New",'Counts Pivot Table'!$A$3,"State","KY","Category",11,"Category2","Two-Year")</f>
        <v>0</v>
      </c>
      <c r="AG55" s="116">
        <f>+GETPIVOTDATA(" Tot # Undes. New",'Counts Pivot Table'!$A$3,"State","KY","Category2","Two-Year")</f>
        <v>0</v>
      </c>
      <c r="AH55" s="114">
        <f>+GETPIVOTDATA(" Tot # Undes. New",'Counts Pivot Table'!$A$3,"State","KY","Category",12,"Category2","Technical Institutes")</f>
        <v>0</v>
      </c>
      <c r="AI55" s="115">
        <f>+GETPIVOTDATA(" Tot # Undes. New",'Counts Pivot Table'!$A$3,"State","KY","Category",13,"Category2","Technical Institutes")</f>
        <v>0</v>
      </c>
      <c r="AJ55" s="116">
        <f>+GETPIVOTDATA(" Tot # Undes. New",'Counts Pivot Table'!$A$3,"State","KY","Category",14,"Category2","Technical Institutes")</f>
        <v>0</v>
      </c>
      <c r="AK55" s="114">
        <f>+GETPIVOTDATA(" Tot # Undes. New",'Counts Pivot Table'!$A$3,"State","KY","Category2","Technical Institutes")</f>
        <v>0</v>
      </c>
    </row>
    <row r="56" spans="1:39">
      <c r="A56" s="30"/>
      <c r="B56" s="38" t="s">
        <v>413</v>
      </c>
      <c r="C56" s="32">
        <f t="shared" si="12"/>
        <v>0</v>
      </c>
      <c r="D56" s="34">
        <f t="shared" si="12"/>
        <v>0</v>
      </c>
      <c r="E56" s="199">
        <f t="shared" si="12"/>
        <v>0</v>
      </c>
      <c r="F56" s="34">
        <f t="shared" si="12"/>
        <v>0</v>
      </c>
      <c r="G56" s="199">
        <f t="shared" si="12"/>
        <v>0</v>
      </c>
      <c r="H56" s="68">
        <f t="shared" si="12"/>
        <v>0</v>
      </c>
      <c r="I56" s="198">
        <f t="shared" si="12"/>
        <v>0</v>
      </c>
      <c r="J56" s="32">
        <f t="shared" si="12"/>
        <v>0</v>
      </c>
      <c r="K56" s="34">
        <f t="shared" si="12"/>
        <v>0</v>
      </c>
      <c r="L56" s="34">
        <f t="shared" si="12"/>
        <v>0</v>
      </c>
      <c r="M56" s="34">
        <f t="shared" si="13"/>
        <v>0</v>
      </c>
      <c r="N56" s="68">
        <f t="shared" si="13"/>
        <v>0</v>
      </c>
      <c r="O56" s="32">
        <f t="shared" si="13"/>
        <v>0</v>
      </c>
      <c r="P56" s="32">
        <f t="shared" si="13"/>
        <v>0</v>
      </c>
      <c r="Q56" s="34">
        <f t="shared" si="13"/>
        <v>0</v>
      </c>
      <c r="R56" s="68">
        <f t="shared" si="13"/>
        <v>0</v>
      </c>
      <c r="S56" s="32">
        <f t="shared" si="13"/>
        <v>0</v>
      </c>
      <c r="T56" s="92"/>
      <c r="U56" s="114">
        <f>+GETPIVOTDATA(" Tot # Single Rnk New",'Counts Pivot Table'!$A$3,"State","KY","Category",1,"Category2","Four-Year")</f>
        <v>0</v>
      </c>
      <c r="V56" s="115">
        <f>+GETPIVOTDATA(" Tot # Single Rnk New",'Counts Pivot Table'!$A$3,"State","KY","Category",2,"Category2","Four-Year")</f>
        <v>0</v>
      </c>
      <c r="W56" s="115">
        <f>+GETPIVOTDATA(" Tot # Single Rnk New",'Counts Pivot Table'!$A$3,"State","KY","Category",3,"Category2","Four-Year")</f>
        <v>0</v>
      </c>
      <c r="X56" s="115">
        <f>+GETPIVOTDATA(" Tot # Single Rnk New",'Counts Pivot Table'!$A$3,"State","KY","Category",4,"Category2","Four-Year")</f>
        <v>0</v>
      </c>
      <c r="Y56" s="115">
        <f>+GETPIVOTDATA(" Tot # Single Rnk New",'Counts Pivot Table'!$A$3,"State","KY","Category",5,"Category2","Four-Year")</f>
        <v>0</v>
      </c>
      <c r="Z56" s="115">
        <f>+GETPIVOTDATA(" Tot # Single Rnk New",'Counts Pivot Table'!$A$3,"State","KY","Category",6,"Category2","Four-Year")</f>
        <v>0</v>
      </c>
      <c r="AA56" s="117">
        <f>+GETPIVOTDATA(" Tot # Single Rnk New",'Counts Pivot Table'!$A$3,"State","KY","Category2","Four-Year")</f>
        <v>0</v>
      </c>
      <c r="AB56" s="114">
        <f>+GETPIVOTDATA(" Tot # Single Rnk New",'Counts Pivot Table'!$A$3,"State","KY","Category",7,"Category2","Two-Year")</f>
        <v>0</v>
      </c>
      <c r="AC56" s="115">
        <f>+GETPIVOTDATA(" Tot # Single Rnk New",'Counts Pivot Table'!$A$3,"State","KY","Category",8,"Category2","Two-Year")</f>
        <v>0</v>
      </c>
      <c r="AD56" s="115">
        <f>+GETPIVOTDATA(" Tot # Single Rnk New",'Counts Pivot Table'!$A$3,"State","KY","Category",9,"Category2","Two-Year")</f>
        <v>0</v>
      </c>
      <c r="AE56" s="115">
        <f>+GETPIVOTDATA(" Tot # Single Rnk New",'Counts Pivot Table'!$A$3,"State","KY","Category",10,"Category2","Two-Year")</f>
        <v>0</v>
      </c>
      <c r="AF56" s="116">
        <f>+GETPIVOTDATA(" Tot # Single Rnk New",'Counts Pivot Table'!$A$3,"State","KY","Category",11,"Category2","Two-Year")</f>
        <v>0</v>
      </c>
      <c r="AG56" s="116">
        <f>+GETPIVOTDATA(" Tot # Single Rnk New",'Counts Pivot Table'!$A$3,"State","KY","Category2","Two-Year")</f>
        <v>0</v>
      </c>
      <c r="AH56" s="114">
        <f>+GETPIVOTDATA(" Tot # Single Rnk New",'Counts Pivot Table'!$A$3,"State","KY","Category",12,"Category2","Technical Institutes")</f>
        <v>0</v>
      </c>
      <c r="AI56" s="115">
        <f>+GETPIVOTDATA(" Tot # Single Rnk New",'Counts Pivot Table'!$A$3,"State","KY","Category",13,"Category2","Technical Institutes")</f>
        <v>0</v>
      </c>
      <c r="AJ56" s="116">
        <f>+GETPIVOTDATA(" Tot # Single Rnk New",'Counts Pivot Table'!$A$3,"State","KY","Category",14,"Category2","Technical Institutes")</f>
        <v>0</v>
      </c>
      <c r="AK56" s="114">
        <f>+GETPIVOTDATA(" Tot # Single Rnk New",'Counts Pivot Table'!$A$3,"State","KY","Category2","Technical Institutes")</f>
        <v>0</v>
      </c>
    </row>
    <row r="57" spans="1:39" s="54" customFormat="1">
      <c r="A57" s="207"/>
      <c r="B57" s="208" t="s">
        <v>415</v>
      </c>
      <c r="C57" s="33">
        <f t="shared" si="12"/>
        <v>1</v>
      </c>
      <c r="D57" s="31">
        <f t="shared" si="12"/>
        <v>0</v>
      </c>
      <c r="E57" s="31">
        <f t="shared" si="12"/>
        <v>1</v>
      </c>
      <c r="F57" s="31">
        <f t="shared" si="12"/>
        <v>1</v>
      </c>
      <c r="G57" s="31">
        <f t="shared" si="12"/>
        <v>1</v>
      </c>
      <c r="H57" s="69">
        <f t="shared" si="12"/>
        <v>0</v>
      </c>
      <c r="I57" s="33">
        <f t="shared" si="12"/>
        <v>1</v>
      </c>
      <c r="J57" s="33">
        <f t="shared" si="12"/>
        <v>0</v>
      </c>
      <c r="K57" s="31">
        <f t="shared" si="12"/>
        <v>1</v>
      </c>
      <c r="L57" s="31">
        <f t="shared" si="12"/>
        <v>1</v>
      </c>
      <c r="M57" s="31">
        <f t="shared" si="13"/>
        <v>1</v>
      </c>
      <c r="N57" s="69">
        <f t="shared" si="13"/>
        <v>0</v>
      </c>
      <c r="O57" s="33">
        <f t="shared" si="13"/>
        <v>1</v>
      </c>
      <c r="P57" s="33">
        <f t="shared" si="13"/>
        <v>1</v>
      </c>
      <c r="Q57" s="31">
        <f t="shared" si="13"/>
        <v>0</v>
      </c>
      <c r="R57" s="69">
        <f t="shared" si="13"/>
        <v>0</v>
      </c>
      <c r="S57" s="33">
        <f t="shared" si="13"/>
        <v>1</v>
      </c>
      <c r="T57" s="93"/>
      <c r="U57" s="118">
        <f>+GETPIVOTDATA(" All Ranks # New",'Counts Pivot Table'!$A$3,"State","KY","Category",1,"Category2","Four-Year")</f>
        <v>2107</v>
      </c>
      <c r="V57" s="119">
        <f>+GETPIVOTDATA(" All Ranks # New",'Counts Pivot Table'!$A$3,"State","KY","Category",2,"Category2","Four-Year")</f>
        <v>0</v>
      </c>
      <c r="W57" s="119">
        <f>+GETPIVOTDATA(" All Ranks # New",'Counts Pivot Table'!$A$3,"State","KY","Category",3,"Category2","Four-Year")</f>
        <v>1752</v>
      </c>
      <c r="X57" s="119">
        <f>+GETPIVOTDATA(" All Ranks # New",'Counts Pivot Table'!$A$3,"State","KY","Category",4,"Category2","Four-Year")</f>
        <v>904</v>
      </c>
      <c r="Y57" s="119">
        <f>+GETPIVOTDATA(" All Ranks # New",'Counts Pivot Table'!$A$3,"State","KY","Category",5,"Category2","Four-Year")</f>
        <v>131</v>
      </c>
      <c r="Z57" s="119">
        <f>+GETPIVOTDATA(" All Ranks # New",'Counts Pivot Table'!$A$3,"State","KY","Category",6,"Category2","Four-Year")</f>
        <v>0</v>
      </c>
      <c r="AA57" s="121">
        <f>+GETPIVOTDATA(" All Ranks # New",'Counts Pivot Table'!$A$3,"State","KY","Category2","Four-Year")</f>
        <v>4894</v>
      </c>
      <c r="AB57" s="118">
        <f>+GETPIVOTDATA(" All Ranks # New",'Counts Pivot Table'!$A$3,"State","KY","Category",7,"Category2","Two-Year")</f>
        <v>0</v>
      </c>
      <c r="AC57" s="119">
        <f>+GETPIVOTDATA(" All Ranks # New",'Counts Pivot Table'!$A$3,"State","KY","Category",8,"Category2","Two-Year")</f>
        <v>535</v>
      </c>
      <c r="AD57" s="119">
        <f>+GETPIVOTDATA(" All Ranks # New",'Counts Pivot Table'!$A$3,"State","KY","Category",9,"Category2","Two-Year")</f>
        <v>999</v>
      </c>
      <c r="AE57" s="119">
        <f>+GETPIVOTDATA(" All Ranks # New",'Counts Pivot Table'!$A$3,"State","KY","Category",10,"Category2","Two-Year")</f>
        <v>216</v>
      </c>
      <c r="AF57" s="120">
        <f>+GETPIVOTDATA(" All Ranks # New",'Counts Pivot Table'!$A$3,"State","KY","Category",11,"Category2","Two-Year")</f>
        <v>0</v>
      </c>
      <c r="AG57" s="120">
        <f>+GETPIVOTDATA(" All Ranks # New",'Counts Pivot Table'!$A$3,"State","KY","Category2","Two-Year")</f>
        <v>1750</v>
      </c>
      <c r="AH57" s="118">
        <f>+GETPIVOTDATA(" All Ranks # New",'Counts Pivot Table'!$A$3,"State","KY","Category",12,"Category2","Technical Institutes")</f>
        <v>135</v>
      </c>
      <c r="AI57" s="119">
        <f>+GETPIVOTDATA(" All Ranks # New",'Counts Pivot Table'!$A$3,"State","KY","Category",13,"Category2","Technical Institutes")</f>
        <v>0</v>
      </c>
      <c r="AJ57" s="120">
        <f>+GETPIVOTDATA(" All Ranks # New",'Counts Pivot Table'!$A$3,"State","KY","Category",14,"Category2","Technical Institutes")</f>
        <v>0</v>
      </c>
      <c r="AK57" s="118">
        <f>+GETPIVOTDATA(" All Ranks # New",'Counts Pivot Table'!$A$3,"State","KY","Category2","Technical Institutes")</f>
        <v>135</v>
      </c>
      <c r="AL57" s="122"/>
      <c r="AM57" s="122"/>
    </row>
    <row r="58" spans="1:39">
      <c r="A58" s="38" t="s">
        <v>407</v>
      </c>
      <c r="B58" s="35" t="s">
        <v>435</v>
      </c>
      <c r="C58" s="36">
        <f t="shared" ref="C58:L64" si="14">IF(U$64&gt;0,(U58/U$64),0)</f>
        <v>0.33055344958301741</v>
      </c>
      <c r="D58" s="37">
        <f t="shared" si="14"/>
        <v>0.24258760107816713</v>
      </c>
      <c r="E58" s="37">
        <f t="shared" si="14"/>
        <v>0.19785714285714287</v>
      </c>
      <c r="F58" s="37">
        <f t="shared" si="14"/>
        <v>0.18745387453874537</v>
      </c>
      <c r="G58" s="37">
        <f t="shared" si="14"/>
        <v>0.13131313131313133</v>
      </c>
      <c r="H58" s="67">
        <f t="shared" si="14"/>
        <v>0</v>
      </c>
      <c r="I58" s="36">
        <f t="shared" si="14"/>
        <v>0.23687466855223616</v>
      </c>
      <c r="J58" s="36">
        <f t="shared" si="14"/>
        <v>0.2072072072072072</v>
      </c>
      <c r="K58" s="37">
        <f t="shared" si="14"/>
        <v>0.16176470588235295</v>
      </c>
      <c r="L58" s="37">
        <f t="shared" si="14"/>
        <v>9.5238095238095233E-2</v>
      </c>
      <c r="M58" s="37">
        <f t="shared" ref="M58:S64" si="15">IF(AE$64&gt;0,(AE58/AE$64),0)</f>
        <v>1.5151515151515152E-2</v>
      </c>
      <c r="N58" s="67">
        <f t="shared" si="15"/>
        <v>0</v>
      </c>
      <c r="O58" s="36">
        <f t="shared" si="15"/>
        <v>0.12090909090909091</v>
      </c>
      <c r="P58" s="164">
        <f t="shared" si="15"/>
        <v>0</v>
      </c>
      <c r="Q58" s="37">
        <f t="shared" si="15"/>
        <v>0</v>
      </c>
      <c r="R58" s="67">
        <f t="shared" si="15"/>
        <v>0</v>
      </c>
      <c r="S58" s="164">
        <f t="shared" si="15"/>
        <v>0</v>
      </c>
      <c r="T58" s="123"/>
      <c r="U58" s="110">
        <f>+GETPIVOTDATA(" Total # Prof New",'Counts Pivot Table'!$A$3,"State","LA","Category",1,"Category2","Four-Year")</f>
        <v>436</v>
      </c>
      <c r="V58" s="111">
        <f>+GETPIVOTDATA(" Total # Prof New",'Counts Pivot Table'!$A$3,"State","LA","Category",2,"Category2","Four-Year")</f>
        <v>360</v>
      </c>
      <c r="W58" s="111">
        <f>+GETPIVOTDATA(" Total # Prof New",'Counts Pivot Table'!$A$3,"State","LA","Category",3,"Category2","Four-Year")</f>
        <v>277</v>
      </c>
      <c r="X58" s="111">
        <f>+GETPIVOTDATA(" Total # Prof New",'Counts Pivot Table'!$A$3,"State","LA","Category",4,"Category2","Four-Year")</f>
        <v>254</v>
      </c>
      <c r="Y58" s="111">
        <f>+GETPIVOTDATA(" Total # Prof New",'Counts Pivot Table'!$A$3,"State","LA","Category",5,"Category2","Four-Year")</f>
        <v>13</v>
      </c>
      <c r="Z58" s="111">
        <f>+GETPIVOTDATA(" Total # Prof New",'Counts Pivot Table'!$A$3,"State","LA","Category",6,"Category2","Four-Year")</f>
        <v>0</v>
      </c>
      <c r="AA58" s="113">
        <f>+GETPIVOTDATA(" Total # Prof New",'Counts Pivot Table'!$A$3,"State","LA","Category2","Four-Year")</f>
        <v>1340</v>
      </c>
      <c r="AB58" s="110">
        <f>+GETPIVOTDATA(" Total # Prof New",'Counts Pivot Table'!$A$3,"State","LA","Category",7,"Category2","Two-Year")</f>
        <v>23</v>
      </c>
      <c r="AC58" s="111">
        <f>+GETPIVOTDATA(" Total # Prof New",'Counts Pivot Table'!$A$3,"State","LA","Category",8,"Category2","Two-Year")</f>
        <v>77</v>
      </c>
      <c r="AD58" s="111">
        <f>+GETPIVOTDATA(" Total # Prof New",'Counts Pivot Table'!$A$3,"State","LA","Category",9,"Category2","Two-Year")</f>
        <v>30</v>
      </c>
      <c r="AE58" s="111">
        <f>+GETPIVOTDATA(" Total # Prof New",'Counts Pivot Table'!$A$3,"State","LA","Category",10,"Category2","Two-Year")</f>
        <v>3</v>
      </c>
      <c r="AF58" s="112">
        <f>+GETPIVOTDATA(" Total # Prof New",'Counts Pivot Table'!$A$3,"State","LA","Category",11,"Category2","Two-Year")</f>
        <v>0</v>
      </c>
      <c r="AG58" s="112">
        <f>+GETPIVOTDATA(" Total # Prof New",'Counts Pivot Table'!$A$3,"State","LA","Category2","Two-Year")</f>
        <v>133</v>
      </c>
      <c r="AH58" s="110">
        <f>+GETPIVOTDATA(" Total # Prof New",'Counts Pivot Table'!$A$3,"State","LA","Category",12,"Category2","Technical Institutes")</f>
        <v>0</v>
      </c>
      <c r="AI58" s="111">
        <f>+GETPIVOTDATA(" Total # Prof New",'Counts Pivot Table'!$A$3,"State","LA","Category",13,"Category2","Technical Institutes")</f>
        <v>0</v>
      </c>
      <c r="AJ58" s="112">
        <f>+GETPIVOTDATA(" Total # Prof New",'Counts Pivot Table'!$A$3,"State","LA","Category",14,"Category2","Technical Institutes")</f>
        <v>0</v>
      </c>
      <c r="AK58" s="110">
        <f>+GETPIVOTDATA(" Total # Prof New",'Counts Pivot Table'!$A$3,"State","LA","Category2","Technical Institutes")</f>
        <v>0</v>
      </c>
    </row>
    <row r="59" spans="1:39">
      <c r="A59" s="30"/>
      <c r="B59" s="38" t="s">
        <v>436</v>
      </c>
      <c r="C59" s="32">
        <f t="shared" si="14"/>
        <v>0.21834723275208492</v>
      </c>
      <c r="D59" s="34">
        <f t="shared" si="14"/>
        <v>0.21428571428571427</v>
      </c>
      <c r="E59" s="34">
        <f t="shared" si="14"/>
        <v>0.19714285714285715</v>
      </c>
      <c r="F59" s="34">
        <f t="shared" si="14"/>
        <v>0.19926199261992619</v>
      </c>
      <c r="G59" s="34">
        <f t="shared" si="14"/>
        <v>0.29292929292929293</v>
      </c>
      <c r="H59" s="68">
        <f t="shared" si="14"/>
        <v>0</v>
      </c>
      <c r="I59" s="32">
        <f t="shared" si="14"/>
        <v>0.20876789817924696</v>
      </c>
      <c r="J59" s="32">
        <f t="shared" si="14"/>
        <v>0.22522522522522523</v>
      </c>
      <c r="K59" s="34">
        <f t="shared" si="14"/>
        <v>0.11134453781512606</v>
      </c>
      <c r="L59" s="34">
        <f t="shared" si="14"/>
        <v>0.27619047619047621</v>
      </c>
      <c r="M59" s="34">
        <f t="shared" si="15"/>
        <v>0.15151515151515152</v>
      </c>
      <c r="N59" s="68">
        <f t="shared" si="15"/>
        <v>0</v>
      </c>
      <c r="O59" s="32">
        <f t="shared" si="15"/>
        <v>0.17727272727272728</v>
      </c>
      <c r="P59" s="32">
        <f t="shared" si="15"/>
        <v>0</v>
      </c>
      <c r="Q59" s="34">
        <f t="shared" si="15"/>
        <v>0</v>
      </c>
      <c r="R59" s="68">
        <f t="shared" si="15"/>
        <v>0</v>
      </c>
      <c r="S59" s="32">
        <f t="shared" si="15"/>
        <v>0</v>
      </c>
      <c r="T59" s="92"/>
      <c r="U59" s="114">
        <f>+GETPIVOTDATA(" Tot # Asc. Prof New",'Counts Pivot Table'!$A$3,"State","LA","Category",1,"Category2","Four-Year")</f>
        <v>288</v>
      </c>
      <c r="V59" s="115">
        <f>+GETPIVOTDATA(" Tot # Asc. Prof New",'Counts Pivot Table'!$A$3,"State","LA","Category",2,"Category2","Four-Year")</f>
        <v>318</v>
      </c>
      <c r="W59" s="115">
        <f>+GETPIVOTDATA(" Tot # Asc. Prof New",'Counts Pivot Table'!$A$3,"State","LA","Category",3,"Category2","Four-Year")</f>
        <v>276</v>
      </c>
      <c r="X59" s="115">
        <f>+GETPIVOTDATA(" Tot # Asc. Prof New",'Counts Pivot Table'!$A$3,"State","LA","Category",4,"Category2","Four-Year")</f>
        <v>270</v>
      </c>
      <c r="Y59" s="115">
        <f>+GETPIVOTDATA(" Tot # Asc. Prof New",'Counts Pivot Table'!$A$3,"State","LA","Category",5,"Category2","Four-Year")</f>
        <v>29</v>
      </c>
      <c r="Z59" s="115">
        <f>+GETPIVOTDATA(" Tot # Asc. Prof New",'Counts Pivot Table'!$A$3,"State","LA","Category",6,"Category2","Four-Year")</f>
        <v>0</v>
      </c>
      <c r="AA59" s="117">
        <f>+GETPIVOTDATA(" Tot # Asc. Prof New",'Counts Pivot Table'!$A$3,"State","LA","Category2","Four-Year")</f>
        <v>1181</v>
      </c>
      <c r="AB59" s="114">
        <f>+GETPIVOTDATA(" Tot # Asc. Prof New",'Counts Pivot Table'!$A$3,"State","LA","Category",7,"Category2","Two-Year")</f>
        <v>25</v>
      </c>
      <c r="AC59" s="115">
        <f>+GETPIVOTDATA(" Tot # Asc. Prof New",'Counts Pivot Table'!$A$3,"State","LA","Category",8,"Category2","Two-Year")</f>
        <v>53</v>
      </c>
      <c r="AD59" s="115">
        <f>+GETPIVOTDATA(" Tot # Asc. Prof New",'Counts Pivot Table'!$A$3,"State","LA","Category",9,"Category2","Two-Year")</f>
        <v>87</v>
      </c>
      <c r="AE59" s="115">
        <f>+GETPIVOTDATA(" Tot # Asc. Prof New",'Counts Pivot Table'!$A$3,"State","LA","Category",10,"Category2","Two-Year")</f>
        <v>30</v>
      </c>
      <c r="AF59" s="116">
        <f>+GETPIVOTDATA(" Tot # Asc. Prof New",'Counts Pivot Table'!$A$3,"State","LA","Category",11,"Category2","Two-Year")</f>
        <v>0</v>
      </c>
      <c r="AG59" s="116">
        <f>+GETPIVOTDATA(" Tot # Asc. Prof New",'Counts Pivot Table'!$A$3,"State","LA","Category2","Two-Year")</f>
        <v>195</v>
      </c>
      <c r="AH59" s="114">
        <f>+GETPIVOTDATA(" Tot # Asc. Prof New",'Counts Pivot Table'!$A$3,"State","LA","Category",12,"Category2","Technical Institutes")</f>
        <v>0</v>
      </c>
      <c r="AI59" s="115">
        <f>+GETPIVOTDATA(" Tot # Asc. Prof New",'Counts Pivot Table'!$A$3,"State","LA","Category",13,"Category2","Technical Institutes")</f>
        <v>0</v>
      </c>
      <c r="AJ59" s="116">
        <f>+GETPIVOTDATA(" Tot # Asc. Prof New",'Counts Pivot Table'!$A$3,"State","LA","Category",14,"Category2","Technical Institutes")</f>
        <v>0</v>
      </c>
      <c r="AK59" s="114">
        <f>+GETPIVOTDATA(" Tot # Asc. Prof New",'Counts Pivot Table'!$A$3,"State","LA","Category2","Technical Institutes")</f>
        <v>0</v>
      </c>
    </row>
    <row r="60" spans="1:39">
      <c r="A60" s="30"/>
      <c r="B60" s="38" t="s">
        <v>437</v>
      </c>
      <c r="C60" s="32">
        <f t="shared" si="14"/>
        <v>0.24791508718726307</v>
      </c>
      <c r="D60" s="34">
        <f t="shared" si="14"/>
        <v>0.27964959568733155</v>
      </c>
      <c r="E60" s="34">
        <f t="shared" si="14"/>
        <v>0.315</v>
      </c>
      <c r="F60" s="34">
        <f t="shared" si="14"/>
        <v>0.39778597785977859</v>
      </c>
      <c r="G60" s="34">
        <f t="shared" si="14"/>
        <v>0.53535353535353536</v>
      </c>
      <c r="H60" s="68">
        <f t="shared" si="14"/>
        <v>0</v>
      </c>
      <c r="I60" s="32">
        <f t="shared" si="14"/>
        <v>0.3137705497613576</v>
      </c>
      <c r="J60" s="32">
        <f t="shared" si="14"/>
        <v>0.4144144144144144</v>
      </c>
      <c r="K60" s="34">
        <f t="shared" si="14"/>
        <v>0.17857142857142858</v>
      </c>
      <c r="L60" s="34">
        <f t="shared" si="14"/>
        <v>0.23174603174603176</v>
      </c>
      <c r="M60" s="34">
        <f t="shared" si="15"/>
        <v>0.27272727272727271</v>
      </c>
      <c r="N60" s="68">
        <f t="shared" si="15"/>
        <v>0</v>
      </c>
      <c r="O60" s="32">
        <f t="shared" si="15"/>
        <v>0.23454545454545456</v>
      </c>
      <c r="P60" s="32">
        <f t="shared" si="15"/>
        <v>0</v>
      </c>
      <c r="Q60" s="34">
        <f t="shared" si="15"/>
        <v>0</v>
      </c>
      <c r="R60" s="68">
        <f t="shared" si="15"/>
        <v>0</v>
      </c>
      <c r="S60" s="32">
        <f t="shared" si="15"/>
        <v>0</v>
      </c>
      <c r="T60" s="92"/>
      <c r="U60" s="114">
        <f>+GETPIVOTDATA(" Tot # Ast. Prof New",'Counts Pivot Table'!$A$3,"State","LA","Category",1,"Category2","Four-Year")</f>
        <v>327</v>
      </c>
      <c r="V60" s="115">
        <f>+GETPIVOTDATA(" Tot # Ast. Prof New",'Counts Pivot Table'!$A$3,"State","LA","Category",2,"Category2","Four-Year")</f>
        <v>415</v>
      </c>
      <c r="W60" s="115">
        <f>+GETPIVOTDATA(" Tot # Ast. Prof New",'Counts Pivot Table'!$A$3,"State","LA","Category",3,"Category2","Four-Year")</f>
        <v>441</v>
      </c>
      <c r="X60" s="115">
        <f>+GETPIVOTDATA(" Tot # Ast. Prof New",'Counts Pivot Table'!$A$3,"State","LA","Category",4,"Category2","Four-Year")</f>
        <v>539</v>
      </c>
      <c r="Y60" s="115">
        <f>+GETPIVOTDATA(" Tot # Ast. Prof New",'Counts Pivot Table'!$A$3,"State","LA","Category",5,"Category2","Four-Year")</f>
        <v>53</v>
      </c>
      <c r="Z60" s="115">
        <f>+GETPIVOTDATA(" Tot # Ast. Prof New",'Counts Pivot Table'!$A$3,"State","LA","Category",6,"Category2","Four-Year")</f>
        <v>0</v>
      </c>
      <c r="AA60" s="117">
        <f>+GETPIVOTDATA(" Tot # Ast. Prof New",'Counts Pivot Table'!$A$3,"State","LA","Category2","Four-Year")</f>
        <v>1775</v>
      </c>
      <c r="AB60" s="114">
        <f>+GETPIVOTDATA(" Tot # Ast. Prof New",'Counts Pivot Table'!$A$3,"State","LA","Category",7,"Category2","Two-Year")</f>
        <v>46</v>
      </c>
      <c r="AC60" s="115">
        <f>+GETPIVOTDATA(" Tot # Ast. Prof New",'Counts Pivot Table'!$A$3,"State","LA","Category",8,"Category2","Two-Year")</f>
        <v>85</v>
      </c>
      <c r="AD60" s="115">
        <f>+GETPIVOTDATA(" Tot # Ast. Prof New",'Counts Pivot Table'!$A$3,"State","LA","Category",9,"Category2","Two-Year")</f>
        <v>73</v>
      </c>
      <c r="AE60" s="115">
        <f>+GETPIVOTDATA(" Tot # Ast. Prof New",'Counts Pivot Table'!$A$3,"State","LA","Category",10,"Category2","Two-Year")</f>
        <v>54</v>
      </c>
      <c r="AF60" s="116">
        <f>+GETPIVOTDATA(" Tot # Ast. Prof New",'Counts Pivot Table'!$A$3,"State","LA","Category",11,"Category2","Two-Year")</f>
        <v>0</v>
      </c>
      <c r="AG60" s="116">
        <f>+GETPIVOTDATA(" Tot # Ast. Prof New",'Counts Pivot Table'!$A$3,"State","LA","Category2","Two-Year")</f>
        <v>258</v>
      </c>
      <c r="AH60" s="114">
        <f>+GETPIVOTDATA(" Tot # Ast. Prof New",'Counts Pivot Table'!$A$3,"State","LA","Category",12,"Category2","Technical Institutes")</f>
        <v>0</v>
      </c>
      <c r="AI60" s="115">
        <f>+GETPIVOTDATA(" Tot # Ast. Prof New",'Counts Pivot Table'!$A$3,"State","LA","Category",13,"Category2","Technical Institutes")</f>
        <v>0</v>
      </c>
      <c r="AJ60" s="116">
        <f>+GETPIVOTDATA(" Tot # Ast. Prof New",'Counts Pivot Table'!$A$3,"State","LA","Category",14,"Category2","Technical Institutes")</f>
        <v>0</v>
      </c>
      <c r="AK60" s="114">
        <f>+GETPIVOTDATA(" Tot # Ast. Prof New",'Counts Pivot Table'!$A$3,"State","LA","Category2","Technical Institutes")</f>
        <v>0</v>
      </c>
    </row>
    <row r="61" spans="1:39">
      <c r="A61" s="30"/>
      <c r="B61" s="38" t="s">
        <v>438</v>
      </c>
      <c r="C61" s="32">
        <f t="shared" si="14"/>
        <v>0.18726307808946172</v>
      </c>
      <c r="D61" s="34">
        <f t="shared" si="14"/>
        <v>0.23180592991913745</v>
      </c>
      <c r="E61" s="34">
        <f t="shared" si="14"/>
        <v>0.26928571428571429</v>
      </c>
      <c r="F61" s="34">
        <f t="shared" si="14"/>
        <v>0.2</v>
      </c>
      <c r="G61" s="34">
        <f t="shared" si="14"/>
        <v>4.0404040404040407E-2</v>
      </c>
      <c r="H61" s="68">
        <f t="shared" si="14"/>
        <v>0</v>
      </c>
      <c r="I61" s="32">
        <f t="shared" si="14"/>
        <v>0.21972777090330564</v>
      </c>
      <c r="J61" s="32">
        <f t="shared" si="14"/>
        <v>0.15315315315315314</v>
      </c>
      <c r="K61" s="34">
        <f t="shared" si="14"/>
        <v>0.29201680672268909</v>
      </c>
      <c r="L61" s="34">
        <f t="shared" si="14"/>
        <v>0.3968253968253968</v>
      </c>
      <c r="M61" s="34">
        <f t="shared" si="15"/>
        <v>0.54545454545454541</v>
      </c>
      <c r="N61" s="68">
        <f t="shared" si="15"/>
        <v>0</v>
      </c>
      <c r="O61" s="32">
        <f t="shared" si="15"/>
        <v>0.35363636363636364</v>
      </c>
      <c r="P61" s="32">
        <f t="shared" si="15"/>
        <v>1</v>
      </c>
      <c r="Q61" s="34">
        <f t="shared" si="15"/>
        <v>0.97777777777777775</v>
      </c>
      <c r="R61" s="68">
        <f t="shared" si="15"/>
        <v>0</v>
      </c>
      <c r="S61" s="32">
        <f t="shared" si="15"/>
        <v>0.18138801261829654</v>
      </c>
      <c r="T61" s="92"/>
      <c r="U61" s="114">
        <f>+GETPIVOTDATA(" Tot # Instr. New",'Counts Pivot Table'!$A$3,"State","LA","Category",1,"Category2","Four-Year")</f>
        <v>247</v>
      </c>
      <c r="V61" s="115">
        <f>+GETPIVOTDATA(" Tot # Instr. New",'Counts Pivot Table'!$A$3,"State","LA","Category",2,"Category2","Four-Year")</f>
        <v>344</v>
      </c>
      <c r="W61" s="115">
        <f>+GETPIVOTDATA(" Tot # Instr. New",'Counts Pivot Table'!$A$3,"State","LA","Category",3,"Category2","Four-Year")</f>
        <v>377</v>
      </c>
      <c r="X61" s="115">
        <f>+GETPIVOTDATA(" Tot # Instr. New",'Counts Pivot Table'!$A$3,"State","LA","Category",4,"Category2","Four-Year")</f>
        <v>271</v>
      </c>
      <c r="Y61" s="115">
        <f>+GETPIVOTDATA(" Tot # Instr. New",'Counts Pivot Table'!$A$3,"State","LA","Category",5,"Category2","Four-Year")</f>
        <v>4</v>
      </c>
      <c r="Z61" s="115">
        <f>+GETPIVOTDATA(" Tot # Instr. New",'Counts Pivot Table'!$A$3,"State","LA","Category",6,"Category2","Four-Year")</f>
        <v>0</v>
      </c>
      <c r="AA61" s="117">
        <f>+GETPIVOTDATA(" Tot # Instr. New",'Counts Pivot Table'!$A$3,"State","LA","Category2","Four-Year")</f>
        <v>1243</v>
      </c>
      <c r="AB61" s="114">
        <f>+GETPIVOTDATA(" Tot # Instr. New",'Counts Pivot Table'!$A$3,"State","LA","Category",7,"Category2","Two-Year")</f>
        <v>17</v>
      </c>
      <c r="AC61" s="115">
        <f>+GETPIVOTDATA(" Tot # Instr. New",'Counts Pivot Table'!$A$3,"State","LA","Category",8,"Category2","Two-Year")</f>
        <v>139</v>
      </c>
      <c r="AD61" s="115">
        <f>+GETPIVOTDATA(" Tot # Instr. New",'Counts Pivot Table'!$A$3,"State","LA","Category",9,"Category2","Two-Year")</f>
        <v>125</v>
      </c>
      <c r="AE61" s="115">
        <f>+GETPIVOTDATA(" Tot # Instr. New",'Counts Pivot Table'!$A$3,"State","LA","Category",10,"Category2","Two-Year")</f>
        <v>108</v>
      </c>
      <c r="AF61" s="116">
        <f>+GETPIVOTDATA(" Tot # Instr. New",'Counts Pivot Table'!$A$3,"State","LA","Category",11,"Category2","Two-Year")</f>
        <v>0</v>
      </c>
      <c r="AG61" s="116">
        <f>+GETPIVOTDATA(" Tot # Instr. New",'Counts Pivot Table'!$A$3,"State","LA","Category2","Two-Year")</f>
        <v>389</v>
      </c>
      <c r="AH61" s="114">
        <f>+GETPIVOTDATA(" Tot # Instr. New",'Counts Pivot Table'!$A$3,"State","LA","Category",12,"Category2","Technical Institutes")</f>
        <v>71</v>
      </c>
      <c r="AI61" s="115">
        <f>+GETPIVOTDATA(" Tot # Instr. New",'Counts Pivot Table'!$A$3,"State","LA","Category",13,"Category2","Technical Institutes")</f>
        <v>44</v>
      </c>
      <c r="AJ61" s="116">
        <f>+GETPIVOTDATA(" Tot # Instr. New",'Counts Pivot Table'!$A$3,"State","LA","Category",14,"Category2","Technical Institutes")</f>
        <v>0</v>
      </c>
      <c r="AK61" s="114">
        <f>+GETPIVOTDATA(" Tot # Instr. New",'Counts Pivot Table'!$A$3,"State","LA","Category2","Technical Institutes")</f>
        <v>115</v>
      </c>
    </row>
    <row r="62" spans="1:39">
      <c r="A62" s="30"/>
      <c r="B62" s="38" t="s">
        <v>414</v>
      </c>
      <c r="C62" s="32">
        <f t="shared" si="14"/>
        <v>1.5921152388172859E-2</v>
      </c>
      <c r="D62" s="34">
        <f t="shared" si="14"/>
        <v>3.1671159029649593E-2</v>
      </c>
      <c r="E62" s="34">
        <f t="shared" si="14"/>
        <v>2.0714285714285713E-2</v>
      </c>
      <c r="F62" s="264">
        <f t="shared" si="14"/>
        <v>1.5498154981549815E-2</v>
      </c>
      <c r="G62" s="34">
        <f t="shared" si="14"/>
        <v>0</v>
      </c>
      <c r="H62" s="68">
        <f t="shared" si="14"/>
        <v>0</v>
      </c>
      <c r="I62" s="32">
        <f t="shared" si="14"/>
        <v>2.0859112603853633E-2</v>
      </c>
      <c r="J62" s="32">
        <f t="shared" si="14"/>
        <v>0</v>
      </c>
      <c r="K62" s="34">
        <f t="shared" si="14"/>
        <v>0.25630252100840334</v>
      </c>
      <c r="L62" s="34">
        <f t="shared" si="14"/>
        <v>0</v>
      </c>
      <c r="M62" s="34">
        <f t="shared" si="15"/>
        <v>1.5151515151515152E-2</v>
      </c>
      <c r="N62" s="124">
        <f t="shared" si="15"/>
        <v>0</v>
      </c>
      <c r="O62" s="32">
        <f t="shared" si="15"/>
        <v>0.11363636363636363</v>
      </c>
      <c r="P62" s="32">
        <f t="shared" si="15"/>
        <v>0</v>
      </c>
      <c r="Q62" s="34">
        <f t="shared" si="15"/>
        <v>2.2222222222222223E-2</v>
      </c>
      <c r="R62" s="68">
        <f t="shared" si="15"/>
        <v>0</v>
      </c>
      <c r="S62" s="265">
        <f t="shared" si="15"/>
        <v>1.5772870662460567E-3</v>
      </c>
      <c r="T62" s="92"/>
      <c r="U62" s="114">
        <f>++GETPIVOTDATA(" Tot # Undes. New",'Counts Pivot Table'!$A$3,"State","LA","Category",1,"Category2","Four-Year")</f>
        <v>21</v>
      </c>
      <c r="V62" s="115">
        <f>+GETPIVOTDATA(" Tot # Undes. New",'Counts Pivot Table'!$A$3,"State","LA","Category",2,"Category2","Four-Year")</f>
        <v>47</v>
      </c>
      <c r="W62" s="115">
        <f>+GETPIVOTDATA(" Tot # Undes. New",'Counts Pivot Table'!$A$3,"State","LA","Category",3,"Category2","Four-Year")</f>
        <v>29</v>
      </c>
      <c r="X62" s="115">
        <f>+GETPIVOTDATA(" Tot # Undes. New",'Counts Pivot Table'!$A$3,"State","LA","Category",4,"Category2","Four-Year")</f>
        <v>21</v>
      </c>
      <c r="Y62" s="115">
        <f>+GETPIVOTDATA(" Tot # Undes. New",'Counts Pivot Table'!$A$3,"State","LA","Category",5,"Category2","Four-Year")</f>
        <v>0</v>
      </c>
      <c r="Z62" s="115">
        <f>+GETPIVOTDATA(" Tot # Undes. New",'Counts Pivot Table'!$A$3,"State","LA","Category",6,"Category2","Four-Year")</f>
        <v>0</v>
      </c>
      <c r="AA62" s="117">
        <f>+GETPIVOTDATA(" Tot # Undes. New",'Counts Pivot Table'!$A$3,"State","LA","Category2","Four-Year")</f>
        <v>118</v>
      </c>
      <c r="AB62" s="114">
        <f>+GETPIVOTDATA(" Tot # Undes. New",'Counts Pivot Table'!$A$3,"State","LA","Category",7,"Category2","Two-Year")</f>
        <v>0</v>
      </c>
      <c r="AC62" s="115">
        <f>+GETPIVOTDATA(" Tot # Undes. New",'Counts Pivot Table'!$A$3,"State","LA","Category",8,"Category2","Two-Year")</f>
        <v>122</v>
      </c>
      <c r="AD62" s="115">
        <f>+GETPIVOTDATA(" Tot # Undes. New",'Counts Pivot Table'!$A$3,"State","LA","Category",9,"Category2","Two-Year")</f>
        <v>0</v>
      </c>
      <c r="AE62" s="115">
        <f>+GETPIVOTDATA(" Tot # Undes. New",'Counts Pivot Table'!$A$3,"State","LA","Category",10,"Category2","Two-Year")</f>
        <v>3</v>
      </c>
      <c r="AF62" s="116">
        <f>+GETPIVOTDATA(" Tot # Undes. New",'Counts Pivot Table'!$A$3,"State","LA","Category",11,"Category2","Two-Year")</f>
        <v>0</v>
      </c>
      <c r="AG62" s="116">
        <f>+GETPIVOTDATA(" Tot # Undes. New",'Counts Pivot Table'!$A$3,"State","LA","Category2","Two-Year")</f>
        <v>125</v>
      </c>
      <c r="AH62" s="114">
        <f>+GETPIVOTDATA(" Tot # Undes. New",'Counts Pivot Table'!$A$3,"State","LA","Category",12,"Category2","Technical Institutes")</f>
        <v>0</v>
      </c>
      <c r="AI62" s="115">
        <f>+GETPIVOTDATA(" Tot # Undes. New",'Counts Pivot Table'!$A$3,"State","LA","Category",13,"Category2","Technical Institutes")</f>
        <v>1</v>
      </c>
      <c r="AJ62" s="116">
        <f>+GETPIVOTDATA(" Tot # Undes. New",'Counts Pivot Table'!$A$3,"State","LA","Category",14,"Category2","Technical Institutes")</f>
        <v>0</v>
      </c>
      <c r="AK62" s="114">
        <f>+GETPIVOTDATA(" Tot # Undes. New",'Counts Pivot Table'!$A$3,"State","LA","Category2","Technical Institutes")</f>
        <v>1</v>
      </c>
    </row>
    <row r="63" spans="1:39">
      <c r="A63" s="30"/>
      <c r="B63" s="38" t="s">
        <v>413</v>
      </c>
      <c r="C63" s="32">
        <f t="shared" si="14"/>
        <v>0</v>
      </c>
      <c r="D63" s="34">
        <f t="shared" si="14"/>
        <v>0</v>
      </c>
      <c r="E63" s="34">
        <f t="shared" si="14"/>
        <v>0</v>
      </c>
      <c r="F63" s="264">
        <f t="shared" si="14"/>
        <v>0</v>
      </c>
      <c r="G63" s="199">
        <f t="shared" si="14"/>
        <v>0</v>
      </c>
      <c r="H63" s="68">
        <f t="shared" si="14"/>
        <v>0</v>
      </c>
      <c r="I63" s="32">
        <f t="shared" si="14"/>
        <v>0</v>
      </c>
      <c r="J63" s="32">
        <f t="shared" si="14"/>
        <v>0</v>
      </c>
      <c r="K63" s="34">
        <f t="shared" si="14"/>
        <v>0</v>
      </c>
      <c r="L63" s="34">
        <f t="shared" si="14"/>
        <v>0</v>
      </c>
      <c r="M63" s="34">
        <f t="shared" si="15"/>
        <v>0</v>
      </c>
      <c r="N63" s="68">
        <f t="shared" si="15"/>
        <v>0</v>
      </c>
      <c r="O63" s="32">
        <f t="shared" si="15"/>
        <v>0</v>
      </c>
      <c r="P63" s="32">
        <f t="shared" si="15"/>
        <v>0</v>
      </c>
      <c r="Q63" s="34">
        <f t="shared" si="15"/>
        <v>0</v>
      </c>
      <c r="R63" s="68">
        <f t="shared" si="15"/>
        <v>1</v>
      </c>
      <c r="S63" s="32">
        <f t="shared" si="15"/>
        <v>0.81703470031545744</v>
      </c>
      <c r="T63" s="92"/>
      <c r="U63" s="114">
        <f>+GETPIVOTDATA(" Tot # Single Rnk New",'Counts Pivot Table'!$A$3,"State","LA","Category",1,"Category2","Four-Year")</f>
        <v>0</v>
      </c>
      <c r="V63" s="115">
        <f>+GETPIVOTDATA(" Tot # Single Rnk New",'Counts Pivot Table'!$A$3,"State","LA","Category",2,"Category2","Four-Year")</f>
        <v>0</v>
      </c>
      <c r="W63" s="115">
        <f>+GETPIVOTDATA(" Tot # Single Rnk New",'Counts Pivot Table'!$A$3,"State","LA","Category",3,"Category2","Four-Year")</f>
        <v>0</v>
      </c>
      <c r="X63" s="115">
        <f>+GETPIVOTDATA(" Tot # Single Rnk New",'Counts Pivot Table'!$A$3,"State","LA","Category",4,"Category2","Four-Year")</f>
        <v>0</v>
      </c>
      <c r="Y63" s="115">
        <f>+GETPIVOTDATA(" Tot # Single Rnk New",'Counts Pivot Table'!$A$3,"State","LA","Category",5,"Category2","Four-Year")</f>
        <v>0</v>
      </c>
      <c r="Z63" s="115">
        <f>+GETPIVOTDATA(" Tot # Single Rnk New",'Counts Pivot Table'!$A$3,"State","LA","Category",6,"Category2","Four-Year")</f>
        <v>0</v>
      </c>
      <c r="AA63" s="117">
        <f>+GETPIVOTDATA(" Tot # Single Rnk New",'Counts Pivot Table'!$A$3,"State","LA","Category2","Four-Year")</f>
        <v>0</v>
      </c>
      <c r="AB63" s="114">
        <f>+GETPIVOTDATA(" Tot # Single Rnk New",'Counts Pivot Table'!$A$3,"State","LA","Category",7,"Category2","Two-Year")</f>
        <v>0</v>
      </c>
      <c r="AC63" s="115">
        <f>+GETPIVOTDATA(" Tot # Single Rnk New",'Counts Pivot Table'!$A$3,"State","LA","Category",8,"Category2","Two-Year")</f>
        <v>0</v>
      </c>
      <c r="AD63" s="115">
        <f>+GETPIVOTDATA(" Tot # Single Rnk New",'Counts Pivot Table'!$A$3,"State","LA","Category",9,"Category2","Two-Year")</f>
        <v>0</v>
      </c>
      <c r="AE63" s="115">
        <f>+GETPIVOTDATA(" Tot # Single Rnk New",'Counts Pivot Table'!$A$3,"State","LA","Category",10,"Category2","Two-Year")</f>
        <v>0</v>
      </c>
      <c r="AF63" s="116">
        <f>+GETPIVOTDATA(" Tot # Single Rnk New",'Counts Pivot Table'!$A$3,"State","LA","Category",11,"Category2","Two-Year")</f>
        <v>0</v>
      </c>
      <c r="AG63" s="116">
        <f>+GETPIVOTDATA(" Tot # Single Rnk New",'Counts Pivot Table'!$A$3,"State","LA","Category2","Two-Year")</f>
        <v>0</v>
      </c>
      <c r="AH63" s="114">
        <f>+GETPIVOTDATA(" Tot # Single Rnk New",'Counts Pivot Table'!$A$3,"State","LA","Category",12,"Category2","Technical Institutes")</f>
        <v>0</v>
      </c>
      <c r="AI63" s="115">
        <f>+GETPIVOTDATA(" Tot # Single Rnk New",'Counts Pivot Table'!$A$3,"State","LA","Category",13,"Category2","Technical Institutes")</f>
        <v>0</v>
      </c>
      <c r="AJ63" s="116">
        <f>+GETPIVOTDATA(" Tot # Single Rnk New",'Counts Pivot Table'!$A$3,"State","LA","Category",14,"Category2","Technical Institutes")</f>
        <v>518</v>
      </c>
      <c r="AK63" s="114">
        <f>+GETPIVOTDATA(" Tot # Single Rnk New",'Counts Pivot Table'!$A$3,"State","LA","Category2","Technical Institutes")</f>
        <v>518</v>
      </c>
    </row>
    <row r="64" spans="1:39" s="54" customFormat="1">
      <c r="A64" s="207"/>
      <c r="B64" s="208" t="s">
        <v>415</v>
      </c>
      <c r="C64" s="33">
        <f t="shared" si="14"/>
        <v>1</v>
      </c>
      <c r="D64" s="31">
        <f t="shared" si="14"/>
        <v>1</v>
      </c>
      <c r="E64" s="31">
        <f t="shared" si="14"/>
        <v>1</v>
      </c>
      <c r="F64" s="31">
        <f t="shared" si="14"/>
        <v>1</v>
      </c>
      <c r="G64" s="31">
        <f t="shared" si="14"/>
        <v>1</v>
      </c>
      <c r="H64" s="69">
        <f t="shared" si="14"/>
        <v>0</v>
      </c>
      <c r="I64" s="33">
        <f t="shared" si="14"/>
        <v>1</v>
      </c>
      <c r="J64" s="33">
        <f t="shared" si="14"/>
        <v>1</v>
      </c>
      <c r="K64" s="31">
        <f t="shared" si="14"/>
        <v>1</v>
      </c>
      <c r="L64" s="31">
        <f t="shared" si="14"/>
        <v>1</v>
      </c>
      <c r="M64" s="31">
        <f t="shared" si="15"/>
        <v>1</v>
      </c>
      <c r="N64" s="69">
        <f t="shared" si="15"/>
        <v>0</v>
      </c>
      <c r="O64" s="33">
        <f t="shared" si="15"/>
        <v>1</v>
      </c>
      <c r="P64" s="33">
        <f t="shared" si="15"/>
        <v>1</v>
      </c>
      <c r="Q64" s="31">
        <f t="shared" si="15"/>
        <v>1</v>
      </c>
      <c r="R64" s="69">
        <f t="shared" si="15"/>
        <v>1</v>
      </c>
      <c r="S64" s="33">
        <f t="shared" si="15"/>
        <v>1</v>
      </c>
      <c r="T64" s="93"/>
      <c r="U64" s="118">
        <f>+GETPIVOTDATA(" All Ranks # New",'Counts Pivot Table'!$A$3,"State","LA","Category",1,"Category2","Four-Year")</f>
        <v>1319</v>
      </c>
      <c r="V64" s="119">
        <f>+GETPIVOTDATA(" All Ranks # New",'Counts Pivot Table'!$A$3,"State","LA","Category",2,"Category2","Four-Year")</f>
        <v>1484</v>
      </c>
      <c r="W64" s="119">
        <f>+GETPIVOTDATA(" All Ranks # New",'Counts Pivot Table'!$A$3,"State","LA","Category",3,"Category2","Four-Year")</f>
        <v>1400</v>
      </c>
      <c r="X64" s="119">
        <f>+GETPIVOTDATA(" All Ranks # New",'Counts Pivot Table'!$A$3,"State","LA","Category",4,"Category2","Four-Year")</f>
        <v>1355</v>
      </c>
      <c r="Y64" s="119">
        <f>+GETPIVOTDATA(" All Ranks # New",'Counts Pivot Table'!$A$3,"State","LA","Category",5,"Category2","Four-Year")</f>
        <v>99</v>
      </c>
      <c r="Z64" s="119">
        <f>+GETPIVOTDATA(" All Ranks # New",'Counts Pivot Table'!$A$3,"State","LA","Category",6,"Category2","Four-Year")</f>
        <v>0</v>
      </c>
      <c r="AA64" s="121">
        <f>+GETPIVOTDATA(" All Ranks # New",'Counts Pivot Table'!$A$3,"State","LA","Category2","Four-Year")</f>
        <v>5657</v>
      </c>
      <c r="AB64" s="118">
        <f>+GETPIVOTDATA(" All Ranks # New",'Counts Pivot Table'!$A$3,"State","LA","Category",7,"Category2","Two-Year")</f>
        <v>111</v>
      </c>
      <c r="AC64" s="119">
        <f>+GETPIVOTDATA(" All Ranks # New",'Counts Pivot Table'!$A$3,"State","LA","Category",8,"Category2","Two-Year")</f>
        <v>476</v>
      </c>
      <c r="AD64" s="119">
        <f>+GETPIVOTDATA(" All Ranks # New",'Counts Pivot Table'!$A$3,"State","LA","Category",9,"Category2","Two-Year")</f>
        <v>315</v>
      </c>
      <c r="AE64" s="119">
        <f>+GETPIVOTDATA(" All Ranks # New",'Counts Pivot Table'!$A$3,"State","LA","Category",10,"Category2","Two-Year")</f>
        <v>198</v>
      </c>
      <c r="AF64" s="120">
        <f>+GETPIVOTDATA(" All Ranks # New",'Counts Pivot Table'!$A$3,"State","LA","Category",11,"Category2","Two-Year")</f>
        <v>0</v>
      </c>
      <c r="AG64" s="120">
        <f>+GETPIVOTDATA(" All Ranks # New",'Counts Pivot Table'!$A$3,"State","LA","Category2","Two-Year")</f>
        <v>1100</v>
      </c>
      <c r="AH64" s="118">
        <f>+GETPIVOTDATA(" All Ranks # New",'Counts Pivot Table'!$A$3,"State","LA","Category",12,"Category2","Technical Institutes")</f>
        <v>71</v>
      </c>
      <c r="AI64" s="119">
        <f>+GETPIVOTDATA(" All Ranks # New",'Counts Pivot Table'!$A$3,"State","LA","Category",13,"Category2","Technical Institutes")</f>
        <v>45</v>
      </c>
      <c r="AJ64" s="120">
        <f>+GETPIVOTDATA(" All Ranks # New",'Counts Pivot Table'!$A$3,"State","LA","Category",14,"Category2","Technical Institutes")</f>
        <v>518</v>
      </c>
      <c r="AK64" s="118">
        <f>+GETPIVOTDATA(" All Ranks # New",'Counts Pivot Table'!$A$3,"State","LA","Category2","Technical Institutes")</f>
        <v>634</v>
      </c>
      <c r="AL64" s="122"/>
      <c r="AM64" s="122"/>
    </row>
    <row r="65" spans="1:39">
      <c r="A65" s="38" t="s">
        <v>443</v>
      </c>
      <c r="B65" s="35" t="s">
        <v>435</v>
      </c>
      <c r="C65" s="36">
        <f t="shared" ref="C65:L71" si="16">IF(U$71&gt;0,(U65/U$71),0)</f>
        <v>0.39220462850182702</v>
      </c>
      <c r="D65" s="37">
        <f t="shared" si="16"/>
        <v>0.2857142857142857</v>
      </c>
      <c r="E65" s="37">
        <f t="shared" si="16"/>
        <v>0.184640522875817</v>
      </c>
      <c r="F65" s="37">
        <f t="shared" si="16"/>
        <v>0.22007434944237919</v>
      </c>
      <c r="G65" s="37">
        <f t="shared" si="16"/>
        <v>0</v>
      </c>
      <c r="H65" s="67">
        <f t="shared" si="16"/>
        <v>0.26623376623376621</v>
      </c>
      <c r="I65" s="36">
        <f t="shared" si="16"/>
        <v>0.27743399339933994</v>
      </c>
      <c r="J65" s="36">
        <f t="shared" si="16"/>
        <v>0</v>
      </c>
      <c r="K65" s="37">
        <f t="shared" si="16"/>
        <v>0.36173285198555954</v>
      </c>
      <c r="L65" s="37">
        <f t="shared" si="16"/>
        <v>0.33695652173913043</v>
      </c>
      <c r="M65" s="37">
        <f t="shared" ref="M65:S71" si="17">IF(AE$71&gt;0,(AE65/AE$71),0)</f>
        <v>0.22440944881889763</v>
      </c>
      <c r="N65" s="67">
        <f t="shared" si="17"/>
        <v>0</v>
      </c>
      <c r="O65" s="36">
        <f t="shared" si="17"/>
        <v>0.3393684210526316</v>
      </c>
      <c r="P65" s="164">
        <f t="shared" si="17"/>
        <v>0</v>
      </c>
      <c r="Q65" s="37">
        <f t="shared" si="17"/>
        <v>0</v>
      </c>
      <c r="R65" s="67">
        <f t="shared" si="17"/>
        <v>0</v>
      </c>
      <c r="S65" s="164">
        <f t="shared" si="17"/>
        <v>0</v>
      </c>
      <c r="T65" s="123"/>
      <c r="U65" s="110">
        <f>+GETPIVOTDATA(" Total # Prof New",'Counts Pivot Table'!$A$3,"State","MD","Category",1,"Category2","Four-Year")</f>
        <v>644</v>
      </c>
      <c r="V65" s="111">
        <f>+GETPIVOTDATA(" Total # Prof New",'Counts Pivot Table'!$A$3,"State","MD","Category",2,"Category2","Four-Year")</f>
        <v>138</v>
      </c>
      <c r="W65" s="111">
        <f>+GETPIVOTDATA(" Total # Prof New",'Counts Pivot Table'!$A$3,"State","MD","Category",3,"Category2","Four-Year")</f>
        <v>226</v>
      </c>
      <c r="X65" s="111">
        <f>+GETPIVOTDATA(" Total # Prof New",'Counts Pivot Table'!$A$3,"State","MD","Category",4,"Category2","Four-Year")</f>
        <v>296</v>
      </c>
      <c r="Y65" s="111">
        <f>+GETPIVOTDATA(" Total # Prof New",'Counts Pivot Table'!$A$3,"State","MD","Category",5,"Category2","Four-Year")</f>
        <v>0</v>
      </c>
      <c r="Z65" s="111">
        <f>+GETPIVOTDATA(" Total # Prof New",'Counts Pivot Table'!$A$3,"State","MD","Category",6,"Category2","Four-Year")</f>
        <v>41</v>
      </c>
      <c r="AA65" s="113">
        <f>+GETPIVOTDATA(" Total # Prof New",'Counts Pivot Table'!$A$3,"State","MD","Category2","Four-Year")</f>
        <v>1345</v>
      </c>
      <c r="AB65" s="110">
        <f>+GETPIVOTDATA(" Total # Prof New",'Counts Pivot Table'!$A$3,"State","MD","Category",7,"Category2","Two-Year")</f>
        <v>0</v>
      </c>
      <c r="AC65" s="111">
        <f>+GETPIVOTDATA(" Total # Prof New",'Counts Pivot Table'!$A$3,"State","MD","Category",8,"Category2","Two-Year")</f>
        <v>501</v>
      </c>
      <c r="AD65" s="111">
        <f>+GETPIVOTDATA(" Total # Prof New",'Counts Pivot Table'!$A$3,"State","MD","Category",9,"Category2","Two-Year")</f>
        <v>248</v>
      </c>
      <c r="AE65" s="111">
        <f>+GETPIVOTDATA(" Total # Prof New",'Counts Pivot Table'!$A$3,"State","MD","Category",10,"Category2","Two-Year")</f>
        <v>57</v>
      </c>
      <c r="AF65" s="112">
        <f>+GETPIVOTDATA(" Total # Prof New",'Counts Pivot Table'!$A$3,"State","MD","Category",11,"Category2","Two-Year")</f>
        <v>0</v>
      </c>
      <c r="AG65" s="112">
        <f>+GETPIVOTDATA(" Total # Prof New",'Counts Pivot Table'!$A$3,"State","MD","Category2","Two-Year")</f>
        <v>806</v>
      </c>
      <c r="AH65" s="110">
        <f>+GETPIVOTDATA(" Total # Prof New",'Counts Pivot Table'!$A$3,"State","MD","Category",12,"Category2","Technical Institutes")</f>
        <v>0</v>
      </c>
      <c r="AI65" s="111">
        <f>+GETPIVOTDATA(" Total # Prof New",'Counts Pivot Table'!$A$3,"State","MD","Category",13,"Category2","Technical Institutes")</f>
        <v>0</v>
      </c>
      <c r="AJ65" s="112">
        <f>+GETPIVOTDATA(" Total # Prof New",'Counts Pivot Table'!$A$3,"State","MD","Category",14,"Category2","Technical Institutes")</f>
        <v>0</v>
      </c>
      <c r="AK65" s="110">
        <f>+GETPIVOTDATA(" Total # Prof New",'Counts Pivot Table'!$A$3,"State","MD","Category2","Technical Institutes")</f>
        <v>0</v>
      </c>
    </row>
    <row r="66" spans="1:39">
      <c r="A66" s="30"/>
      <c r="B66" s="38" t="s">
        <v>436</v>
      </c>
      <c r="C66" s="32">
        <f t="shared" si="16"/>
        <v>0.25761266747868455</v>
      </c>
      <c r="D66" s="34">
        <f t="shared" si="16"/>
        <v>0.3188405797101449</v>
      </c>
      <c r="E66" s="34">
        <f t="shared" si="16"/>
        <v>0.22058823529411764</v>
      </c>
      <c r="F66" s="34">
        <f t="shared" si="16"/>
        <v>0.23494423791821561</v>
      </c>
      <c r="G66" s="34">
        <f t="shared" si="16"/>
        <v>0</v>
      </c>
      <c r="H66" s="68">
        <f t="shared" si="16"/>
        <v>0.2792207792207792</v>
      </c>
      <c r="I66" s="32">
        <f t="shared" si="16"/>
        <v>0.24876237623762376</v>
      </c>
      <c r="J66" s="32">
        <f t="shared" si="16"/>
        <v>0</v>
      </c>
      <c r="K66" s="34">
        <f t="shared" si="16"/>
        <v>0.29819494584837547</v>
      </c>
      <c r="L66" s="34">
        <f t="shared" si="16"/>
        <v>0.21195652173913043</v>
      </c>
      <c r="M66" s="34">
        <f t="shared" si="17"/>
        <v>0.24803149606299213</v>
      </c>
      <c r="N66" s="68">
        <f t="shared" si="17"/>
        <v>0</v>
      </c>
      <c r="O66" s="32">
        <f t="shared" si="17"/>
        <v>0.26610526315789473</v>
      </c>
      <c r="P66" s="32">
        <f t="shared" si="17"/>
        <v>0</v>
      </c>
      <c r="Q66" s="34">
        <f t="shared" si="17"/>
        <v>0</v>
      </c>
      <c r="R66" s="68">
        <f t="shared" si="17"/>
        <v>0</v>
      </c>
      <c r="S66" s="32">
        <f t="shared" si="17"/>
        <v>0</v>
      </c>
      <c r="T66" s="92"/>
      <c r="U66" s="114">
        <f>+GETPIVOTDATA(" Tot # Asc. Prof New",'Counts Pivot Table'!$A$3,"State","MD","Category",1,"Category2","Four-Year")</f>
        <v>423</v>
      </c>
      <c r="V66" s="115">
        <f>+GETPIVOTDATA(" Tot # Asc. Prof New",'Counts Pivot Table'!$A$3,"State","MD","Category",2,"Category2","Four-Year")</f>
        <v>154</v>
      </c>
      <c r="W66" s="115">
        <f>+GETPIVOTDATA(" Tot # Asc. Prof New",'Counts Pivot Table'!$A$3,"State","MD","Category",3,"Category2","Four-Year")</f>
        <v>270</v>
      </c>
      <c r="X66" s="115">
        <f>+GETPIVOTDATA(" Tot # Asc. Prof New",'Counts Pivot Table'!$A$3,"State","MD","Category",4,"Category2","Four-Year")</f>
        <v>316</v>
      </c>
      <c r="Y66" s="115">
        <f>+GETPIVOTDATA(" Tot # Asc. Prof New",'Counts Pivot Table'!$A$3,"State","MD","Category",5,"Category2","Four-Year")</f>
        <v>0</v>
      </c>
      <c r="Z66" s="115">
        <f>+GETPIVOTDATA(" Tot # Asc. Prof New",'Counts Pivot Table'!$A$3,"State","MD","Category",6,"Category2","Four-Year")</f>
        <v>43</v>
      </c>
      <c r="AA66" s="117">
        <f>+GETPIVOTDATA(" Tot # Asc. Prof New",'Counts Pivot Table'!$A$3,"State","MD","Category2","Four-Year")</f>
        <v>1206</v>
      </c>
      <c r="AB66" s="114">
        <f>+GETPIVOTDATA(" Tot # Asc. Prof New",'Counts Pivot Table'!$A$3,"State","MD","Category",7,"Category2","Two-Year")</f>
        <v>0</v>
      </c>
      <c r="AC66" s="115">
        <f>+GETPIVOTDATA(" Tot # Asc. Prof New",'Counts Pivot Table'!$A$3,"State","MD","Category",8,"Category2","Two-Year")</f>
        <v>413</v>
      </c>
      <c r="AD66" s="115">
        <f>+GETPIVOTDATA(" Tot # Asc. Prof New",'Counts Pivot Table'!$A$3,"State","MD","Category",9,"Category2","Two-Year")</f>
        <v>156</v>
      </c>
      <c r="AE66" s="115">
        <f>+GETPIVOTDATA(" Tot # Asc. Prof New",'Counts Pivot Table'!$A$3,"State","MD","Category",10,"Category2","Two-Year")</f>
        <v>63</v>
      </c>
      <c r="AF66" s="116">
        <f>+GETPIVOTDATA(" Tot # Asc. Prof New",'Counts Pivot Table'!$A$3,"State","MD","Category",11,"Category2","Two-Year")</f>
        <v>0</v>
      </c>
      <c r="AG66" s="116">
        <f>+GETPIVOTDATA(" Tot # Asc. Prof New",'Counts Pivot Table'!$A$3,"State","MD","Category2","Two-Year")</f>
        <v>632</v>
      </c>
      <c r="AH66" s="114">
        <f>+GETPIVOTDATA(" Tot # Asc. Prof New",'Counts Pivot Table'!$A$3,"State","MD","Category",12,"Category2","Technical Institutes")</f>
        <v>0</v>
      </c>
      <c r="AI66" s="115">
        <f>+GETPIVOTDATA(" Tot # Asc. Prof New",'Counts Pivot Table'!$A$3,"State","MD","Category",13,"Category2","Technical Institutes")</f>
        <v>0</v>
      </c>
      <c r="AJ66" s="116">
        <f>+GETPIVOTDATA(" Tot # Asc. Prof New",'Counts Pivot Table'!$A$3,"State","MD","Category",14,"Category2","Technical Institutes")</f>
        <v>0</v>
      </c>
      <c r="AK66" s="114">
        <f>+GETPIVOTDATA(" Tot # Asc. Prof New",'Counts Pivot Table'!$A$3,"State","MD","Category2","Technical Institutes")</f>
        <v>0</v>
      </c>
    </row>
    <row r="67" spans="1:39">
      <c r="A67" s="30"/>
      <c r="B67" s="38" t="s">
        <v>437</v>
      </c>
      <c r="C67" s="32">
        <f t="shared" si="16"/>
        <v>0.19123020706455543</v>
      </c>
      <c r="D67" s="34">
        <f t="shared" si="16"/>
        <v>0.22153209109730848</v>
      </c>
      <c r="E67" s="34">
        <f t="shared" si="16"/>
        <v>0.31372549019607843</v>
      </c>
      <c r="F67" s="34">
        <f t="shared" si="16"/>
        <v>0.32936802973977697</v>
      </c>
      <c r="G67" s="34">
        <f t="shared" si="16"/>
        <v>0</v>
      </c>
      <c r="H67" s="68">
        <f t="shared" si="16"/>
        <v>0.39610389610389612</v>
      </c>
      <c r="I67" s="32">
        <f t="shared" si="16"/>
        <v>0.27000825082508251</v>
      </c>
      <c r="J67" s="32">
        <f t="shared" si="16"/>
        <v>0</v>
      </c>
      <c r="K67" s="34">
        <f t="shared" si="16"/>
        <v>0.2851985559566787</v>
      </c>
      <c r="L67" s="34">
        <f t="shared" si="16"/>
        <v>0.3546195652173913</v>
      </c>
      <c r="M67" s="34">
        <f t="shared" si="17"/>
        <v>0.31496062992125984</v>
      </c>
      <c r="N67" s="68">
        <f t="shared" si="17"/>
        <v>0</v>
      </c>
      <c r="O67" s="32">
        <f t="shared" si="17"/>
        <v>0.30989473684210528</v>
      </c>
      <c r="P67" s="32">
        <f t="shared" si="17"/>
        <v>0</v>
      </c>
      <c r="Q67" s="34">
        <f t="shared" si="17"/>
        <v>0</v>
      </c>
      <c r="R67" s="68">
        <f t="shared" si="17"/>
        <v>0</v>
      </c>
      <c r="S67" s="32">
        <f t="shared" si="17"/>
        <v>0</v>
      </c>
      <c r="T67" s="92"/>
      <c r="U67" s="114">
        <f>+GETPIVOTDATA(" Tot # Ast. Prof New",'Counts Pivot Table'!$A$3,"State","MD","Category",1,"Category2","Four-Year")</f>
        <v>314</v>
      </c>
      <c r="V67" s="115">
        <f>+GETPIVOTDATA(" Tot # Ast. Prof New",'Counts Pivot Table'!$A$3,"State","MD","Category",2,"Category2","Four-Year")</f>
        <v>107</v>
      </c>
      <c r="W67" s="115">
        <f>+GETPIVOTDATA(" Tot # Ast. Prof New",'Counts Pivot Table'!$A$3,"State","MD","Category",3,"Category2","Four-Year")</f>
        <v>384</v>
      </c>
      <c r="X67" s="115">
        <f>+GETPIVOTDATA(" Tot # Ast. Prof New",'Counts Pivot Table'!$A$3,"State","MD","Category",4,"Category2","Four-Year")</f>
        <v>443</v>
      </c>
      <c r="Y67" s="115">
        <f>+GETPIVOTDATA(" Tot # Ast. Prof New",'Counts Pivot Table'!$A$3,"State","MD","Category",5,"Category2","Four-Year")</f>
        <v>0</v>
      </c>
      <c r="Z67" s="115">
        <f>+GETPIVOTDATA(" Tot # Ast. Prof New",'Counts Pivot Table'!$A$3,"State","MD","Category",6,"Category2","Four-Year")</f>
        <v>61</v>
      </c>
      <c r="AA67" s="117">
        <f>+GETPIVOTDATA(" Tot # Ast. Prof New",'Counts Pivot Table'!$A$3,"State","MD","Category2","Four-Year")</f>
        <v>1309</v>
      </c>
      <c r="AB67" s="114">
        <f>+GETPIVOTDATA(" Tot # Ast. Prof New",'Counts Pivot Table'!$A$3,"State","MD","Category",7,"Category2","Two-Year")</f>
        <v>0</v>
      </c>
      <c r="AC67" s="115">
        <f>+GETPIVOTDATA(" Tot # Ast. Prof New",'Counts Pivot Table'!$A$3,"State","MD","Category",8,"Category2","Two-Year")</f>
        <v>395</v>
      </c>
      <c r="AD67" s="115">
        <f>+GETPIVOTDATA(" Tot # Ast. Prof New",'Counts Pivot Table'!$A$3,"State","MD","Category",9,"Category2","Two-Year")</f>
        <v>261</v>
      </c>
      <c r="AE67" s="115">
        <f>+GETPIVOTDATA(" Tot # Ast. Prof New",'Counts Pivot Table'!$A$3,"State","MD","Category",10,"Category2","Two-Year")</f>
        <v>80</v>
      </c>
      <c r="AF67" s="116">
        <f>+GETPIVOTDATA(" Tot # Ast. Prof New",'Counts Pivot Table'!$A$3,"State","MD","Category",11,"Category2","Two-Year")</f>
        <v>0</v>
      </c>
      <c r="AG67" s="116">
        <f>+GETPIVOTDATA(" Tot # Ast. Prof New",'Counts Pivot Table'!$A$3,"State","MD","Category2","Two-Year")</f>
        <v>736</v>
      </c>
      <c r="AH67" s="114">
        <f>+GETPIVOTDATA(" Tot # Ast. Prof New",'Counts Pivot Table'!$A$3,"State","MD","Category",12,"Category2","Technical Institutes")</f>
        <v>0</v>
      </c>
      <c r="AI67" s="115">
        <f>+GETPIVOTDATA(" Tot # Ast. Prof New",'Counts Pivot Table'!$A$3,"State","MD","Category",13,"Category2","Technical Institutes")</f>
        <v>0</v>
      </c>
      <c r="AJ67" s="116">
        <f>+GETPIVOTDATA(" Tot # Ast. Prof New",'Counts Pivot Table'!$A$3,"State","MD","Category",14,"Category2","Technical Institutes")</f>
        <v>0</v>
      </c>
      <c r="AK67" s="114">
        <f>+GETPIVOTDATA(" Tot # Ast. Prof New",'Counts Pivot Table'!$A$3,"State","MD","Category2","Technical Institutes")</f>
        <v>0</v>
      </c>
    </row>
    <row r="68" spans="1:39">
      <c r="A68" s="30"/>
      <c r="B68" s="38" t="s">
        <v>438</v>
      </c>
      <c r="C68" s="32">
        <f t="shared" si="16"/>
        <v>1.3398294762484775E-2</v>
      </c>
      <c r="D68" s="34">
        <f t="shared" si="16"/>
        <v>2.4844720496894408E-2</v>
      </c>
      <c r="E68" s="34">
        <f t="shared" si="16"/>
        <v>2.2058823529411766E-2</v>
      </c>
      <c r="F68" s="34">
        <f t="shared" si="16"/>
        <v>2.6765799256505577E-2</v>
      </c>
      <c r="G68" s="34">
        <f t="shared" si="16"/>
        <v>0</v>
      </c>
      <c r="H68" s="68">
        <f t="shared" si="16"/>
        <v>5.844155844155844E-2</v>
      </c>
      <c r="I68" s="32">
        <f t="shared" si="16"/>
        <v>2.1864686468646866E-2</v>
      </c>
      <c r="J68" s="32">
        <f t="shared" si="16"/>
        <v>0</v>
      </c>
      <c r="K68" s="34">
        <f t="shared" si="16"/>
        <v>5.4873646209386284E-2</v>
      </c>
      <c r="L68" s="34">
        <f t="shared" si="16"/>
        <v>9.1032608695652176E-2</v>
      </c>
      <c r="M68" s="34">
        <f t="shared" si="17"/>
        <v>0.20866141732283464</v>
      </c>
      <c r="N68" s="68">
        <f t="shared" si="17"/>
        <v>0</v>
      </c>
      <c r="O68" s="32">
        <f t="shared" si="17"/>
        <v>8.2526315789473684E-2</v>
      </c>
      <c r="P68" s="32">
        <f t="shared" si="17"/>
        <v>0</v>
      </c>
      <c r="Q68" s="34">
        <f t="shared" si="17"/>
        <v>0</v>
      </c>
      <c r="R68" s="68">
        <f t="shared" si="17"/>
        <v>0</v>
      </c>
      <c r="S68" s="32">
        <f t="shared" si="17"/>
        <v>0</v>
      </c>
      <c r="T68" s="92"/>
      <c r="U68" s="114">
        <f>+GETPIVOTDATA(" Tot # Instr. New",'Counts Pivot Table'!$A$3,"State","MD","Category",1,"Category2","Four-Year")</f>
        <v>22</v>
      </c>
      <c r="V68" s="115">
        <f>+GETPIVOTDATA(" Tot # Instr. New",'Counts Pivot Table'!$A$3,"State","MD","Category",2,"Category2","Four-Year")</f>
        <v>12</v>
      </c>
      <c r="W68" s="115">
        <f>+GETPIVOTDATA(" Tot # Instr. New",'Counts Pivot Table'!$A$3,"State","MD","Category",3,"Category2","Four-Year")</f>
        <v>27</v>
      </c>
      <c r="X68" s="115">
        <f>+GETPIVOTDATA(" Tot # Instr. New",'Counts Pivot Table'!$A$3,"State","MD","Category",4,"Category2","Four-Year")</f>
        <v>36</v>
      </c>
      <c r="Y68" s="115">
        <f>+GETPIVOTDATA(" Tot # Instr. New",'Counts Pivot Table'!$A$3,"State","MD","Category",5,"Category2","Four-Year")</f>
        <v>0</v>
      </c>
      <c r="Z68" s="115">
        <f>+GETPIVOTDATA(" Tot # Instr. New",'Counts Pivot Table'!$A$3,"State","MD","Category",6,"Category2","Four-Year")</f>
        <v>9</v>
      </c>
      <c r="AA68" s="117">
        <f>+GETPIVOTDATA(" Tot # Instr. New",'Counts Pivot Table'!$A$3,"State","MD","Category2","Four-Year")</f>
        <v>106</v>
      </c>
      <c r="AB68" s="114">
        <f>+GETPIVOTDATA(" Tot # Instr. New",'Counts Pivot Table'!$A$3,"State","MD","Category",7,"Category2","Two-Year")</f>
        <v>0</v>
      </c>
      <c r="AC68" s="115">
        <f>+GETPIVOTDATA(" Tot # Instr. New",'Counts Pivot Table'!$A$3,"State","MD","Category",8,"Category2","Two-Year")</f>
        <v>76</v>
      </c>
      <c r="AD68" s="115">
        <f>+GETPIVOTDATA(" Tot # Instr. New",'Counts Pivot Table'!$A$3,"State","MD","Category",9,"Category2","Two-Year")</f>
        <v>67</v>
      </c>
      <c r="AE68" s="115">
        <f>+GETPIVOTDATA(" Tot # Instr. New",'Counts Pivot Table'!$A$3,"State","MD","Category",10,"Category2","Two-Year")</f>
        <v>53</v>
      </c>
      <c r="AF68" s="116">
        <f>+GETPIVOTDATA(" Tot # Instr. New",'Counts Pivot Table'!$A$3,"State","MD","Category",11,"Category2","Two-Year")</f>
        <v>0</v>
      </c>
      <c r="AG68" s="116">
        <f>+GETPIVOTDATA(" Tot # Instr. New",'Counts Pivot Table'!$A$3,"State","MD","Category2","Two-Year")</f>
        <v>196</v>
      </c>
      <c r="AH68" s="114">
        <f>+GETPIVOTDATA(" Tot # Instr. New",'Counts Pivot Table'!$A$3,"State","MD","Category",12,"Category2","Technical Institutes")</f>
        <v>0</v>
      </c>
      <c r="AI68" s="115">
        <f>+GETPIVOTDATA(" Tot # Instr. New",'Counts Pivot Table'!$A$3,"State","MD","Category",13,"Category2","Technical Institutes")</f>
        <v>0</v>
      </c>
      <c r="AJ68" s="116">
        <f>+GETPIVOTDATA(" Tot # Instr. New",'Counts Pivot Table'!$A$3,"State","MD","Category",14,"Category2","Technical Institutes")</f>
        <v>0</v>
      </c>
      <c r="AK68" s="114">
        <f>+GETPIVOTDATA(" Tot # Instr. New",'Counts Pivot Table'!$A$3,"State","MD","Category2","Technical Institutes")</f>
        <v>0</v>
      </c>
    </row>
    <row r="69" spans="1:39">
      <c r="A69" s="30"/>
      <c r="B69" s="38" t="s">
        <v>414</v>
      </c>
      <c r="C69" s="32">
        <f t="shared" si="16"/>
        <v>0.14555420219244825</v>
      </c>
      <c r="D69" s="34">
        <f t="shared" si="16"/>
        <v>0.14906832298136646</v>
      </c>
      <c r="E69" s="34">
        <f t="shared" si="16"/>
        <v>0.25898692810457519</v>
      </c>
      <c r="F69" s="34">
        <f t="shared" si="16"/>
        <v>0.18884758364312268</v>
      </c>
      <c r="G69" s="34">
        <f t="shared" si="16"/>
        <v>0</v>
      </c>
      <c r="H69" s="68">
        <f t="shared" si="16"/>
        <v>0</v>
      </c>
      <c r="I69" s="32">
        <f t="shared" si="16"/>
        <v>0.18193069306930693</v>
      </c>
      <c r="J69" s="32">
        <f t="shared" si="16"/>
        <v>0</v>
      </c>
      <c r="K69" s="34">
        <f t="shared" si="16"/>
        <v>0</v>
      </c>
      <c r="L69" s="34">
        <f t="shared" si="16"/>
        <v>5.434782608695652E-3</v>
      </c>
      <c r="M69" s="264">
        <f t="shared" si="17"/>
        <v>3.937007874015748E-3</v>
      </c>
      <c r="N69" s="124">
        <f t="shared" si="17"/>
        <v>0</v>
      </c>
      <c r="O69" s="265">
        <f t="shared" si="17"/>
        <v>2.1052631578947368E-3</v>
      </c>
      <c r="P69" s="32">
        <f t="shared" si="17"/>
        <v>0</v>
      </c>
      <c r="Q69" s="34">
        <f t="shared" si="17"/>
        <v>0</v>
      </c>
      <c r="R69" s="68">
        <f t="shared" si="17"/>
        <v>0</v>
      </c>
      <c r="S69" s="32">
        <f t="shared" si="17"/>
        <v>0</v>
      </c>
      <c r="T69" s="92"/>
      <c r="U69" s="114">
        <f>++GETPIVOTDATA(" Tot # Undes. New",'Counts Pivot Table'!$A$3,"State","MD","Category",1,"Category2","Four-Year")</f>
        <v>239</v>
      </c>
      <c r="V69" s="115">
        <f>+GETPIVOTDATA(" Tot # Undes. New",'Counts Pivot Table'!$A$3,"State","MD","Category",2,"Category2","Four-Year")</f>
        <v>72</v>
      </c>
      <c r="W69" s="115">
        <f>+GETPIVOTDATA(" Tot # Undes. New",'Counts Pivot Table'!$A$3,"State","MD","Category",3,"Category2","Four-Year")</f>
        <v>317</v>
      </c>
      <c r="X69" s="115">
        <f>+GETPIVOTDATA(" Tot # Undes. New",'Counts Pivot Table'!$A$3,"State","MD","Category",4,"Category2","Four-Year")</f>
        <v>254</v>
      </c>
      <c r="Y69" s="115">
        <f>+GETPIVOTDATA(" Tot # Undes. New",'Counts Pivot Table'!$A$3,"State","MD","Category",5,"Category2","Four-Year")</f>
        <v>0</v>
      </c>
      <c r="Z69" s="115">
        <f>+GETPIVOTDATA(" Tot # Undes. New",'Counts Pivot Table'!$A$3,"State","MD","Category",6,"Category2","Four-Year")</f>
        <v>0</v>
      </c>
      <c r="AA69" s="117">
        <f>+GETPIVOTDATA(" Tot # Undes. New",'Counts Pivot Table'!$A$3,"State","MD","Category2","Four-Year")</f>
        <v>882</v>
      </c>
      <c r="AB69" s="114">
        <f>+GETPIVOTDATA(" Tot # Undes. New",'Counts Pivot Table'!$A$3,"State","MD","Category",7,"Category2","Two-Year")</f>
        <v>0</v>
      </c>
      <c r="AC69" s="115">
        <f>+GETPIVOTDATA(" Tot # Undes. New",'Counts Pivot Table'!$A$3,"State","MD","Category",8,"Category2","Two-Year")</f>
        <v>0</v>
      </c>
      <c r="AD69" s="115">
        <f>+GETPIVOTDATA(" Tot # Undes. New",'Counts Pivot Table'!$A$3,"State","MD","Category",9,"Category2","Two-Year")</f>
        <v>4</v>
      </c>
      <c r="AE69" s="115">
        <f>+GETPIVOTDATA(" Tot # Undes. New",'Counts Pivot Table'!$A$3,"State","MD","Category",10,"Category2","Two-Year")</f>
        <v>1</v>
      </c>
      <c r="AF69" s="116">
        <f>+GETPIVOTDATA(" Tot # Undes. New",'Counts Pivot Table'!$A$3,"State","MD","Category",11,"Category2","Two-Year")</f>
        <v>0</v>
      </c>
      <c r="AG69" s="116">
        <f>+GETPIVOTDATA(" Tot # Undes. New",'Counts Pivot Table'!$A$3,"State","MD","Category2","Two-Year")</f>
        <v>5</v>
      </c>
      <c r="AH69" s="114">
        <f>+GETPIVOTDATA(" Tot # Undes. New",'Counts Pivot Table'!$A$3,"State","MD","Category",12,"Category2","Technical Institutes")</f>
        <v>0</v>
      </c>
      <c r="AI69" s="115">
        <f>+GETPIVOTDATA(" Tot # Undes. New",'Counts Pivot Table'!$A$3,"State","MD","Category",13,"Category2","Technical Institutes")</f>
        <v>0</v>
      </c>
      <c r="AJ69" s="116">
        <f>+GETPIVOTDATA(" Tot # Undes. New",'Counts Pivot Table'!$A$3,"State","MD","Category",14,"Category2","Technical Institutes")</f>
        <v>0</v>
      </c>
      <c r="AK69" s="114">
        <f>+GETPIVOTDATA(" Tot # Undes. New",'Counts Pivot Table'!$A$3,"State","MD","Category2","Technical Institutes")</f>
        <v>0</v>
      </c>
    </row>
    <row r="70" spans="1:39">
      <c r="A70" s="30"/>
      <c r="B70" s="38" t="s">
        <v>413</v>
      </c>
      <c r="C70" s="32">
        <f t="shared" si="16"/>
        <v>0</v>
      </c>
      <c r="D70" s="34">
        <f t="shared" si="16"/>
        <v>0</v>
      </c>
      <c r="E70" s="199">
        <f t="shared" si="16"/>
        <v>0</v>
      </c>
      <c r="F70" s="34">
        <f t="shared" si="16"/>
        <v>0</v>
      </c>
      <c r="G70" s="199">
        <f t="shared" si="16"/>
        <v>0</v>
      </c>
      <c r="H70" s="68">
        <f t="shared" si="16"/>
        <v>0</v>
      </c>
      <c r="I70" s="198">
        <f t="shared" si="16"/>
        <v>0</v>
      </c>
      <c r="J70" s="32">
        <f t="shared" si="16"/>
        <v>0</v>
      </c>
      <c r="K70" s="34">
        <f t="shared" si="16"/>
        <v>0</v>
      </c>
      <c r="L70" s="34">
        <f t="shared" si="16"/>
        <v>0</v>
      </c>
      <c r="M70" s="34">
        <f t="shared" si="17"/>
        <v>0</v>
      </c>
      <c r="N70" s="68">
        <f t="shared" si="17"/>
        <v>0</v>
      </c>
      <c r="O70" s="32">
        <f t="shared" si="17"/>
        <v>0</v>
      </c>
      <c r="P70" s="32">
        <f t="shared" si="17"/>
        <v>0</v>
      </c>
      <c r="Q70" s="34">
        <f t="shared" si="17"/>
        <v>0</v>
      </c>
      <c r="R70" s="68">
        <f t="shared" si="17"/>
        <v>0</v>
      </c>
      <c r="S70" s="32">
        <f t="shared" si="17"/>
        <v>0</v>
      </c>
      <c r="T70" s="92"/>
      <c r="U70" s="114">
        <f>+GETPIVOTDATA(" Tot # Single Rnk New",'Counts Pivot Table'!$A$3,"State","MD","Category",1,"Category2","Four-Year")</f>
        <v>0</v>
      </c>
      <c r="V70" s="115">
        <f>+GETPIVOTDATA(" Tot # Single Rnk New",'Counts Pivot Table'!$A$3,"State","MD","Category",2,"Category2","Four-Year")</f>
        <v>0</v>
      </c>
      <c r="W70" s="115">
        <f>+GETPIVOTDATA(" Tot # Single Rnk New",'Counts Pivot Table'!$A$3,"State","MD","Category",3,"Category2","Four-Year")</f>
        <v>0</v>
      </c>
      <c r="X70" s="115">
        <f>+GETPIVOTDATA(" Tot # Single Rnk New",'Counts Pivot Table'!$A$3,"State","MD","Category",4,"Category2","Four-Year")</f>
        <v>0</v>
      </c>
      <c r="Y70" s="115">
        <f>+GETPIVOTDATA(" Tot # Single Rnk New",'Counts Pivot Table'!$A$3,"State","MD","Category",5,"Category2","Four-Year")</f>
        <v>0</v>
      </c>
      <c r="Z70" s="115">
        <f>+GETPIVOTDATA(" Tot # Single Rnk New",'Counts Pivot Table'!$A$3,"State","MD","Category",6,"Category2","Four-Year")</f>
        <v>0</v>
      </c>
      <c r="AA70" s="117">
        <f>+GETPIVOTDATA(" Tot # Single Rnk New",'Counts Pivot Table'!$A$3,"State","MD","Category2","Four-Year")</f>
        <v>0</v>
      </c>
      <c r="AB70" s="114">
        <f>+GETPIVOTDATA(" Tot # Single Rnk New",'Counts Pivot Table'!$A$3,"State","MD","Category",7,"Category2","Two-Year")</f>
        <v>0</v>
      </c>
      <c r="AC70" s="115">
        <f>+GETPIVOTDATA(" Tot # Single Rnk New",'Counts Pivot Table'!$A$3,"State","MD","Category",8,"Category2","Two-Year")</f>
        <v>0</v>
      </c>
      <c r="AD70" s="115">
        <f>+GETPIVOTDATA(" Tot # Single Rnk New",'Counts Pivot Table'!$A$3,"State","MD","Category",9,"Category2","Two-Year")</f>
        <v>0</v>
      </c>
      <c r="AE70" s="115">
        <f>+GETPIVOTDATA(" Tot # Single Rnk New",'Counts Pivot Table'!$A$3,"State","MD","Category",10,"Category2","Two-Year")</f>
        <v>0</v>
      </c>
      <c r="AF70" s="116">
        <f>+GETPIVOTDATA(" Tot # Single Rnk New",'Counts Pivot Table'!$A$3,"State","MD","Category",11,"Category2","Two-Year")</f>
        <v>0</v>
      </c>
      <c r="AG70" s="116">
        <f>+GETPIVOTDATA(" Tot # Single Rnk New",'Counts Pivot Table'!$A$3,"State","MD","Category2","Two-Year")</f>
        <v>0</v>
      </c>
      <c r="AH70" s="114">
        <f>+GETPIVOTDATA(" Tot # Single Rnk New",'Counts Pivot Table'!$A$3,"State","MD","Category",12,"Category2","Technical Institutes")</f>
        <v>0</v>
      </c>
      <c r="AI70" s="115">
        <f>+GETPIVOTDATA(" Tot # Single Rnk New",'Counts Pivot Table'!$A$3,"State","MD","Category",13,"Category2","Technical Institutes")</f>
        <v>0</v>
      </c>
      <c r="AJ70" s="116">
        <f>+GETPIVOTDATA(" Tot # Single Rnk New",'Counts Pivot Table'!$A$3,"State","MD","Category",14,"Category2","Technical Institutes")</f>
        <v>0</v>
      </c>
      <c r="AK70" s="114">
        <f>+GETPIVOTDATA(" Tot # Single Rnk New",'Counts Pivot Table'!$A$3,"State","MD","Category2","Technical Institutes")</f>
        <v>0</v>
      </c>
    </row>
    <row r="71" spans="1:39" s="54" customFormat="1">
      <c r="A71" s="207"/>
      <c r="B71" s="208" t="s">
        <v>415</v>
      </c>
      <c r="C71" s="33">
        <f t="shared" si="16"/>
        <v>1</v>
      </c>
      <c r="D71" s="31">
        <f t="shared" si="16"/>
        <v>1</v>
      </c>
      <c r="E71" s="31">
        <f t="shared" si="16"/>
        <v>1</v>
      </c>
      <c r="F71" s="31">
        <f t="shared" si="16"/>
        <v>1</v>
      </c>
      <c r="G71" s="31">
        <f t="shared" si="16"/>
        <v>0</v>
      </c>
      <c r="H71" s="69">
        <f t="shared" si="16"/>
        <v>1</v>
      </c>
      <c r="I71" s="33">
        <f t="shared" si="16"/>
        <v>1</v>
      </c>
      <c r="J71" s="33">
        <f t="shared" si="16"/>
        <v>0</v>
      </c>
      <c r="K71" s="31">
        <f t="shared" si="16"/>
        <v>1</v>
      </c>
      <c r="L71" s="31">
        <f t="shared" si="16"/>
        <v>1</v>
      </c>
      <c r="M71" s="31">
        <f t="shared" si="17"/>
        <v>1</v>
      </c>
      <c r="N71" s="69">
        <f t="shared" si="17"/>
        <v>0</v>
      </c>
      <c r="O71" s="33">
        <f t="shared" si="17"/>
        <v>1</v>
      </c>
      <c r="P71" s="33">
        <f t="shared" si="17"/>
        <v>0</v>
      </c>
      <c r="Q71" s="31">
        <f t="shared" si="17"/>
        <v>0</v>
      </c>
      <c r="R71" s="69">
        <f t="shared" si="17"/>
        <v>0</v>
      </c>
      <c r="S71" s="33">
        <f t="shared" si="17"/>
        <v>0</v>
      </c>
      <c r="T71" s="93"/>
      <c r="U71" s="118">
        <f>+GETPIVOTDATA(" All Ranks # New",'Counts Pivot Table'!$A$3,"State","MD","Category",1,"Category2","Four-Year")</f>
        <v>1642</v>
      </c>
      <c r="V71" s="119">
        <f>+GETPIVOTDATA(" All Ranks # New",'Counts Pivot Table'!$A$3,"State","MD","Category",2,"Category2","Four-Year")</f>
        <v>483</v>
      </c>
      <c r="W71" s="119">
        <f>+GETPIVOTDATA(" All Ranks # New",'Counts Pivot Table'!$A$3,"State","MD","Category",3,"Category2","Four-Year")</f>
        <v>1224</v>
      </c>
      <c r="X71" s="119">
        <f>+GETPIVOTDATA(" All Ranks # New",'Counts Pivot Table'!$A$3,"State","MD","Category",4,"Category2","Four-Year")</f>
        <v>1345</v>
      </c>
      <c r="Y71" s="119">
        <f>+GETPIVOTDATA(" All Ranks # New",'Counts Pivot Table'!$A$3,"State","MD","Category",5,"Category2","Four-Year")</f>
        <v>0</v>
      </c>
      <c r="Z71" s="119">
        <f>+GETPIVOTDATA(" All Ranks # New",'Counts Pivot Table'!$A$3,"State","MD","Category",6,"Category2","Four-Year")</f>
        <v>154</v>
      </c>
      <c r="AA71" s="121">
        <f>+GETPIVOTDATA(" All Ranks # New",'Counts Pivot Table'!$A$3,"State","MD","Category2","Four-Year")</f>
        <v>4848</v>
      </c>
      <c r="AB71" s="118">
        <f>+GETPIVOTDATA(" All Ranks # New",'Counts Pivot Table'!$A$3,"State","MD","Category",7,"Category2","Two-Year")</f>
        <v>0</v>
      </c>
      <c r="AC71" s="119">
        <f>+GETPIVOTDATA(" All Ranks # New",'Counts Pivot Table'!$A$3,"State","MD","Category",8,"Category2","Two-Year")</f>
        <v>1385</v>
      </c>
      <c r="AD71" s="119">
        <f>+GETPIVOTDATA(" All Ranks # New",'Counts Pivot Table'!$A$3,"State","MD","Category",9,"Category2","Two-Year")</f>
        <v>736</v>
      </c>
      <c r="AE71" s="119">
        <f>+GETPIVOTDATA(" All Ranks # New",'Counts Pivot Table'!$A$3,"State","MD","Category",10,"Category2","Two-Year")</f>
        <v>254</v>
      </c>
      <c r="AF71" s="120">
        <f>+GETPIVOTDATA(" All Ranks # New",'Counts Pivot Table'!$A$3,"State","MD","Category",11,"Category2","Two-Year")</f>
        <v>0</v>
      </c>
      <c r="AG71" s="120">
        <f>+GETPIVOTDATA(" All Ranks # New",'Counts Pivot Table'!$A$3,"State","MD","Category2","Two-Year")</f>
        <v>2375</v>
      </c>
      <c r="AH71" s="118">
        <f>+GETPIVOTDATA(" All Ranks # New",'Counts Pivot Table'!$A$3,"State","MD","Category",12,"Category2","Technical Institutes")</f>
        <v>0</v>
      </c>
      <c r="AI71" s="119">
        <f>+GETPIVOTDATA(" All Ranks # New",'Counts Pivot Table'!$A$3,"State","MD","Category",13,"Category2","Technical Institutes")</f>
        <v>0</v>
      </c>
      <c r="AJ71" s="120">
        <f>+GETPIVOTDATA(" All Ranks # New",'Counts Pivot Table'!$A$3,"State","MD","Category",14,"Category2","Technical Institutes")</f>
        <v>0</v>
      </c>
      <c r="AK71" s="118">
        <f>+GETPIVOTDATA(" All Ranks # New",'Counts Pivot Table'!$A$3,"State","MD","Category2","Technical Institutes")</f>
        <v>0</v>
      </c>
      <c r="AL71" s="122"/>
      <c r="AM71" s="122"/>
    </row>
    <row r="72" spans="1:39">
      <c r="A72" s="38" t="s">
        <v>444</v>
      </c>
      <c r="B72" s="35" t="s">
        <v>435</v>
      </c>
      <c r="C72" s="36">
        <f t="shared" ref="C72:L78" si="18">IF(U$78&gt;0,(U72/U$78),0)</f>
        <v>0.24483406386975579</v>
      </c>
      <c r="D72" s="37">
        <f t="shared" si="18"/>
        <v>0.20554493307839389</v>
      </c>
      <c r="E72" s="37">
        <f t="shared" si="18"/>
        <v>0</v>
      </c>
      <c r="F72" s="37">
        <f t="shared" si="18"/>
        <v>0.20708446866485014</v>
      </c>
      <c r="G72" s="37">
        <f t="shared" si="18"/>
        <v>0.17216117216117216</v>
      </c>
      <c r="H72" s="67">
        <f t="shared" si="18"/>
        <v>0</v>
      </c>
      <c r="I72" s="36">
        <f t="shared" si="18"/>
        <v>0.22205300030459946</v>
      </c>
      <c r="J72" s="36">
        <f t="shared" si="18"/>
        <v>0</v>
      </c>
      <c r="K72" s="37">
        <f t="shared" si="18"/>
        <v>0</v>
      </c>
      <c r="L72" s="37">
        <f t="shared" si="18"/>
        <v>0</v>
      </c>
      <c r="M72" s="37">
        <f t="shared" ref="M72:S78" si="19">IF(AE$78&gt;0,(AE72/AE$78),0)</f>
        <v>0</v>
      </c>
      <c r="N72" s="67">
        <f t="shared" si="19"/>
        <v>0</v>
      </c>
      <c r="O72" s="36">
        <f t="shared" si="19"/>
        <v>0</v>
      </c>
      <c r="P72" s="164">
        <f t="shared" si="19"/>
        <v>0</v>
      </c>
      <c r="Q72" s="37">
        <f t="shared" si="19"/>
        <v>0</v>
      </c>
      <c r="R72" s="67">
        <f t="shared" si="19"/>
        <v>0</v>
      </c>
      <c r="S72" s="164">
        <f t="shared" si="19"/>
        <v>0</v>
      </c>
      <c r="T72" s="123"/>
      <c r="U72" s="110">
        <f>+GETPIVOTDATA(" Total # Prof New",'Counts Pivot Table'!$A$3,"State","MS","Category",1,"Category2","Four-Year")</f>
        <v>391</v>
      </c>
      <c r="V72" s="111">
        <f>+GETPIVOTDATA(" Total # Prof New",'Counts Pivot Table'!$A$3,"State","MS","Category",2,"Category2","Four-Year")</f>
        <v>215</v>
      </c>
      <c r="W72" s="111">
        <f>+GETPIVOTDATA(" Total # Prof New",'Counts Pivot Table'!$A$3,"State","MS","Category",3,"Category2","Four-Year")</f>
        <v>0</v>
      </c>
      <c r="X72" s="111">
        <f>+GETPIVOTDATA(" Total # Prof New",'Counts Pivot Table'!$A$3,"State","MS","Category",4,"Category2","Four-Year")</f>
        <v>76</v>
      </c>
      <c r="Y72" s="111">
        <f>+GETPIVOTDATA(" Total # Prof New",'Counts Pivot Table'!$A$3,"State","MS","Category",5,"Category2","Four-Year")</f>
        <v>47</v>
      </c>
      <c r="Z72" s="111">
        <f>+GETPIVOTDATA(" Total # Prof New",'Counts Pivot Table'!$A$3,"State","MS","Category",6,"Category2","Four-Year")</f>
        <v>0</v>
      </c>
      <c r="AA72" s="113">
        <f>+GETPIVOTDATA(" Total # Prof New",'Counts Pivot Table'!$A$3,"State","MS","Category2","Four-Year")</f>
        <v>729</v>
      </c>
      <c r="AB72" s="110">
        <f>+GETPIVOTDATA(" Total # Prof New",'Counts Pivot Table'!$A$3,"State","MS","Category",7,"Category2","Two-Year")</f>
        <v>0</v>
      </c>
      <c r="AC72" s="111">
        <f>+GETPIVOTDATA(" Total # Prof New",'Counts Pivot Table'!$A$3,"State","MS","Category",8,"Category2","Two-Year")</f>
        <v>0</v>
      </c>
      <c r="AD72" s="111">
        <f>+GETPIVOTDATA(" Total # Prof New",'Counts Pivot Table'!$A$3,"State","MS","Category",9,"Category2","Two-Year")</f>
        <v>0</v>
      </c>
      <c r="AE72" s="111">
        <f>+GETPIVOTDATA(" Total # Prof New",'Counts Pivot Table'!$A$3,"State","MS","Category",10,"Category2","Two-Year")</f>
        <v>0</v>
      </c>
      <c r="AF72" s="112">
        <f>+GETPIVOTDATA(" Total # Prof New",'Counts Pivot Table'!$A$3,"State","MS","Category",11,"Category2","Two-Year")</f>
        <v>0</v>
      </c>
      <c r="AG72" s="112">
        <f>+GETPIVOTDATA(" Total # Prof New",'Counts Pivot Table'!$A$3,"State","MS","Category2","Two-Year")</f>
        <v>0</v>
      </c>
      <c r="AH72" s="110">
        <f>+GETPIVOTDATA(" Total # Prof New",'Counts Pivot Table'!$A$3,"State","MS","Category",12,"Category2","Technical Institutes")</f>
        <v>0</v>
      </c>
      <c r="AI72" s="111">
        <f>+GETPIVOTDATA(" Total # Prof New",'Counts Pivot Table'!$A$3,"State","MS","Category",13,"Category2","Technical Institutes")</f>
        <v>0</v>
      </c>
      <c r="AJ72" s="112">
        <f>+GETPIVOTDATA(" Total # Prof New",'Counts Pivot Table'!$A$3,"State","MS","Category",14,"Category2","Technical Institutes")</f>
        <v>0</v>
      </c>
      <c r="AK72" s="110">
        <f>+GETPIVOTDATA(" Total # Prof New",'Counts Pivot Table'!$A$3,"State","MS","Category2","Technical Institutes")</f>
        <v>0</v>
      </c>
    </row>
    <row r="73" spans="1:39">
      <c r="A73" s="30"/>
      <c r="B73" s="38" t="s">
        <v>436</v>
      </c>
      <c r="C73" s="32">
        <f t="shared" si="18"/>
        <v>0.21665623043206012</v>
      </c>
      <c r="D73" s="34">
        <f t="shared" si="18"/>
        <v>0.26864244741873805</v>
      </c>
      <c r="E73" s="34">
        <f t="shared" si="18"/>
        <v>0</v>
      </c>
      <c r="F73" s="34">
        <f t="shared" si="18"/>
        <v>0.18256130790190736</v>
      </c>
      <c r="G73" s="34">
        <f t="shared" si="18"/>
        <v>0.1391941391941392</v>
      </c>
      <c r="H73" s="68">
        <f t="shared" si="18"/>
        <v>0</v>
      </c>
      <c r="I73" s="32">
        <f t="shared" si="18"/>
        <v>0.22296679865976241</v>
      </c>
      <c r="J73" s="32">
        <f t="shared" si="18"/>
        <v>0</v>
      </c>
      <c r="K73" s="34">
        <f t="shared" si="18"/>
        <v>0</v>
      </c>
      <c r="L73" s="34">
        <f t="shared" si="18"/>
        <v>0</v>
      </c>
      <c r="M73" s="34">
        <f t="shared" si="19"/>
        <v>0</v>
      </c>
      <c r="N73" s="68">
        <f t="shared" si="19"/>
        <v>0</v>
      </c>
      <c r="O73" s="32">
        <f t="shared" si="19"/>
        <v>0</v>
      </c>
      <c r="P73" s="32">
        <f t="shared" si="19"/>
        <v>0</v>
      </c>
      <c r="Q73" s="34">
        <f t="shared" si="19"/>
        <v>0</v>
      </c>
      <c r="R73" s="68">
        <f t="shared" si="19"/>
        <v>0</v>
      </c>
      <c r="S73" s="32">
        <f t="shared" si="19"/>
        <v>0</v>
      </c>
      <c r="T73" s="92"/>
      <c r="U73" s="114">
        <f>+GETPIVOTDATA(" Tot # Asc. Prof New",'Counts Pivot Table'!$A$3,"State","MS","Category",1,"Category2","Four-Year")</f>
        <v>346</v>
      </c>
      <c r="V73" s="115">
        <f>+GETPIVOTDATA(" Tot # Asc. Prof New",'Counts Pivot Table'!$A$3,"State","MS","Category",2,"Category2","Four-Year")</f>
        <v>281</v>
      </c>
      <c r="W73" s="115">
        <f>+GETPIVOTDATA(" Tot # Asc. Prof New",'Counts Pivot Table'!$A$3,"State","MS","Category",3,"Category2","Four-Year")</f>
        <v>0</v>
      </c>
      <c r="X73" s="115">
        <f>+GETPIVOTDATA(" Tot # Asc. Prof New",'Counts Pivot Table'!$A$3,"State","MS","Category",4,"Category2","Four-Year")</f>
        <v>67</v>
      </c>
      <c r="Y73" s="115">
        <f>+GETPIVOTDATA(" Tot # Asc. Prof New",'Counts Pivot Table'!$A$3,"State","MS","Category",5,"Category2","Four-Year")</f>
        <v>38</v>
      </c>
      <c r="Z73" s="115">
        <f>+GETPIVOTDATA(" Tot # Asc. Prof New",'Counts Pivot Table'!$A$3,"State","MS","Category",6,"Category2","Four-Year")</f>
        <v>0</v>
      </c>
      <c r="AA73" s="117">
        <f>+GETPIVOTDATA(" Tot # Asc. Prof New",'Counts Pivot Table'!$A$3,"State","MS","Category2","Four-Year")</f>
        <v>732</v>
      </c>
      <c r="AB73" s="114">
        <f>+GETPIVOTDATA(" Tot # Asc. Prof New",'Counts Pivot Table'!$A$3,"State","MS","Category",7,"Category2","Two-Year")</f>
        <v>0</v>
      </c>
      <c r="AC73" s="115">
        <f>+GETPIVOTDATA(" Tot # Asc. Prof New",'Counts Pivot Table'!$A$3,"State","MS","Category",8,"Category2","Two-Year")</f>
        <v>0</v>
      </c>
      <c r="AD73" s="115">
        <f>+GETPIVOTDATA(" Tot # Asc. Prof New",'Counts Pivot Table'!$A$3,"State","MS","Category",9,"Category2","Two-Year")</f>
        <v>0</v>
      </c>
      <c r="AE73" s="115">
        <f>+GETPIVOTDATA(" Tot # Asc. Prof New",'Counts Pivot Table'!$A$3,"State","MS","Category",10,"Category2","Two-Year")</f>
        <v>0</v>
      </c>
      <c r="AF73" s="116">
        <f>+GETPIVOTDATA(" Tot # Asc. Prof New",'Counts Pivot Table'!$A$3,"State","MS","Category",11,"Category2","Two-Year")</f>
        <v>0</v>
      </c>
      <c r="AG73" s="116">
        <f>+GETPIVOTDATA(" Tot # Asc. Prof New",'Counts Pivot Table'!$A$3,"State","MS","Category2","Two-Year")</f>
        <v>0</v>
      </c>
      <c r="AH73" s="114">
        <f>+GETPIVOTDATA(" Tot # Asc. Prof New",'Counts Pivot Table'!$A$3,"State","MS","Category",12,"Category2","Technical Institutes")</f>
        <v>0</v>
      </c>
      <c r="AI73" s="115">
        <f>+GETPIVOTDATA(" Tot # Asc. Prof New",'Counts Pivot Table'!$A$3,"State","MS","Category",13,"Category2","Technical Institutes")</f>
        <v>0</v>
      </c>
      <c r="AJ73" s="116">
        <f>+GETPIVOTDATA(" Tot # Asc. Prof New",'Counts Pivot Table'!$A$3,"State","MS","Category",14,"Category2","Technical Institutes")</f>
        <v>0</v>
      </c>
      <c r="AK73" s="114">
        <f>+GETPIVOTDATA(" Tot # Asc. Prof New",'Counts Pivot Table'!$A$3,"State","MS","Category2","Technical Institutes")</f>
        <v>0</v>
      </c>
    </row>
    <row r="74" spans="1:39">
      <c r="A74" s="30"/>
      <c r="B74" s="38" t="s">
        <v>437</v>
      </c>
      <c r="C74" s="32">
        <f t="shared" si="18"/>
        <v>0.33813400125234816</v>
      </c>
      <c r="D74" s="34">
        <f t="shared" si="18"/>
        <v>0.35564053537284895</v>
      </c>
      <c r="E74" s="34">
        <f t="shared" si="18"/>
        <v>0</v>
      </c>
      <c r="F74" s="34">
        <f t="shared" si="18"/>
        <v>0.34877384196185285</v>
      </c>
      <c r="G74" s="34">
        <f t="shared" si="18"/>
        <v>0.39926739926739929</v>
      </c>
      <c r="H74" s="68">
        <f t="shared" si="18"/>
        <v>0</v>
      </c>
      <c r="I74" s="32">
        <f t="shared" si="18"/>
        <v>0.34998477002741396</v>
      </c>
      <c r="J74" s="32">
        <f t="shared" si="18"/>
        <v>0</v>
      </c>
      <c r="K74" s="34">
        <f t="shared" si="18"/>
        <v>0</v>
      </c>
      <c r="L74" s="34">
        <f t="shared" si="18"/>
        <v>0</v>
      </c>
      <c r="M74" s="34">
        <f t="shared" si="19"/>
        <v>0</v>
      </c>
      <c r="N74" s="68">
        <f t="shared" si="19"/>
        <v>0</v>
      </c>
      <c r="O74" s="32">
        <f t="shared" si="19"/>
        <v>0</v>
      </c>
      <c r="P74" s="32">
        <f t="shared" si="19"/>
        <v>0</v>
      </c>
      <c r="Q74" s="34">
        <f t="shared" si="19"/>
        <v>0</v>
      </c>
      <c r="R74" s="68">
        <f t="shared" si="19"/>
        <v>0</v>
      </c>
      <c r="S74" s="32">
        <f t="shared" si="19"/>
        <v>0</v>
      </c>
      <c r="T74" s="92"/>
      <c r="U74" s="114">
        <f>+GETPIVOTDATA(" Tot # Ast. Prof New",'Counts Pivot Table'!$A$3,"State","MS","Category",1,"Category2","Four-Year")</f>
        <v>540</v>
      </c>
      <c r="V74" s="115">
        <f>+GETPIVOTDATA(" Tot # Ast. Prof New",'Counts Pivot Table'!$A$3,"State","MS","Category",2,"Category2","Four-Year")</f>
        <v>372</v>
      </c>
      <c r="W74" s="115">
        <f>+GETPIVOTDATA(" Tot # Ast. Prof New",'Counts Pivot Table'!$A$3,"State","MS","Category",3,"Category2","Four-Year")</f>
        <v>0</v>
      </c>
      <c r="X74" s="115">
        <f>+GETPIVOTDATA(" Tot # Ast. Prof New",'Counts Pivot Table'!$A$3,"State","MS","Category",4,"Category2","Four-Year")</f>
        <v>128</v>
      </c>
      <c r="Y74" s="115">
        <f>+GETPIVOTDATA(" Tot # Ast. Prof New",'Counts Pivot Table'!$A$3,"State","MS","Category",5,"Category2","Four-Year")</f>
        <v>109</v>
      </c>
      <c r="Z74" s="115">
        <f>+GETPIVOTDATA(" Tot # Ast. Prof New",'Counts Pivot Table'!$A$3,"State","MS","Category",6,"Category2","Four-Year")</f>
        <v>0</v>
      </c>
      <c r="AA74" s="117">
        <f>+GETPIVOTDATA(" Tot # Ast. Prof New",'Counts Pivot Table'!$A$3,"State","MS","Category2","Four-Year")</f>
        <v>1149</v>
      </c>
      <c r="AB74" s="114">
        <f>+GETPIVOTDATA(" Tot # Ast. Prof New",'Counts Pivot Table'!$A$3,"State","MS","Category",7,"Category2","Two-Year")</f>
        <v>0</v>
      </c>
      <c r="AC74" s="115">
        <f>+GETPIVOTDATA(" Tot # Ast. Prof New",'Counts Pivot Table'!$A$3,"State","MS","Category",8,"Category2","Two-Year")</f>
        <v>0</v>
      </c>
      <c r="AD74" s="115">
        <f>+GETPIVOTDATA(" Tot # Ast. Prof New",'Counts Pivot Table'!$A$3,"State","MS","Category",9,"Category2","Two-Year")</f>
        <v>0</v>
      </c>
      <c r="AE74" s="115">
        <f>+GETPIVOTDATA(" Tot # Ast. Prof New",'Counts Pivot Table'!$A$3,"State","MS","Category",10,"Category2","Two-Year")</f>
        <v>0</v>
      </c>
      <c r="AF74" s="116">
        <f>+GETPIVOTDATA(" Tot # Ast. Prof New",'Counts Pivot Table'!$A$3,"State","MS","Category",11,"Category2","Two-Year")</f>
        <v>0</v>
      </c>
      <c r="AG74" s="116">
        <f>+GETPIVOTDATA(" Tot # Ast. Prof New",'Counts Pivot Table'!$A$3,"State","MS","Category2","Two-Year")</f>
        <v>0</v>
      </c>
      <c r="AH74" s="114">
        <f>+GETPIVOTDATA(" Tot # Ast. Prof New",'Counts Pivot Table'!$A$3,"State","MS","Category",12,"Category2","Technical Institutes")</f>
        <v>0</v>
      </c>
      <c r="AI74" s="115">
        <f>+GETPIVOTDATA(" Tot # Ast. Prof New",'Counts Pivot Table'!$A$3,"State","MS","Category",13,"Category2","Technical Institutes")</f>
        <v>0</v>
      </c>
      <c r="AJ74" s="116">
        <f>+GETPIVOTDATA(" Tot # Ast. Prof New",'Counts Pivot Table'!$A$3,"State","MS","Category",14,"Category2","Technical Institutes")</f>
        <v>0</v>
      </c>
      <c r="AK74" s="114">
        <f>+GETPIVOTDATA(" Tot # Ast. Prof New",'Counts Pivot Table'!$A$3,"State","MS","Category2","Technical Institutes")</f>
        <v>0</v>
      </c>
    </row>
    <row r="75" spans="1:39">
      <c r="A75" s="30"/>
      <c r="B75" s="38" t="s">
        <v>438</v>
      </c>
      <c r="C75" s="32">
        <f t="shared" si="18"/>
        <v>0.16969317470256731</v>
      </c>
      <c r="D75" s="34">
        <f t="shared" si="18"/>
        <v>0.16061185468451242</v>
      </c>
      <c r="E75" s="34">
        <f t="shared" si="18"/>
        <v>0</v>
      </c>
      <c r="F75" s="34">
        <f t="shared" si="18"/>
        <v>0.26158038147138962</v>
      </c>
      <c r="G75" s="34">
        <f t="shared" si="18"/>
        <v>0.2893772893772894</v>
      </c>
      <c r="H75" s="68">
        <f t="shared" si="18"/>
        <v>0</v>
      </c>
      <c r="I75" s="32">
        <f t="shared" si="18"/>
        <v>0.18702406335668595</v>
      </c>
      <c r="J75" s="32">
        <f t="shared" si="18"/>
        <v>0</v>
      </c>
      <c r="K75" s="34">
        <f t="shared" si="18"/>
        <v>0</v>
      </c>
      <c r="L75" s="34">
        <f t="shared" si="18"/>
        <v>0</v>
      </c>
      <c r="M75" s="34">
        <f t="shared" si="19"/>
        <v>0</v>
      </c>
      <c r="N75" s="68">
        <f t="shared" si="19"/>
        <v>0</v>
      </c>
      <c r="O75" s="32">
        <f t="shared" si="19"/>
        <v>0</v>
      </c>
      <c r="P75" s="32">
        <f t="shared" si="19"/>
        <v>0</v>
      </c>
      <c r="Q75" s="34">
        <f t="shared" si="19"/>
        <v>0</v>
      </c>
      <c r="R75" s="68">
        <f t="shared" si="19"/>
        <v>0</v>
      </c>
      <c r="S75" s="32">
        <f t="shared" si="19"/>
        <v>0</v>
      </c>
      <c r="T75" s="92"/>
      <c r="U75" s="114">
        <f>+GETPIVOTDATA(" Tot # Instr. New",'Counts Pivot Table'!$A$3,"State","MS","Category",1,"Category2","Four-Year")</f>
        <v>271</v>
      </c>
      <c r="V75" s="115">
        <f>+GETPIVOTDATA(" Tot # Instr. New",'Counts Pivot Table'!$A$3,"State","MS","Category",2,"Category2","Four-Year")</f>
        <v>168</v>
      </c>
      <c r="W75" s="115">
        <f>+GETPIVOTDATA(" Tot # Instr. New",'Counts Pivot Table'!$A$3,"State","MS","Category",3,"Category2","Four-Year")</f>
        <v>0</v>
      </c>
      <c r="X75" s="115">
        <f>+GETPIVOTDATA(" Tot # Instr. New",'Counts Pivot Table'!$A$3,"State","MS","Category",4,"Category2","Four-Year")</f>
        <v>96</v>
      </c>
      <c r="Y75" s="115">
        <f>+GETPIVOTDATA(" Tot # Instr. New",'Counts Pivot Table'!$A$3,"State","MS","Category",5,"Category2","Four-Year")</f>
        <v>79</v>
      </c>
      <c r="Z75" s="115">
        <f>+GETPIVOTDATA(" Tot # Instr. New",'Counts Pivot Table'!$A$3,"State","MS","Category",6,"Category2","Four-Year")</f>
        <v>0</v>
      </c>
      <c r="AA75" s="117">
        <f>+GETPIVOTDATA(" Tot # Instr. New",'Counts Pivot Table'!$A$3,"State","MS","Category2","Four-Year")</f>
        <v>614</v>
      </c>
      <c r="AB75" s="114">
        <f>+GETPIVOTDATA(" Tot # Instr. New",'Counts Pivot Table'!$A$3,"State","MS","Category",7,"Category2","Two-Year")</f>
        <v>0</v>
      </c>
      <c r="AC75" s="115">
        <f>+GETPIVOTDATA(" Tot # Instr. New",'Counts Pivot Table'!$A$3,"State","MS","Category",8,"Category2","Two-Year")</f>
        <v>0</v>
      </c>
      <c r="AD75" s="115">
        <f>+GETPIVOTDATA(" Tot # Instr. New",'Counts Pivot Table'!$A$3,"State","MS","Category",9,"Category2","Two-Year")</f>
        <v>0</v>
      </c>
      <c r="AE75" s="115">
        <f>+GETPIVOTDATA(" Tot # Instr. New",'Counts Pivot Table'!$A$3,"State","MS","Category",10,"Category2","Two-Year")</f>
        <v>0</v>
      </c>
      <c r="AF75" s="116">
        <f>+GETPIVOTDATA(" Tot # Instr. New",'Counts Pivot Table'!$A$3,"State","MS","Category",11,"Category2","Two-Year")</f>
        <v>0</v>
      </c>
      <c r="AG75" s="116">
        <f>+GETPIVOTDATA(" Tot # Instr. New",'Counts Pivot Table'!$A$3,"State","MS","Category2","Two-Year")</f>
        <v>0</v>
      </c>
      <c r="AH75" s="114">
        <f>+GETPIVOTDATA(" Tot # Instr. New",'Counts Pivot Table'!$A$3,"State","MS","Category",12,"Category2","Technical Institutes")</f>
        <v>0</v>
      </c>
      <c r="AI75" s="115">
        <f>+GETPIVOTDATA(" Tot # Instr. New",'Counts Pivot Table'!$A$3,"State","MS","Category",13,"Category2","Technical Institutes")</f>
        <v>0</v>
      </c>
      <c r="AJ75" s="116">
        <f>+GETPIVOTDATA(" Tot # Instr. New",'Counts Pivot Table'!$A$3,"State","MS","Category",14,"Category2","Technical Institutes")</f>
        <v>0</v>
      </c>
      <c r="AK75" s="114">
        <f>+GETPIVOTDATA(" Tot # Instr. New",'Counts Pivot Table'!$A$3,"State","MS","Category2","Technical Institutes")</f>
        <v>0</v>
      </c>
    </row>
    <row r="76" spans="1:39">
      <c r="A76" s="30"/>
      <c r="B76" s="38" t="s">
        <v>414</v>
      </c>
      <c r="C76" s="32">
        <f t="shared" si="18"/>
        <v>3.0682529743268627E-2</v>
      </c>
      <c r="D76" s="34">
        <f t="shared" si="18"/>
        <v>9.5602294455066923E-3</v>
      </c>
      <c r="E76" s="34">
        <f t="shared" si="18"/>
        <v>0</v>
      </c>
      <c r="F76" s="34">
        <f t="shared" si="18"/>
        <v>0</v>
      </c>
      <c r="G76" s="34">
        <f t="shared" si="18"/>
        <v>0</v>
      </c>
      <c r="H76" s="68">
        <f t="shared" si="18"/>
        <v>0</v>
      </c>
      <c r="I76" s="32">
        <f t="shared" si="18"/>
        <v>1.7971367651538228E-2</v>
      </c>
      <c r="J76" s="32">
        <f t="shared" si="18"/>
        <v>0</v>
      </c>
      <c r="K76" s="34">
        <f t="shared" si="18"/>
        <v>0</v>
      </c>
      <c r="L76" s="34">
        <f t="shared" si="18"/>
        <v>0</v>
      </c>
      <c r="M76" s="34">
        <f t="shared" si="19"/>
        <v>0</v>
      </c>
      <c r="N76" s="124">
        <f t="shared" si="19"/>
        <v>0</v>
      </c>
      <c r="O76" s="32">
        <f t="shared" si="19"/>
        <v>0</v>
      </c>
      <c r="P76" s="32">
        <f t="shared" si="19"/>
        <v>0</v>
      </c>
      <c r="Q76" s="34">
        <f t="shared" si="19"/>
        <v>0</v>
      </c>
      <c r="R76" s="68">
        <f t="shared" si="19"/>
        <v>0</v>
      </c>
      <c r="S76" s="32">
        <f t="shared" si="19"/>
        <v>0</v>
      </c>
      <c r="T76" s="92"/>
      <c r="U76" s="114">
        <f>++GETPIVOTDATA(" Tot # Undes. New",'Counts Pivot Table'!$A$3,"State","MS","Category",1,"Category2","Four-Year")</f>
        <v>49</v>
      </c>
      <c r="V76" s="115">
        <f>+GETPIVOTDATA(" Tot # Undes. New",'Counts Pivot Table'!$A$3,"State","MS","Category",2,"Category2","Four-Year")</f>
        <v>10</v>
      </c>
      <c r="W76" s="115">
        <f>+GETPIVOTDATA(" Tot # Undes. New",'Counts Pivot Table'!$A$3,"State","MS","Category",3,"Category2","Four-Year")</f>
        <v>0</v>
      </c>
      <c r="X76" s="115">
        <f>+GETPIVOTDATA(" Tot # Undes. New",'Counts Pivot Table'!$A$3,"State","MS","Category",4,"Category2","Four-Year")</f>
        <v>0</v>
      </c>
      <c r="Y76" s="115">
        <f>+GETPIVOTDATA(" Tot # Undes. New",'Counts Pivot Table'!$A$3,"State","MS","Category",5,"Category2","Four-Year")</f>
        <v>0</v>
      </c>
      <c r="Z76" s="115">
        <f>+GETPIVOTDATA(" Tot # Undes. New",'Counts Pivot Table'!$A$3,"State","MS","Category",6,"Category2","Four-Year")</f>
        <v>0</v>
      </c>
      <c r="AA76" s="117">
        <f>+GETPIVOTDATA(" Tot # Undes. New",'Counts Pivot Table'!$A$3,"State","MS","Category2","Four-Year")</f>
        <v>59</v>
      </c>
      <c r="AB76" s="114">
        <f>+GETPIVOTDATA(" Tot # Undes. New",'Counts Pivot Table'!$A$3,"State","MS","Category",7,"Category2","Two-Year")</f>
        <v>0</v>
      </c>
      <c r="AC76" s="115">
        <f>+GETPIVOTDATA(" Tot # Undes. New",'Counts Pivot Table'!$A$3,"State","MS","Category",8,"Category2","Two-Year")</f>
        <v>0</v>
      </c>
      <c r="AD76" s="115">
        <f>+GETPIVOTDATA(" Tot # Undes. New",'Counts Pivot Table'!$A$3,"State","MS","Category",9,"Category2","Two-Year")</f>
        <v>0</v>
      </c>
      <c r="AE76" s="115">
        <f>+GETPIVOTDATA(" Tot # Undes. New",'Counts Pivot Table'!$A$3,"State","MS","Category",10,"Category2","Two-Year")</f>
        <v>0</v>
      </c>
      <c r="AF76" s="116">
        <f>+GETPIVOTDATA(" Tot # Undes. New",'Counts Pivot Table'!$A$3,"State","MS","Category",11,"Category2","Two-Year")</f>
        <v>0</v>
      </c>
      <c r="AG76" s="116">
        <f>+GETPIVOTDATA(" Tot # Undes. New",'Counts Pivot Table'!$A$3,"State","MS","Category2","Two-Year")</f>
        <v>0</v>
      </c>
      <c r="AH76" s="114">
        <f>+GETPIVOTDATA(" Tot # Undes. New",'Counts Pivot Table'!$A$3,"State","MS","Category",12,"Category2","Technical Institutes")</f>
        <v>0</v>
      </c>
      <c r="AI76" s="115">
        <f>+GETPIVOTDATA(" Tot # Undes. New",'Counts Pivot Table'!$A$3,"State","MS","Category",13,"Category2","Technical Institutes")</f>
        <v>0</v>
      </c>
      <c r="AJ76" s="116">
        <f>+GETPIVOTDATA(" Tot # Undes. New",'Counts Pivot Table'!$A$3,"State","MS","Category",14,"Category2","Technical Institutes")</f>
        <v>0</v>
      </c>
      <c r="AK76" s="114">
        <f>+GETPIVOTDATA(" Tot # Undes. New",'Counts Pivot Table'!$A$3,"State","MS","Category2","Technical Institutes")</f>
        <v>0</v>
      </c>
    </row>
    <row r="77" spans="1:39">
      <c r="A77" s="30"/>
      <c r="B77" s="38" t="s">
        <v>413</v>
      </c>
      <c r="C77" s="32">
        <f t="shared" si="18"/>
        <v>0</v>
      </c>
      <c r="D77" s="34">
        <f t="shared" si="18"/>
        <v>0</v>
      </c>
      <c r="E77" s="199">
        <f t="shared" si="18"/>
        <v>0</v>
      </c>
      <c r="F77" s="34">
        <f t="shared" si="18"/>
        <v>0</v>
      </c>
      <c r="G77" s="199">
        <f t="shared" si="18"/>
        <v>0</v>
      </c>
      <c r="H77" s="68">
        <f t="shared" si="18"/>
        <v>0</v>
      </c>
      <c r="I77" s="198">
        <f t="shared" si="18"/>
        <v>0</v>
      </c>
      <c r="J77" s="32">
        <f t="shared" si="18"/>
        <v>0</v>
      </c>
      <c r="K77" s="34">
        <f t="shared" si="18"/>
        <v>1</v>
      </c>
      <c r="L77" s="34">
        <f t="shared" si="18"/>
        <v>1</v>
      </c>
      <c r="M77" s="34">
        <f t="shared" si="19"/>
        <v>1</v>
      </c>
      <c r="N77" s="68">
        <f t="shared" si="19"/>
        <v>0</v>
      </c>
      <c r="O77" s="32">
        <f t="shared" si="19"/>
        <v>1</v>
      </c>
      <c r="P77" s="32">
        <f t="shared" si="19"/>
        <v>0</v>
      </c>
      <c r="Q77" s="34">
        <f t="shared" si="19"/>
        <v>0</v>
      </c>
      <c r="R77" s="68">
        <f t="shared" si="19"/>
        <v>0</v>
      </c>
      <c r="S77" s="32">
        <f t="shared" si="19"/>
        <v>0</v>
      </c>
      <c r="T77" s="92"/>
      <c r="U77" s="114">
        <f>+GETPIVOTDATA(" Tot # Single Rnk New",'Counts Pivot Table'!$A$3,"State","MS","Category",1,"Category2","Four-Year")</f>
        <v>0</v>
      </c>
      <c r="V77" s="115">
        <f>+GETPIVOTDATA(" Tot # Single Rnk New",'Counts Pivot Table'!$A$3,"State","MS","Category",2,"Category2","Four-Year")</f>
        <v>0</v>
      </c>
      <c r="W77" s="115">
        <f>+GETPIVOTDATA(" Tot # Single Rnk New",'Counts Pivot Table'!$A$3,"State","MS","Category",3,"Category2","Four-Year")</f>
        <v>0</v>
      </c>
      <c r="X77" s="115">
        <f>+GETPIVOTDATA(" Tot # Single Rnk New",'Counts Pivot Table'!$A$3,"State","MS","Category",4,"Category2","Four-Year")</f>
        <v>0</v>
      </c>
      <c r="Y77" s="115">
        <f>+GETPIVOTDATA(" Tot # Single Rnk New",'Counts Pivot Table'!$A$3,"State","MS","Category",5,"Category2","Four-Year")</f>
        <v>0</v>
      </c>
      <c r="Z77" s="115">
        <f>+GETPIVOTDATA(" Tot # Single Rnk New",'Counts Pivot Table'!$A$3,"State","MS","Category",6,"Category2","Four-Year")</f>
        <v>0</v>
      </c>
      <c r="AA77" s="117">
        <f>+GETPIVOTDATA(" Tot # Single Rnk New",'Counts Pivot Table'!$A$3,"State","MS","Category2","Four-Year")</f>
        <v>0</v>
      </c>
      <c r="AB77" s="114">
        <f>+GETPIVOTDATA(" Tot # Single Rnk New",'Counts Pivot Table'!$A$3,"State","MS","Category",7,"Category2","Two-Year")</f>
        <v>0</v>
      </c>
      <c r="AC77" s="115">
        <f>+GETPIVOTDATA(" Tot # Single Rnk New",'Counts Pivot Table'!$A$3,"State","MS","Category",8,"Category2","Two-Year")</f>
        <v>1025</v>
      </c>
      <c r="AD77" s="115">
        <f>+GETPIVOTDATA(" Tot # Single Rnk New",'Counts Pivot Table'!$A$3,"State","MS","Category",9,"Category2","Two-Year")</f>
        <v>1394.9</v>
      </c>
      <c r="AE77" s="115">
        <f>+GETPIVOTDATA(" Tot # Single Rnk New",'Counts Pivot Table'!$A$3,"State","MS","Category",10,"Category2","Two-Year")</f>
        <v>152</v>
      </c>
      <c r="AF77" s="116">
        <f>+GETPIVOTDATA(" Tot # Single Rnk New",'Counts Pivot Table'!$A$3,"State","MS","Category",11,"Category2","Two-Year")</f>
        <v>0</v>
      </c>
      <c r="AG77" s="116">
        <f>+GETPIVOTDATA(" Tot # Single Rnk New",'Counts Pivot Table'!$A$3,"State","MS","Category2","Two-Year")</f>
        <v>2571.9</v>
      </c>
      <c r="AH77" s="114">
        <f>+GETPIVOTDATA(" Tot # Single Rnk New",'Counts Pivot Table'!$A$3,"State","MS","Category",12,"Category2","Technical Institutes")</f>
        <v>0</v>
      </c>
      <c r="AI77" s="115">
        <f>+GETPIVOTDATA(" Tot # Single Rnk New",'Counts Pivot Table'!$A$3,"State","MS","Category",13,"Category2","Technical Institutes")</f>
        <v>0</v>
      </c>
      <c r="AJ77" s="116">
        <f>+GETPIVOTDATA(" Tot # Single Rnk New",'Counts Pivot Table'!$A$3,"State","MS","Category",14,"Category2","Technical Institutes")</f>
        <v>0</v>
      </c>
      <c r="AK77" s="114">
        <f>+GETPIVOTDATA(" Tot # Single Rnk New",'Counts Pivot Table'!$A$3,"State","MS","Category2","Technical Institutes")</f>
        <v>0</v>
      </c>
    </row>
    <row r="78" spans="1:39" s="54" customFormat="1">
      <c r="A78" s="207"/>
      <c r="B78" s="208" t="s">
        <v>415</v>
      </c>
      <c r="C78" s="33">
        <f t="shared" si="18"/>
        <v>1</v>
      </c>
      <c r="D78" s="31">
        <f t="shared" si="18"/>
        <v>1</v>
      </c>
      <c r="E78" s="31">
        <f t="shared" si="18"/>
        <v>0</v>
      </c>
      <c r="F78" s="31">
        <f t="shared" si="18"/>
        <v>1</v>
      </c>
      <c r="G78" s="31">
        <f t="shared" si="18"/>
        <v>1</v>
      </c>
      <c r="H78" s="69">
        <f t="shared" si="18"/>
        <v>0</v>
      </c>
      <c r="I78" s="33">
        <f t="shared" si="18"/>
        <v>1</v>
      </c>
      <c r="J78" s="33">
        <f t="shared" si="18"/>
        <v>0</v>
      </c>
      <c r="K78" s="31">
        <f t="shared" si="18"/>
        <v>1</v>
      </c>
      <c r="L78" s="31">
        <f t="shared" si="18"/>
        <v>1</v>
      </c>
      <c r="M78" s="31">
        <f t="shared" si="19"/>
        <v>1</v>
      </c>
      <c r="N78" s="69">
        <f t="shared" si="19"/>
        <v>0</v>
      </c>
      <c r="O78" s="33">
        <f t="shared" si="19"/>
        <v>1</v>
      </c>
      <c r="P78" s="33">
        <f t="shared" si="19"/>
        <v>0</v>
      </c>
      <c r="Q78" s="31">
        <f t="shared" si="19"/>
        <v>0</v>
      </c>
      <c r="R78" s="69">
        <f t="shared" si="19"/>
        <v>0</v>
      </c>
      <c r="S78" s="33">
        <f t="shared" si="19"/>
        <v>0</v>
      </c>
      <c r="T78" s="93"/>
      <c r="U78" s="118">
        <f>+GETPIVOTDATA(" All Ranks # New",'Counts Pivot Table'!$A$3,"State","MS","Category",1,"Category2","Four-Year")</f>
        <v>1597</v>
      </c>
      <c r="V78" s="119">
        <f>+GETPIVOTDATA(" All Ranks # New",'Counts Pivot Table'!$A$3,"State","MS","Category",2,"Category2","Four-Year")</f>
        <v>1046</v>
      </c>
      <c r="W78" s="119">
        <f>+GETPIVOTDATA(" All Ranks # New",'Counts Pivot Table'!$A$3,"State","MS","Category",3,"Category2","Four-Year")</f>
        <v>0</v>
      </c>
      <c r="X78" s="119">
        <f>+GETPIVOTDATA(" All Ranks # New",'Counts Pivot Table'!$A$3,"State","MS","Category",4,"Category2","Four-Year")</f>
        <v>367</v>
      </c>
      <c r="Y78" s="119">
        <f>+GETPIVOTDATA(" All Ranks # New",'Counts Pivot Table'!$A$3,"State","MS","Category",5,"Category2","Four-Year")</f>
        <v>273</v>
      </c>
      <c r="Z78" s="119">
        <f>+GETPIVOTDATA(" All Ranks # New",'Counts Pivot Table'!$A$3,"State","MS","Category",6,"Category2","Four-Year")</f>
        <v>0</v>
      </c>
      <c r="AA78" s="121">
        <f>+GETPIVOTDATA(" All Ranks # New",'Counts Pivot Table'!$A$3,"State","MS","Category2","Four-Year")</f>
        <v>3283</v>
      </c>
      <c r="AB78" s="118">
        <f>+GETPIVOTDATA(" All Ranks # New",'Counts Pivot Table'!$A$3,"State","MS","Category",7,"Category2","Two-Year")</f>
        <v>0</v>
      </c>
      <c r="AC78" s="119">
        <f>+GETPIVOTDATA(" All Ranks # New",'Counts Pivot Table'!$A$3,"State","MS","Category",8,"Category2","Two-Year")</f>
        <v>1025</v>
      </c>
      <c r="AD78" s="119">
        <f>+GETPIVOTDATA(" All Ranks # New",'Counts Pivot Table'!$A$3,"State","MS","Category",9,"Category2","Two-Year")</f>
        <v>1394.9</v>
      </c>
      <c r="AE78" s="119">
        <f>+GETPIVOTDATA(" All Ranks # New",'Counts Pivot Table'!$A$3,"State","MS","Category",10,"Category2","Two-Year")</f>
        <v>152</v>
      </c>
      <c r="AF78" s="120">
        <f>+GETPIVOTDATA(" All Ranks # New",'Counts Pivot Table'!$A$3,"State","MS","Category",11,"Category2","Two-Year")</f>
        <v>0</v>
      </c>
      <c r="AG78" s="120">
        <f>+GETPIVOTDATA(" All Ranks # New",'Counts Pivot Table'!$A$3,"State","MS","Category2","Two-Year")</f>
        <v>2571.9</v>
      </c>
      <c r="AH78" s="118">
        <f>+GETPIVOTDATA(" All Ranks # New",'Counts Pivot Table'!$A$3,"State","MS","Category",12,"Category2","Technical Institutes")</f>
        <v>0</v>
      </c>
      <c r="AI78" s="119">
        <f>+GETPIVOTDATA(" All Ranks # New",'Counts Pivot Table'!$A$3,"State","MS","Category",13,"Category2","Technical Institutes")</f>
        <v>0</v>
      </c>
      <c r="AJ78" s="120">
        <f>+GETPIVOTDATA(" All Ranks # New",'Counts Pivot Table'!$A$3,"State","MS","Category",14,"Category2","Technical Institutes")</f>
        <v>0</v>
      </c>
      <c r="AK78" s="118">
        <f>+GETPIVOTDATA(" All Ranks # New",'Counts Pivot Table'!$A$3,"State","MS","Category2","Technical Institutes")</f>
        <v>0</v>
      </c>
      <c r="AL78" s="122"/>
      <c r="AM78" s="122"/>
    </row>
    <row r="79" spans="1:39">
      <c r="A79" s="38" t="s">
        <v>445</v>
      </c>
      <c r="B79" s="35" t="s">
        <v>435</v>
      </c>
      <c r="C79" s="36">
        <f t="shared" ref="C79:L85" si="20">IF(U$85&gt;0,(U79/U$85),0)</f>
        <v>0.37173396674584325</v>
      </c>
      <c r="D79" s="37">
        <f t="shared" si="20"/>
        <v>0.21618562535370683</v>
      </c>
      <c r="E79" s="37">
        <f t="shared" si="20"/>
        <v>0.22056216763737654</v>
      </c>
      <c r="F79" s="37">
        <f t="shared" si="20"/>
        <v>0.13071895424836602</v>
      </c>
      <c r="G79" s="37">
        <f t="shared" si="20"/>
        <v>0.13990461049284578</v>
      </c>
      <c r="H79" s="67">
        <f t="shared" si="20"/>
        <v>0.25</v>
      </c>
      <c r="I79" s="36">
        <f t="shared" si="20"/>
        <v>0.26234716472513719</v>
      </c>
      <c r="J79" s="36">
        <f t="shared" si="20"/>
        <v>0</v>
      </c>
      <c r="K79" s="37">
        <f t="shared" si="20"/>
        <v>0</v>
      </c>
      <c r="L79" s="37">
        <f t="shared" si="20"/>
        <v>0</v>
      </c>
      <c r="M79" s="37">
        <f t="shared" ref="M79:S85" si="21">IF(AE$85&gt;0,(AE79/AE$85),0)</f>
        <v>0</v>
      </c>
      <c r="N79" s="67">
        <f t="shared" si="21"/>
        <v>0</v>
      </c>
      <c r="O79" s="36">
        <f t="shared" si="21"/>
        <v>0</v>
      </c>
      <c r="P79" s="164">
        <f t="shared" si="21"/>
        <v>0</v>
      </c>
      <c r="Q79" s="37">
        <f t="shared" si="21"/>
        <v>0</v>
      </c>
      <c r="R79" s="67">
        <f t="shared" si="21"/>
        <v>0</v>
      </c>
      <c r="S79" s="164">
        <f t="shared" si="21"/>
        <v>0</v>
      </c>
      <c r="T79" s="123"/>
      <c r="U79" s="110">
        <f>+GETPIVOTDATA(" Total # Prof New",'Counts Pivot Table'!$A$3,"State","NC","Category",1,"Category2","Four-Year")</f>
        <v>1252</v>
      </c>
      <c r="V79" s="111">
        <f>+GETPIVOTDATA(" Total # Prof New",'Counts Pivot Table'!$A$3,"State","NC","Category",2,"Category2","Four-Year")</f>
        <v>382</v>
      </c>
      <c r="W79" s="111">
        <f>+GETPIVOTDATA(" Total # Prof New",'Counts Pivot Table'!$A$3,"State","NC","Category",3,"Category2","Four-Year")</f>
        <v>871</v>
      </c>
      <c r="X79" s="111">
        <f>+GETPIVOTDATA(" Total # Prof New",'Counts Pivot Table'!$A$3,"State","NC","Category",4,"Category2","Four-Year")</f>
        <v>40</v>
      </c>
      <c r="Y79" s="111">
        <f>+GETPIVOTDATA(" Total # Prof New",'Counts Pivot Table'!$A$3,"State","NC","Category",5,"Category2","Four-Year")</f>
        <v>88</v>
      </c>
      <c r="Z79" s="111">
        <f>+GETPIVOTDATA(" Total # Prof New",'Counts Pivot Table'!$A$3,"State","NC","Category",6,"Category2","Four-Year")</f>
        <v>92</v>
      </c>
      <c r="AA79" s="113">
        <f>+GETPIVOTDATA(" Total # Prof New",'Counts Pivot Table'!$A$3,"State","NC","Category2","Four-Year")</f>
        <v>2725</v>
      </c>
      <c r="AB79" s="110">
        <f>+GETPIVOTDATA(" Total # Prof New",'Counts Pivot Table'!$A$3,"State","NC","Category",7,"Category2","Two-Year")</f>
        <v>0</v>
      </c>
      <c r="AC79" s="111">
        <f>+GETPIVOTDATA(" Total # Prof New",'Counts Pivot Table'!$A$3,"State","NC","Category",8,"Category2","Two-Year")</f>
        <v>0</v>
      </c>
      <c r="AD79" s="111">
        <f>+GETPIVOTDATA(" Total # Prof New",'Counts Pivot Table'!$A$3,"State","NC","Category",9,"Category2","Two-Year")</f>
        <v>0</v>
      </c>
      <c r="AE79" s="111">
        <f>+GETPIVOTDATA(" Total # Prof New",'Counts Pivot Table'!$A$3,"State","NC","Category",10,"Category2","Two-Year")</f>
        <v>0</v>
      </c>
      <c r="AF79" s="112">
        <f>+GETPIVOTDATA(" Total # Prof New",'Counts Pivot Table'!$A$3,"State","NC","Category",11,"Category2","Two-Year")</f>
        <v>0</v>
      </c>
      <c r="AG79" s="112">
        <f>+GETPIVOTDATA(" Total # Prof New",'Counts Pivot Table'!$A$3,"State","NC","Category2","Two-Year")</f>
        <v>0</v>
      </c>
      <c r="AH79" s="110">
        <f>+GETPIVOTDATA(" Total # Prof New",'Counts Pivot Table'!$A$3,"State","NC","Category",12,"Category2","Technical Institutes")</f>
        <v>0</v>
      </c>
      <c r="AI79" s="111">
        <f>+GETPIVOTDATA(" Total # Prof New",'Counts Pivot Table'!$A$3,"State","NC","Category",13,"Category2","Technical Institutes")</f>
        <v>0</v>
      </c>
      <c r="AJ79" s="112">
        <f>+GETPIVOTDATA(" Total # Prof New",'Counts Pivot Table'!$A$3,"State","NC","Category",14,"Category2","Technical Institutes")</f>
        <v>0</v>
      </c>
      <c r="AK79" s="110">
        <f>+GETPIVOTDATA(" Total # Prof New",'Counts Pivot Table'!$A$3,"State","NC","Category2","Technical Institutes")</f>
        <v>0</v>
      </c>
    </row>
    <row r="80" spans="1:39">
      <c r="A80" s="30"/>
      <c r="B80" s="38" t="s">
        <v>436</v>
      </c>
      <c r="C80" s="32">
        <f t="shared" si="20"/>
        <v>0.23218527315914489</v>
      </c>
      <c r="D80" s="34">
        <f t="shared" si="20"/>
        <v>0.26825127334465193</v>
      </c>
      <c r="E80" s="34">
        <f t="shared" si="20"/>
        <v>0.264117498100785</v>
      </c>
      <c r="F80" s="34">
        <f t="shared" si="20"/>
        <v>0.19607843137254902</v>
      </c>
      <c r="G80" s="34">
        <f t="shared" si="20"/>
        <v>0.28139904610492844</v>
      </c>
      <c r="H80" s="68">
        <f t="shared" si="20"/>
        <v>0.25543478260869568</v>
      </c>
      <c r="I80" s="32">
        <f t="shared" si="20"/>
        <v>0.25320111678059115</v>
      </c>
      <c r="J80" s="32">
        <f t="shared" si="20"/>
        <v>0</v>
      </c>
      <c r="K80" s="34">
        <f t="shared" si="20"/>
        <v>0</v>
      </c>
      <c r="L80" s="34">
        <f t="shared" si="20"/>
        <v>0</v>
      </c>
      <c r="M80" s="34">
        <f t="shared" si="21"/>
        <v>0</v>
      </c>
      <c r="N80" s="68">
        <f t="shared" si="21"/>
        <v>0</v>
      </c>
      <c r="O80" s="32">
        <f t="shared" si="21"/>
        <v>0</v>
      </c>
      <c r="P80" s="32">
        <f t="shared" si="21"/>
        <v>0</v>
      </c>
      <c r="Q80" s="34">
        <f t="shared" si="21"/>
        <v>0</v>
      </c>
      <c r="R80" s="68">
        <f t="shared" si="21"/>
        <v>0</v>
      </c>
      <c r="S80" s="32">
        <f t="shared" si="21"/>
        <v>0</v>
      </c>
      <c r="T80" s="92"/>
      <c r="U80" s="114">
        <f>+GETPIVOTDATA(" Tot # Asc. Prof New",'Counts Pivot Table'!$A$3,"State","NC","Category",1,"Category2","Four-Year")</f>
        <v>782</v>
      </c>
      <c r="V80" s="115">
        <f>+GETPIVOTDATA(" Tot # Asc. Prof New",'Counts Pivot Table'!$A$3,"State","NC","Category",2,"Category2","Four-Year")</f>
        <v>474</v>
      </c>
      <c r="W80" s="115">
        <f>+GETPIVOTDATA(" Tot # Asc. Prof New",'Counts Pivot Table'!$A$3,"State","NC","Category",3,"Category2","Four-Year")</f>
        <v>1043</v>
      </c>
      <c r="X80" s="115">
        <f>+GETPIVOTDATA(" Tot # Asc. Prof New",'Counts Pivot Table'!$A$3,"State","NC","Category",4,"Category2","Four-Year")</f>
        <v>60</v>
      </c>
      <c r="Y80" s="115">
        <f>+GETPIVOTDATA(" Tot # Asc. Prof New",'Counts Pivot Table'!$A$3,"State","NC","Category",5,"Category2","Four-Year")</f>
        <v>177</v>
      </c>
      <c r="Z80" s="115">
        <f>+GETPIVOTDATA(" Tot # Asc. Prof New",'Counts Pivot Table'!$A$3,"State","NC","Category",6,"Category2","Four-Year")</f>
        <v>94</v>
      </c>
      <c r="AA80" s="117">
        <f>+GETPIVOTDATA(" Tot # Asc. Prof New",'Counts Pivot Table'!$A$3,"State","NC","Category2","Four-Year")</f>
        <v>2630</v>
      </c>
      <c r="AB80" s="114">
        <f>+GETPIVOTDATA(" Tot # Asc. Prof New",'Counts Pivot Table'!$A$3,"State","NC","Category",7,"Category2","Two-Year")</f>
        <v>0</v>
      </c>
      <c r="AC80" s="115">
        <f>+GETPIVOTDATA(" Tot # Asc. Prof New",'Counts Pivot Table'!$A$3,"State","NC","Category",8,"Category2","Two-Year")</f>
        <v>0</v>
      </c>
      <c r="AD80" s="115">
        <f>+GETPIVOTDATA(" Tot # Asc. Prof New",'Counts Pivot Table'!$A$3,"State","NC","Category",9,"Category2","Two-Year")</f>
        <v>0</v>
      </c>
      <c r="AE80" s="115">
        <f>+GETPIVOTDATA(" Tot # Asc. Prof New",'Counts Pivot Table'!$A$3,"State","NC","Category",10,"Category2","Two-Year")</f>
        <v>0</v>
      </c>
      <c r="AF80" s="116">
        <f>+GETPIVOTDATA(" Tot # Asc. Prof New",'Counts Pivot Table'!$A$3,"State","NC","Category",11,"Category2","Two-Year")</f>
        <v>0</v>
      </c>
      <c r="AG80" s="116">
        <f>+GETPIVOTDATA(" Tot # Asc. Prof New",'Counts Pivot Table'!$A$3,"State","NC","Category2","Two-Year")</f>
        <v>0</v>
      </c>
      <c r="AH80" s="114">
        <f>+GETPIVOTDATA(" Tot # Asc. Prof New",'Counts Pivot Table'!$A$3,"State","NC","Category",12,"Category2","Technical Institutes")</f>
        <v>0</v>
      </c>
      <c r="AI80" s="115">
        <f>+GETPIVOTDATA(" Tot # Asc. Prof New",'Counts Pivot Table'!$A$3,"State","NC","Category",13,"Category2","Technical Institutes")</f>
        <v>0</v>
      </c>
      <c r="AJ80" s="116">
        <f>+GETPIVOTDATA(" Tot # Asc. Prof New",'Counts Pivot Table'!$A$3,"State","NC","Category",14,"Category2","Technical Institutes")</f>
        <v>0</v>
      </c>
      <c r="AK80" s="114">
        <f>+GETPIVOTDATA(" Tot # Asc. Prof New",'Counts Pivot Table'!$A$3,"State","NC","Category2","Technical Institutes")</f>
        <v>0</v>
      </c>
    </row>
    <row r="81" spans="1:39">
      <c r="A81" s="30"/>
      <c r="B81" s="38" t="s">
        <v>437</v>
      </c>
      <c r="C81" s="32">
        <f t="shared" si="20"/>
        <v>0.20694774346793349</v>
      </c>
      <c r="D81" s="34">
        <f t="shared" si="20"/>
        <v>0.23825693265421619</v>
      </c>
      <c r="E81" s="34">
        <f t="shared" si="20"/>
        <v>0.28893390731830842</v>
      </c>
      <c r="F81" s="34">
        <f t="shared" si="20"/>
        <v>0.47385620915032678</v>
      </c>
      <c r="G81" s="34">
        <f t="shared" si="20"/>
        <v>0.3656597774244833</v>
      </c>
      <c r="H81" s="68">
        <f t="shared" si="20"/>
        <v>0.24728260869565216</v>
      </c>
      <c r="I81" s="32">
        <f t="shared" si="20"/>
        <v>0.26234716472513719</v>
      </c>
      <c r="J81" s="32">
        <f t="shared" si="20"/>
        <v>0</v>
      </c>
      <c r="K81" s="34">
        <f t="shared" si="20"/>
        <v>0</v>
      </c>
      <c r="L81" s="34">
        <f t="shared" si="20"/>
        <v>0</v>
      </c>
      <c r="M81" s="34">
        <f t="shared" si="21"/>
        <v>0</v>
      </c>
      <c r="N81" s="68">
        <f t="shared" si="21"/>
        <v>0</v>
      </c>
      <c r="O81" s="32">
        <f t="shared" si="21"/>
        <v>0</v>
      </c>
      <c r="P81" s="32">
        <f t="shared" si="21"/>
        <v>0</v>
      </c>
      <c r="Q81" s="34">
        <f t="shared" si="21"/>
        <v>0</v>
      </c>
      <c r="R81" s="68">
        <f t="shared" si="21"/>
        <v>0</v>
      </c>
      <c r="S81" s="32">
        <f t="shared" si="21"/>
        <v>0</v>
      </c>
      <c r="T81" s="92"/>
      <c r="U81" s="114">
        <f>+GETPIVOTDATA(" Tot # Ast. Prof New",'Counts Pivot Table'!$A$3,"State","NC","Category",1,"Category2","Four-Year")</f>
        <v>697</v>
      </c>
      <c r="V81" s="115">
        <f>+GETPIVOTDATA(" Tot # Ast. Prof New",'Counts Pivot Table'!$A$3,"State","NC","Category",2,"Category2","Four-Year")</f>
        <v>421</v>
      </c>
      <c r="W81" s="115">
        <f>+GETPIVOTDATA(" Tot # Ast. Prof New",'Counts Pivot Table'!$A$3,"State","NC","Category",3,"Category2","Four-Year")</f>
        <v>1141</v>
      </c>
      <c r="X81" s="115">
        <f>+GETPIVOTDATA(" Tot # Ast. Prof New",'Counts Pivot Table'!$A$3,"State","NC","Category",4,"Category2","Four-Year")</f>
        <v>145</v>
      </c>
      <c r="Y81" s="115">
        <f>+GETPIVOTDATA(" Tot # Ast. Prof New",'Counts Pivot Table'!$A$3,"State","NC","Category",5,"Category2","Four-Year")</f>
        <v>230</v>
      </c>
      <c r="Z81" s="115">
        <f>+GETPIVOTDATA(" Tot # Ast. Prof New",'Counts Pivot Table'!$A$3,"State","NC","Category",6,"Category2","Four-Year")</f>
        <v>91</v>
      </c>
      <c r="AA81" s="117">
        <f>+GETPIVOTDATA(" Tot # Ast. Prof New",'Counts Pivot Table'!$A$3,"State","NC","Category2","Four-Year")</f>
        <v>2725</v>
      </c>
      <c r="AB81" s="114">
        <f>+GETPIVOTDATA(" Tot # Ast. Prof New",'Counts Pivot Table'!$A$3,"State","NC","Category",7,"Category2","Two-Year")</f>
        <v>0</v>
      </c>
      <c r="AC81" s="115">
        <f>+GETPIVOTDATA(" Tot # Ast. Prof New",'Counts Pivot Table'!$A$3,"State","NC","Category",8,"Category2","Two-Year")</f>
        <v>0</v>
      </c>
      <c r="AD81" s="115">
        <f>+GETPIVOTDATA(" Tot # Ast. Prof New",'Counts Pivot Table'!$A$3,"State","NC","Category",9,"Category2","Two-Year")</f>
        <v>0</v>
      </c>
      <c r="AE81" s="115">
        <f>+GETPIVOTDATA(" Tot # Ast. Prof New",'Counts Pivot Table'!$A$3,"State","NC","Category",10,"Category2","Two-Year")</f>
        <v>0</v>
      </c>
      <c r="AF81" s="116">
        <f>+GETPIVOTDATA(" Tot # Ast. Prof New",'Counts Pivot Table'!$A$3,"State","NC","Category",11,"Category2","Two-Year")</f>
        <v>0</v>
      </c>
      <c r="AG81" s="116">
        <f>+GETPIVOTDATA(" Tot # Ast. Prof New",'Counts Pivot Table'!$A$3,"State","NC","Category2","Two-Year")</f>
        <v>0</v>
      </c>
      <c r="AH81" s="114">
        <f>+GETPIVOTDATA(" Tot # Ast. Prof New",'Counts Pivot Table'!$A$3,"State","NC","Category",12,"Category2","Technical Institutes")</f>
        <v>0</v>
      </c>
      <c r="AI81" s="115">
        <f>+GETPIVOTDATA(" Tot # Ast. Prof New",'Counts Pivot Table'!$A$3,"State","NC","Category",13,"Category2","Technical Institutes")</f>
        <v>0</v>
      </c>
      <c r="AJ81" s="116">
        <f>+GETPIVOTDATA(" Tot # Ast. Prof New",'Counts Pivot Table'!$A$3,"State","NC","Category",14,"Category2","Technical Institutes")</f>
        <v>0</v>
      </c>
      <c r="AK81" s="114">
        <f>+GETPIVOTDATA(" Tot # Ast. Prof New",'Counts Pivot Table'!$A$3,"State","NC","Category2","Technical Institutes")</f>
        <v>0</v>
      </c>
    </row>
    <row r="82" spans="1:39">
      <c r="A82" s="30"/>
      <c r="B82" s="38" t="s">
        <v>438</v>
      </c>
      <c r="C82" s="32">
        <f t="shared" si="20"/>
        <v>6.8289786223277912E-3</v>
      </c>
      <c r="D82" s="264">
        <f t="shared" si="20"/>
        <v>3.1692133559705717E-2</v>
      </c>
      <c r="E82" s="34">
        <f t="shared" si="20"/>
        <v>1.1901747277791846E-2</v>
      </c>
      <c r="F82" s="34">
        <f t="shared" si="20"/>
        <v>2.6143790849673203E-2</v>
      </c>
      <c r="G82" s="34">
        <f t="shared" si="20"/>
        <v>5.7233704292527825E-2</v>
      </c>
      <c r="H82" s="68">
        <f t="shared" si="20"/>
        <v>1.0869565217391304E-2</v>
      </c>
      <c r="I82" s="32">
        <f t="shared" si="20"/>
        <v>1.6751708866852798E-2</v>
      </c>
      <c r="J82" s="32">
        <f t="shared" si="20"/>
        <v>0</v>
      </c>
      <c r="K82" s="34">
        <f t="shared" si="20"/>
        <v>0</v>
      </c>
      <c r="L82" s="34">
        <f t="shared" si="20"/>
        <v>0</v>
      </c>
      <c r="M82" s="34">
        <f t="shared" si="21"/>
        <v>0</v>
      </c>
      <c r="N82" s="68">
        <f t="shared" si="21"/>
        <v>0</v>
      </c>
      <c r="O82" s="32">
        <f t="shared" si="21"/>
        <v>0</v>
      </c>
      <c r="P82" s="32">
        <f t="shared" si="21"/>
        <v>0</v>
      </c>
      <c r="Q82" s="34">
        <f t="shared" si="21"/>
        <v>0</v>
      </c>
      <c r="R82" s="68">
        <f t="shared" si="21"/>
        <v>0</v>
      </c>
      <c r="S82" s="32">
        <f t="shared" si="21"/>
        <v>0</v>
      </c>
      <c r="T82" s="92"/>
      <c r="U82" s="114">
        <f>+GETPIVOTDATA(" Tot # Instr. New",'Counts Pivot Table'!$A$3,"State","NC","Category",1,"Category2","Four-Year")</f>
        <v>23</v>
      </c>
      <c r="V82" s="115">
        <f>+GETPIVOTDATA(" Tot # Instr. New",'Counts Pivot Table'!$A$3,"State","NC","Category",2,"Category2","Four-Year")</f>
        <v>56</v>
      </c>
      <c r="W82" s="115">
        <f>+GETPIVOTDATA(" Tot # Instr. New",'Counts Pivot Table'!$A$3,"State","NC","Category",3,"Category2","Four-Year")</f>
        <v>47</v>
      </c>
      <c r="X82" s="115">
        <f>+GETPIVOTDATA(" Tot # Instr. New",'Counts Pivot Table'!$A$3,"State","NC","Category",4,"Category2","Four-Year")</f>
        <v>8</v>
      </c>
      <c r="Y82" s="115">
        <f>+GETPIVOTDATA(" Tot # Instr. New",'Counts Pivot Table'!$A$3,"State","NC","Category",5,"Category2","Four-Year")</f>
        <v>36</v>
      </c>
      <c r="Z82" s="115">
        <f>+GETPIVOTDATA(" Tot # Instr. New",'Counts Pivot Table'!$A$3,"State","NC","Category",6,"Category2","Four-Year")</f>
        <v>4</v>
      </c>
      <c r="AA82" s="117">
        <f>+GETPIVOTDATA(" Tot # Instr. New",'Counts Pivot Table'!$A$3,"State","NC","Category2","Four-Year")</f>
        <v>174</v>
      </c>
      <c r="AB82" s="114">
        <f>+GETPIVOTDATA(" Tot # Instr. New",'Counts Pivot Table'!$A$3,"State","NC","Category",7,"Category2","Two-Year")</f>
        <v>0</v>
      </c>
      <c r="AC82" s="115">
        <f>+GETPIVOTDATA(" Tot # Instr. New",'Counts Pivot Table'!$A$3,"State","NC","Category",8,"Category2","Two-Year")</f>
        <v>0</v>
      </c>
      <c r="AD82" s="115">
        <f>+GETPIVOTDATA(" Tot # Instr. New",'Counts Pivot Table'!$A$3,"State","NC","Category",9,"Category2","Two-Year")</f>
        <v>0</v>
      </c>
      <c r="AE82" s="115">
        <f>+GETPIVOTDATA(" Tot # Instr. New",'Counts Pivot Table'!$A$3,"State","NC","Category",10,"Category2","Two-Year")</f>
        <v>0</v>
      </c>
      <c r="AF82" s="116">
        <f>+GETPIVOTDATA(" Tot # Instr. New",'Counts Pivot Table'!$A$3,"State","NC","Category",11,"Category2","Two-Year")</f>
        <v>0</v>
      </c>
      <c r="AG82" s="116">
        <f>+GETPIVOTDATA(" Tot # Instr. New",'Counts Pivot Table'!$A$3,"State","NC","Category2","Two-Year")</f>
        <v>0</v>
      </c>
      <c r="AH82" s="114">
        <f>+GETPIVOTDATA(" Tot # Instr. New",'Counts Pivot Table'!$A$3,"State","NC","Category",12,"Category2","Technical Institutes")</f>
        <v>0</v>
      </c>
      <c r="AI82" s="115">
        <f>+GETPIVOTDATA(" Tot # Instr. New",'Counts Pivot Table'!$A$3,"State","NC","Category",13,"Category2","Technical Institutes")</f>
        <v>0</v>
      </c>
      <c r="AJ82" s="116">
        <f>+GETPIVOTDATA(" Tot # Instr. New",'Counts Pivot Table'!$A$3,"State","NC","Category",14,"Category2","Technical Institutes")</f>
        <v>0</v>
      </c>
      <c r="AK82" s="114">
        <f>+GETPIVOTDATA(" Tot # Instr. New",'Counts Pivot Table'!$A$3,"State","NC","Category2","Technical Institutes")</f>
        <v>0</v>
      </c>
    </row>
    <row r="83" spans="1:39">
      <c r="A83" s="30"/>
      <c r="B83" s="38" t="s">
        <v>414</v>
      </c>
      <c r="C83" s="32">
        <f t="shared" si="20"/>
        <v>0.18230403800475059</v>
      </c>
      <c r="D83" s="34">
        <f t="shared" si="20"/>
        <v>0.24561403508771928</v>
      </c>
      <c r="E83" s="34">
        <f t="shared" si="20"/>
        <v>0.21448467966573817</v>
      </c>
      <c r="F83" s="34">
        <f t="shared" si="20"/>
        <v>0.17320261437908496</v>
      </c>
      <c r="G83" s="34">
        <f t="shared" si="20"/>
        <v>0.15580286168521462</v>
      </c>
      <c r="H83" s="68">
        <f t="shared" si="20"/>
        <v>0.23641304347826086</v>
      </c>
      <c r="I83" s="32">
        <f t="shared" si="20"/>
        <v>0.2053528449022817</v>
      </c>
      <c r="J83" s="32">
        <f t="shared" si="20"/>
        <v>0</v>
      </c>
      <c r="K83" s="34">
        <f t="shared" si="20"/>
        <v>0</v>
      </c>
      <c r="L83" s="34">
        <f t="shared" si="20"/>
        <v>0</v>
      </c>
      <c r="M83" s="34">
        <f t="shared" si="21"/>
        <v>0</v>
      </c>
      <c r="N83" s="124">
        <f t="shared" si="21"/>
        <v>0</v>
      </c>
      <c r="O83" s="32">
        <f t="shared" si="21"/>
        <v>0</v>
      </c>
      <c r="P83" s="32">
        <f t="shared" si="21"/>
        <v>0</v>
      </c>
      <c r="Q83" s="34">
        <f t="shared" si="21"/>
        <v>0</v>
      </c>
      <c r="R83" s="68">
        <f t="shared" si="21"/>
        <v>0</v>
      </c>
      <c r="S83" s="32">
        <f t="shared" si="21"/>
        <v>0</v>
      </c>
      <c r="T83" s="92"/>
      <c r="U83" s="114">
        <f>++GETPIVOTDATA(" Tot # Undes. New",'Counts Pivot Table'!$A$3,"State","NC","Category",1,"Category2","Four-Year")</f>
        <v>614</v>
      </c>
      <c r="V83" s="115">
        <f>+GETPIVOTDATA(" Tot # Undes. New",'Counts Pivot Table'!$A$3,"State","NC","Category",2,"Category2","Four-Year")</f>
        <v>434</v>
      </c>
      <c r="W83" s="115">
        <f>+GETPIVOTDATA(" Tot # Undes. New",'Counts Pivot Table'!$A$3,"State","NC","Category",3,"Category2","Four-Year")</f>
        <v>847</v>
      </c>
      <c r="X83" s="115">
        <f>+GETPIVOTDATA(" Tot # Undes. New",'Counts Pivot Table'!$A$3,"State","NC","Category",4,"Category2","Four-Year")</f>
        <v>53</v>
      </c>
      <c r="Y83" s="115">
        <f>+GETPIVOTDATA(" Tot # Undes. New",'Counts Pivot Table'!$A$3,"State","NC","Category",5,"Category2","Four-Year")</f>
        <v>98</v>
      </c>
      <c r="Z83" s="115">
        <f>+GETPIVOTDATA(" Tot # Undes. New",'Counts Pivot Table'!$A$3,"State","NC","Category",6,"Category2","Four-Year")</f>
        <v>87</v>
      </c>
      <c r="AA83" s="117">
        <f>+GETPIVOTDATA(" Tot # Undes. New",'Counts Pivot Table'!$A$3,"State","NC","Category2","Four-Year")</f>
        <v>2133</v>
      </c>
      <c r="AB83" s="114">
        <f>+GETPIVOTDATA(" Tot # Undes. New",'Counts Pivot Table'!$A$3,"State","NC","Category",7,"Category2","Two-Year")</f>
        <v>0</v>
      </c>
      <c r="AC83" s="115">
        <f>+GETPIVOTDATA(" Tot # Undes. New",'Counts Pivot Table'!$A$3,"State","NC","Category",8,"Category2","Two-Year")</f>
        <v>0</v>
      </c>
      <c r="AD83" s="115">
        <f>+GETPIVOTDATA(" Tot # Undes. New",'Counts Pivot Table'!$A$3,"State","NC","Category",9,"Category2","Two-Year")</f>
        <v>0</v>
      </c>
      <c r="AE83" s="115">
        <f>+GETPIVOTDATA(" Tot # Undes. New",'Counts Pivot Table'!$A$3,"State","NC","Category",10,"Category2","Two-Year")</f>
        <v>0</v>
      </c>
      <c r="AF83" s="116">
        <f>+GETPIVOTDATA(" Tot # Undes. New",'Counts Pivot Table'!$A$3,"State","NC","Category",11,"Category2","Two-Year")</f>
        <v>0</v>
      </c>
      <c r="AG83" s="116">
        <f>+GETPIVOTDATA(" Tot # Undes. New",'Counts Pivot Table'!$A$3,"State","NC","Category2","Two-Year")</f>
        <v>0</v>
      </c>
      <c r="AH83" s="114">
        <f>+GETPIVOTDATA(" Tot # Undes. New",'Counts Pivot Table'!$A$3,"State","NC","Category",12,"Category2","Technical Institutes")</f>
        <v>0</v>
      </c>
      <c r="AI83" s="115">
        <f>+GETPIVOTDATA(" Tot # Undes. New",'Counts Pivot Table'!$A$3,"State","NC","Category",13,"Category2","Technical Institutes")</f>
        <v>0</v>
      </c>
      <c r="AJ83" s="116">
        <f>+GETPIVOTDATA(" Tot # Undes. New",'Counts Pivot Table'!$A$3,"State","NC","Category",14,"Category2","Technical Institutes")</f>
        <v>0</v>
      </c>
      <c r="AK83" s="114">
        <f>+GETPIVOTDATA(" Tot # Undes. New",'Counts Pivot Table'!$A$3,"State","NC","Category2","Technical Institutes")</f>
        <v>0</v>
      </c>
    </row>
    <row r="84" spans="1:39">
      <c r="A84" s="30"/>
      <c r="B84" s="38" t="s">
        <v>413</v>
      </c>
      <c r="C84" s="32">
        <f t="shared" si="20"/>
        <v>0</v>
      </c>
      <c r="D84" s="34">
        <f t="shared" si="20"/>
        <v>0</v>
      </c>
      <c r="E84" s="199">
        <f t="shared" si="20"/>
        <v>0</v>
      </c>
      <c r="F84" s="34">
        <f t="shared" si="20"/>
        <v>0</v>
      </c>
      <c r="G84" s="199">
        <f t="shared" si="20"/>
        <v>0</v>
      </c>
      <c r="H84" s="68">
        <f t="shared" si="20"/>
        <v>0</v>
      </c>
      <c r="I84" s="198">
        <f t="shared" si="20"/>
        <v>0</v>
      </c>
      <c r="J84" s="32">
        <f t="shared" si="20"/>
        <v>0</v>
      </c>
      <c r="K84" s="34">
        <f t="shared" si="20"/>
        <v>1</v>
      </c>
      <c r="L84" s="34">
        <f t="shared" si="20"/>
        <v>1</v>
      </c>
      <c r="M84" s="34">
        <f t="shared" si="21"/>
        <v>1</v>
      </c>
      <c r="N84" s="68">
        <f t="shared" si="21"/>
        <v>0</v>
      </c>
      <c r="O84" s="32">
        <f t="shared" si="21"/>
        <v>1</v>
      </c>
      <c r="P84" s="32">
        <f t="shared" si="21"/>
        <v>0</v>
      </c>
      <c r="Q84" s="34">
        <f t="shared" si="21"/>
        <v>0</v>
      </c>
      <c r="R84" s="68">
        <f t="shared" si="21"/>
        <v>0</v>
      </c>
      <c r="S84" s="32">
        <f t="shared" si="21"/>
        <v>0</v>
      </c>
      <c r="T84" s="92"/>
      <c r="U84" s="114">
        <f>+GETPIVOTDATA(" Tot # Single Rnk New",'Counts Pivot Table'!$A$3,"State","NC","Category",1,"Category2","Four-Year")</f>
        <v>0</v>
      </c>
      <c r="V84" s="115">
        <f>+GETPIVOTDATA(" Tot # Single Rnk New",'Counts Pivot Table'!$A$3,"State","NC","Category",2,"Category2","Four-Year")</f>
        <v>0</v>
      </c>
      <c r="W84" s="115">
        <f>+GETPIVOTDATA(" Tot # Single Rnk New",'Counts Pivot Table'!$A$3,"State","NC","Category",3,"Category2","Four-Year")</f>
        <v>0</v>
      </c>
      <c r="X84" s="115">
        <f>+GETPIVOTDATA(" Tot # Single Rnk New",'Counts Pivot Table'!$A$3,"State","NC","Category",4,"Category2","Four-Year")</f>
        <v>0</v>
      </c>
      <c r="Y84" s="115">
        <f>+GETPIVOTDATA(" Tot # Single Rnk New",'Counts Pivot Table'!$A$3,"State","NC","Category",5,"Category2","Four-Year")</f>
        <v>0</v>
      </c>
      <c r="Z84" s="115">
        <f>+GETPIVOTDATA(" Tot # Single Rnk New",'Counts Pivot Table'!$A$3,"State","NC","Category",6,"Category2","Four-Year")</f>
        <v>0</v>
      </c>
      <c r="AA84" s="117">
        <f>+GETPIVOTDATA(" Tot # Single Rnk New",'Counts Pivot Table'!$A$3,"State","NC","Category2","Four-Year")</f>
        <v>0</v>
      </c>
      <c r="AB84" s="114">
        <f>+GETPIVOTDATA(" Tot # Single Rnk New",'Counts Pivot Table'!$A$3,"State","NC","Category",7,"Category2","Two-Year")</f>
        <v>0</v>
      </c>
      <c r="AC84" s="115">
        <f>+GETPIVOTDATA(" Tot # Single Rnk New",'Counts Pivot Table'!$A$3,"State","NC","Category",8,"Category2","Two-Year")</f>
        <v>2533</v>
      </c>
      <c r="AD84" s="115">
        <f>+GETPIVOTDATA(" Tot # Single Rnk New",'Counts Pivot Table'!$A$3,"State","NC","Category",9,"Category2","Two-Year")</f>
        <v>2732</v>
      </c>
      <c r="AE84" s="115">
        <f>+GETPIVOTDATA(" Tot # Single Rnk New",'Counts Pivot Table'!$A$3,"State","NC","Category",10,"Category2","Two-Year")</f>
        <v>555</v>
      </c>
      <c r="AF84" s="116">
        <f>+GETPIVOTDATA(" Tot # Single Rnk New",'Counts Pivot Table'!$A$3,"State","NC","Category",11,"Category2","Two-Year")</f>
        <v>0</v>
      </c>
      <c r="AG84" s="116">
        <f>+GETPIVOTDATA(" Tot # Single Rnk New",'Counts Pivot Table'!$A$3,"State","NC","Category2","Two-Year")</f>
        <v>5820</v>
      </c>
      <c r="AH84" s="114">
        <f>+GETPIVOTDATA(" Tot # Single Rnk New",'Counts Pivot Table'!$A$3,"State","NC","Category",12,"Category2","Technical Institutes")</f>
        <v>0</v>
      </c>
      <c r="AI84" s="115">
        <f>+GETPIVOTDATA(" Tot # Single Rnk New",'Counts Pivot Table'!$A$3,"State","NC","Category",13,"Category2","Technical Institutes")</f>
        <v>0</v>
      </c>
      <c r="AJ84" s="116">
        <f>+GETPIVOTDATA(" Tot # Single Rnk New",'Counts Pivot Table'!$A$3,"State","NC","Category",14,"Category2","Technical Institutes")</f>
        <v>0</v>
      </c>
      <c r="AK84" s="114">
        <f>+GETPIVOTDATA(" Tot # Single Rnk New",'Counts Pivot Table'!$A$3,"State","NC","Category2","Technical Institutes")</f>
        <v>0</v>
      </c>
    </row>
    <row r="85" spans="1:39" s="54" customFormat="1">
      <c r="A85" s="207"/>
      <c r="B85" s="208" t="s">
        <v>415</v>
      </c>
      <c r="C85" s="33">
        <f t="shared" si="20"/>
        <v>1</v>
      </c>
      <c r="D85" s="31">
        <f t="shared" si="20"/>
        <v>1</v>
      </c>
      <c r="E85" s="31">
        <f t="shared" si="20"/>
        <v>1</v>
      </c>
      <c r="F85" s="31">
        <f t="shared" si="20"/>
        <v>1</v>
      </c>
      <c r="G85" s="31">
        <f t="shared" si="20"/>
        <v>1</v>
      </c>
      <c r="H85" s="69">
        <f t="shared" si="20"/>
        <v>1</v>
      </c>
      <c r="I85" s="33">
        <f t="shared" si="20"/>
        <v>1</v>
      </c>
      <c r="J85" s="33">
        <f t="shared" si="20"/>
        <v>0</v>
      </c>
      <c r="K85" s="31">
        <f t="shared" si="20"/>
        <v>1</v>
      </c>
      <c r="L85" s="31">
        <f t="shared" si="20"/>
        <v>1</v>
      </c>
      <c r="M85" s="31">
        <f t="shared" si="21"/>
        <v>1</v>
      </c>
      <c r="N85" s="69">
        <f t="shared" si="21"/>
        <v>0</v>
      </c>
      <c r="O85" s="33">
        <f t="shared" si="21"/>
        <v>1</v>
      </c>
      <c r="P85" s="33">
        <f t="shared" si="21"/>
        <v>0</v>
      </c>
      <c r="Q85" s="31">
        <f t="shared" si="21"/>
        <v>0</v>
      </c>
      <c r="R85" s="69">
        <f t="shared" si="21"/>
        <v>0</v>
      </c>
      <c r="S85" s="33">
        <f t="shared" si="21"/>
        <v>0</v>
      </c>
      <c r="T85" s="93"/>
      <c r="U85" s="118">
        <f>+GETPIVOTDATA(" All Ranks # New",'Counts Pivot Table'!$A$3,"State","NC","Category",1,"Category2","Four-Year")</f>
        <v>3368</v>
      </c>
      <c r="V85" s="119">
        <f>+GETPIVOTDATA(" All Ranks # New",'Counts Pivot Table'!$A$3,"State","NC","Category",2,"Category2","Four-Year")</f>
        <v>1767</v>
      </c>
      <c r="W85" s="119">
        <f>+GETPIVOTDATA(" All Ranks # New",'Counts Pivot Table'!$A$3,"State","NC","Category",3,"Category2","Four-Year")</f>
        <v>3949</v>
      </c>
      <c r="X85" s="119">
        <f>+GETPIVOTDATA(" All Ranks # New",'Counts Pivot Table'!$A$3,"State","NC","Category",4,"Category2","Four-Year")</f>
        <v>306</v>
      </c>
      <c r="Y85" s="119">
        <f>+GETPIVOTDATA(" All Ranks # New",'Counts Pivot Table'!$A$3,"State","NC","Category",5,"Category2","Four-Year")</f>
        <v>629</v>
      </c>
      <c r="Z85" s="119">
        <f>+GETPIVOTDATA(" All Ranks # New",'Counts Pivot Table'!$A$3,"State","NC","Category",6,"Category2","Four-Year")</f>
        <v>368</v>
      </c>
      <c r="AA85" s="121">
        <f>+GETPIVOTDATA(" All Ranks # New",'Counts Pivot Table'!$A$3,"State","NC","Category2","Four-Year")</f>
        <v>10387</v>
      </c>
      <c r="AB85" s="118">
        <f>+GETPIVOTDATA(" All Ranks # New",'Counts Pivot Table'!$A$3,"State","NC","Category",7,"Category2","Two-Year")</f>
        <v>0</v>
      </c>
      <c r="AC85" s="119">
        <f>+GETPIVOTDATA(" All Ranks # New",'Counts Pivot Table'!$A$3,"State","NC","Category",8,"Category2","Two-Year")</f>
        <v>2533</v>
      </c>
      <c r="AD85" s="119">
        <f>+GETPIVOTDATA(" All Ranks # New",'Counts Pivot Table'!$A$3,"State","NC","Category",9,"Category2","Two-Year")</f>
        <v>2732</v>
      </c>
      <c r="AE85" s="119">
        <f>+GETPIVOTDATA(" All Ranks # New",'Counts Pivot Table'!$A$3,"State","NC","Category",10,"Category2","Two-Year")</f>
        <v>555</v>
      </c>
      <c r="AF85" s="120">
        <f>+GETPIVOTDATA(" All Ranks # New",'Counts Pivot Table'!$A$3,"State","NC","Category",11,"Category2","Two-Year")</f>
        <v>0</v>
      </c>
      <c r="AG85" s="120">
        <f>+GETPIVOTDATA(" All Ranks # New",'Counts Pivot Table'!$A$3,"State","NC","Category2","Two-Year")</f>
        <v>5820</v>
      </c>
      <c r="AH85" s="118">
        <f>+GETPIVOTDATA(" All Ranks # New",'Counts Pivot Table'!$A$3,"State","NC","Category",12,"Category2","Technical Institutes")</f>
        <v>0</v>
      </c>
      <c r="AI85" s="119">
        <f>+GETPIVOTDATA(" All Ranks # New",'Counts Pivot Table'!$A$3,"State","NC","Category",13,"Category2","Technical Institutes")</f>
        <v>0</v>
      </c>
      <c r="AJ85" s="120">
        <f>+GETPIVOTDATA(" All Ranks # New",'Counts Pivot Table'!$A$3,"State","NC","Category",14,"Category2","Technical Institutes")</f>
        <v>0</v>
      </c>
      <c r="AK85" s="118">
        <f>+GETPIVOTDATA(" All Ranks # New",'Counts Pivot Table'!$A$3,"State","NC","Category2","Technical Institutes")</f>
        <v>0</v>
      </c>
      <c r="AL85" s="122"/>
      <c r="AM85" s="122"/>
    </row>
    <row r="86" spans="1:39">
      <c r="A86" s="38" t="s">
        <v>410</v>
      </c>
      <c r="B86" s="35" t="s">
        <v>435</v>
      </c>
      <c r="C86" s="36">
        <f t="shared" ref="C86:L92" si="22">IF(U$92&gt;0,(U86/U$92),0)</f>
        <v>0.3346456692913386</v>
      </c>
      <c r="D86" s="37">
        <f t="shared" si="22"/>
        <v>0</v>
      </c>
      <c r="E86" s="37">
        <f t="shared" si="22"/>
        <v>0.29736842105263156</v>
      </c>
      <c r="F86" s="37">
        <f t="shared" si="22"/>
        <v>0</v>
      </c>
      <c r="G86" s="37">
        <f t="shared" si="22"/>
        <v>0.23284589426321708</v>
      </c>
      <c r="H86" s="67">
        <f t="shared" si="22"/>
        <v>0.1641025641025641</v>
      </c>
      <c r="I86" s="36">
        <f t="shared" si="22"/>
        <v>0.29540763673890608</v>
      </c>
      <c r="J86" s="36">
        <f t="shared" si="22"/>
        <v>0</v>
      </c>
      <c r="K86" s="37">
        <f t="shared" si="22"/>
        <v>0</v>
      </c>
      <c r="L86" s="37">
        <f t="shared" si="22"/>
        <v>0</v>
      </c>
      <c r="M86" s="37">
        <f t="shared" ref="M86:S92" si="23">IF(AE$92&gt;0,(AE86/AE$92),0)</f>
        <v>0</v>
      </c>
      <c r="N86" s="67">
        <f t="shared" si="23"/>
        <v>0</v>
      </c>
      <c r="O86" s="36">
        <f t="shared" si="23"/>
        <v>0</v>
      </c>
      <c r="P86" s="164">
        <f t="shared" si="23"/>
        <v>0</v>
      </c>
      <c r="Q86" s="37">
        <f t="shared" si="23"/>
        <v>0</v>
      </c>
      <c r="R86" s="67">
        <f t="shared" si="23"/>
        <v>0</v>
      </c>
      <c r="S86" s="164">
        <f t="shared" si="23"/>
        <v>0</v>
      </c>
      <c r="T86" s="123"/>
      <c r="U86" s="110">
        <f>+GETPIVOTDATA(" Total # Prof New",'Counts Pivot Table'!$A$3,"State","OK","Category",1,"Category2","Four-Year")</f>
        <v>680</v>
      </c>
      <c r="V86" s="111">
        <f>+GETPIVOTDATA(" Total # Prof New",'Counts Pivot Table'!$A$3,"State","OK","Category",2,"Category2","Four-Year")</f>
        <v>0</v>
      </c>
      <c r="W86" s="111">
        <f>+GETPIVOTDATA(" Total # Prof New",'Counts Pivot Table'!$A$3,"State","OK","Category",3,"Category2","Four-Year")</f>
        <v>226</v>
      </c>
      <c r="X86" s="111">
        <f>+GETPIVOTDATA(" Total # Prof New",'Counts Pivot Table'!$A$3,"State","OK","Category",4,"Category2","Four-Year")</f>
        <v>0</v>
      </c>
      <c r="Y86" s="111">
        <f>+GETPIVOTDATA(" Total # Prof New",'Counts Pivot Table'!$A$3,"State","OK","Category",5,"Category2","Four-Year")</f>
        <v>207</v>
      </c>
      <c r="Z86" s="111">
        <f>+GETPIVOTDATA(" Total # Prof New",'Counts Pivot Table'!$A$3,"State","OK","Category",6,"Category2","Four-Year")</f>
        <v>32</v>
      </c>
      <c r="AA86" s="113">
        <f>+GETPIVOTDATA(" Total # Prof New",'Counts Pivot Table'!$A$3,"State","OK","Category2","Four-Year")</f>
        <v>1145</v>
      </c>
      <c r="AB86" s="110">
        <f>+GETPIVOTDATA(" Total # Prof New",'Counts Pivot Table'!$A$3,"State","OK","Category",7,"Category2","Two-Year")</f>
        <v>0</v>
      </c>
      <c r="AC86" s="111">
        <f>+GETPIVOTDATA(" Total # Prof New",'Counts Pivot Table'!$A$3,"State","OK","Category",8,"Category2","Two-Year")</f>
        <v>0</v>
      </c>
      <c r="AD86" s="111">
        <f>+GETPIVOTDATA(" Total # Prof New",'Counts Pivot Table'!$A$3,"State","OK","Category",9,"Category2","Two-Year")</f>
        <v>0</v>
      </c>
      <c r="AE86" s="111">
        <f>+GETPIVOTDATA(" Total # Prof New",'Counts Pivot Table'!$A$3,"State","OK","Category",10,"Category2","Two-Year")</f>
        <v>0</v>
      </c>
      <c r="AF86" s="112">
        <f>+GETPIVOTDATA(" Total # Prof New",'Counts Pivot Table'!$A$3,"State","OK","Category",11,"Category2","Two-Year")</f>
        <v>0</v>
      </c>
      <c r="AG86" s="112">
        <f>+GETPIVOTDATA(" Total # Prof New",'Counts Pivot Table'!$A$3,"State","OK","Category2","Two-Year")</f>
        <v>0</v>
      </c>
      <c r="AH86" s="110">
        <f>+GETPIVOTDATA(" Total # Prof New",'Counts Pivot Table'!$A$3,"State","OK","Category",12,"Category2","Technical Institutes")</f>
        <v>0</v>
      </c>
      <c r="AI86" s="111">
        <f>+GETPIVOTDATA(" Total # Prof New",'Counts Pivot Table'!$A$3,"State","OK","Category",13,"Category2","Technical Institutes")</f>
        <v>0</v>
      </c>
      <c r="AJ86" s="112">
        <f>+GETPIVOTDATA(" Total # Prof New",'Counts Pivot Table'!$A$3,"State","OK","Category",14,"Category2","Technical Institutes")</f>
        <v>0</v>
      </c>
      <c r="AK86" s="110">
        <f>+GETPIVOTDATA(" Total # Prof New",'Counts Pivot Table'!$A$3,"State","OK","Category2","Technical Institutes")</f>
        <v>0</v>
      </c>
    </row>
    <row r="87" spans="1:39">
      <c r="A87" s="30"/>
      <c r="B87" s="38" t="s">
        <v>436</v>
      </c>
      <c r="C87" s="32">
        <f t="shared" si="22"/>
        <v>0.27559055118110237</v>
      </c>
      <c r="D87" s="34">
        <f t="shared" si="22"/>
        <v>0</v>
      </c>
      <c r="E87" s="34">
        <f t="shared" si="22"/>
        <v>0.16315789473684211</v>
      </c>
      <c r="F87" s="34">
        <f t="shared" si="22"/>
        <v>0</v>
      </c>
      <c r="G87" s="34">
        <f t="shared" si="22"/>
        <v>0.18785151856017998</v>
      </c>
      <c r="H87" s="68">
        <f t="shared" si="22"/>
        <v>0.22564102564102564</v>
      </c>
      <c r="I87" s="32">
        <f t="shared" si="22"/>
        <v>0.23090815273477813</v>
      </c>
      <c r="J87" s="32">
        <f t="shared" si="22"/>
        <v>0</v>
      </c>
      <c r="K87" s="34">
        <f t="shared" si="22"/>
        <v>0</v>
      </c>
      <c r="L87" s="34">
        <f t="shared" si="22"/>
        <v>0</v>
      </c>
      <c r="M87" s="34">
        <f t="shared" si="23"/>
        <v>0</v>
      </c>
      <c r="N87" s="68">
        <f t="shared" si="23"/>
        <v>0</v>
      </c>
      <c r="O87" s="265">
        <f t="shared" si="23"/>
        <v>0</v>
      </c>
      <c r="P87" s="32">
        <f t="shared" si="23"/>
        <v>0</v>
      </c>
      <c r="Q87" s="34">
        <f t="shared" si="23"/>
        <v>0</v>
      </c>
      <c r="R87" s="68">
        <f t="shared" si="23"/>
        <v>0</v>
      </c>
      <c r="S87" s="32">
        <f t="shared" si="23"/>
        <v>0</v>
      </c>
      <c r="T87" s="92"/>
      <c r="U87" s="114">
        <f>+GETPIVOTDATA(" Tot # Asc. Prof New",'Counts Pivot Table'!$A$3,"State","OK","Category",1,"Category2","Four-Year")</f>
        <v>560</v>
      </c>
      <c r="V87" s="115">
        <f>+GETPIVOTDATA(" Tot # Asc. Prof New",'Counts Pivot Table'!$A$3,"State","OK","Category",2,"Category2","Four-Year")</f>
        <v>0</v>
      </c>
      <c r="W87" s="115">
        <f>+GETPIVOTDATA(" Tot # Asc. Prof New",'Counts Pivot Table'!$A$3,"State","OK","Category",3,"Category2","Four-Year")</f>
        <v>124</v>
      </c>
      <c r="X87" s="115">
        <f>+GETPIVOTDATA(" Tot # Asc. Prof New",'Counts Pivot Table'!$A$3,"State","OK","Category",4,"Category2","Four-Year")</f>
        <v>0</v>
      </c>
      <c r="Y87" s="115">
        <f>+GETPIVOTDATA(" Tot # Asc. Prof New",'Counts Pivot Table'!$A$3,"State","OK","Category",5,"Category2","Four-Year")</f>
        <v>167</v>
      </c>
      <c r="Z87" s="115">
        <f>+GETPIVOTDATA(" Tot # Asc. Prof New",'Counts Pivot Table'!$A$3,"State","OK","Category",6,"Category2","Four-Year")</f>
        <v>44</v>
      </c>
      <c r="AA87" s="117">
        <f>+GETPIVOTDATA(" Tot # Asc. Prof New",'Counts Pivot Table'!$A$3,"State","OK","Category2","Four-Year")</f>
        <v>895</v>
      </c>
      <c r="AB87" s="114">
        <f>+GETPIVOTDATA(" Tot # Asc. Prof New",'Counts Pivot Table'!$A$3,"State","OK","Category",7,"Category2","Two-Year")</f>
        <v>0</v>
      </c>
      <c r="AC87" s="115">
        <f>+GETPIVOTDATA(" Tot # Asc. Prof New",'Counts Pivot Table'!$A$3,"State","OK","Category",8,"Category2","Two-Year")</f>
        <v>0</v>
      </c>
      <c r="AD87" s="115">
        <f>+GETPIVOTDATA(" Tot # Asc. Prof New",'Counts Pivot Table'!$A$3,"State","OK","Category",9,"Category2","Two-Year")</f>
        <v>0</v>
      </c>
      <c r="AE87" s="115">
        <f>+GETPIVOTDATA(" Tot # Asc. Prof New",'Counts Pivot Table'!$A$3,"State","OK","Category",10,"Category2","Two-Year")</f>
        <v>0</v>
      </c>
      <c r="AF87" s="116">
        <f>+GETPIVOTDATA(" Tot # Asc. Prof New",'Counts Pivot Table'!$A$3,"State","OK","Category",11,"Category2","Two-Year")</f>
        <v>0</v>
      </c>
      <c r="AG87" s="116">
        <f>+GETPIVOTDATA(" Tot # Asc. Prof New",'Counts Pivot Table'!$A$3,"State","OK","Category2","Two-Year")</f>
        <v>0</v>
      </c>
      <c r="AH87" s="114">
        <f>+GETPIVOTDATA(" Tot # Asc. Prof New",'Counts Pivot Table'!$A$3,"State","OK","Category",12,"Category2","Technical Institutes")</f>
        <v>0</v>
      </c>
      <c r="AI87" s="115">
        <f>+GETPIVOTDATA(" Tot # Asc. Prof New",'Counts Pivot Table'!$A$3,"State","OK","Category",13,"Category2","Technical Institutes")</f>
        <v>0</v>
      </c>
      <c r="AJ87" s="116">
        <f>+GETPIVOTDATA(" Tot # Asc. Prof New",'Counts Pivot Table'!$A$3,"State","OK","Category",14,"Category2","Technical Institutes")</f>
        <v>0</v>
      </c>
      <c r="AK87" s="114">
        <f>+GETPIVOTDATA(" Tot # Asc. Prof New",'Counts Pivot Table'!$A$3,"State","OK","Category2","Technical Institutes")</f>
        <v>0</v>
      </c>
    </row>
    <row r="88" spans="1:39">
      <c r="A88" s="30"/>
      <c r="B88" s="38" t="s">
        <v>437</v>
      </c>
      <c r="C88" s="32">
        <f t="shared" si="22"/>
        <v>0.2514763779527559</v>
      </c>
      <c r="D88" s="34">
        <f t="shared" si="22"/>
        <v>0</v>
      </c>
      <c r="E88" s="34">
        <f t="shared" si="22"/>
        <v>0.29078947368421054</v>
      </c>
      <c r="F88" s="34">
        <f t="shared" si="22"/>
        <v>0</v>
      </c>
      <c r="G88" s="34">
        <f t="shared" si="22"/>
        <v>0.31496062992125984</v>
      </c>
      <c r="H88" s="68">
        <f t="shared" si="22"/>
        <v>0.3487179487179487</v>
      </c>
      <c r="I88" s="32">
        <f t="shared" si="22"/>
        <v>0.27863777089783281</v>
      </c>
      <c r="J88" s="32">
        <f t="shared" si="22"/>
        <v>0</v>
      </c>
      <c r="K88" s="34">
        <f t="shared" si="22"/>
        <v>0</v>
      </c>
      <c r="L88" s="34">
        <f t="shared" si="22"/>
        <v>0</v>
      </c>
      <c r="M88" s="34">
        <f t="shared" si="23"/>
        <v>0</v>
      </c>
      <c r="N88" s="68">
        <f t="shared" si="23"/>
        <v>0</v>
      </c>
      <c r="O88" s="32">
        <f t="shared" si="23"/>
        <v>0</v>
      </c>
      <c r="P88" s="32">
        <f t="shared" si="23"/>
        <v>0</v>
      </c>
      <c r="Q88" s="34">
        <f t="shared" si="23"/>
        <v>0</v>
      </c>
      <c r="R88" s="68">
        <f t="shared" si="23"/>
        <v>0</v>
      </c>
      <c r="S88" s="32">
        <f t="shared" si="23"/>
        <v>0</v>
      </c>
      <c r="T88" s="92"/>
      <c r="U88" s="114">
        <f>+GETPIVOTDATA(" Tot # Ast. Prof New",'Counts Pivot Table'!$A$3,"State","OK","Category",1,"Category2","Four-Year")</f>
        <v>511</v>
      </c>
      <c r="V88" s="115">
        <f>+GETPIVOTDATA(" Tot # Ast. Prof New",'Counts Pivot Table'!$A$3,"State","OK","Category",2,"Category2","Four-Year")</f>
        <v>0</v>
      </c>
      <c r="W88" s="115">
        <f>+GETPIVOTDATA(" Tot # Ast. Prof New",'Counts Pivot Table'!$A$3,"State","OK","Category",3,"Category2","Four-Year")</f>
        <v>221</v>
      </c>
      <c r="X88" s="115">
        <f>+GETPIVOTDATA(" Tot # Ast. Prof New",'Counts Pivot Table'!$A$3,"State","OK","Category",4,"Category2","Four-Year")</f>
        <v>0</v>
      </c>
      <c r="Y88" s="115">
        <f>+GETPIVOTDATA(" Tot # Ast. Prof New",'Counts Pivot Table'!$A$3,"State","OK","Category",5,"Category2","Four-Year")</f>
        <v>280</v>
      </c>
      <c r="Z88" s="115">
        <f>+GETPIVOTDATA(" Tot # Ast. Prof New",'Counts Pivot Table'!$A$3,"State","OK","Category",6,"Category2","Four-Year")</f>
        <v>68</v>
      </c>
      <c r="AA88" s="117">
        <f>+GETPIVOTDATA(" Tot # Ast. Prof New",'Counts Pivot Table'!$A$3,"State","OK","Category2","Four-Year")</f>
        <v>1080</v>
      </c>
      <c r="AB88" s="114">
        <f>+GETPIVOTDATA(" Tot # Ast. Prof New",'Counts Pivot Table'!$A$3,"State","OK","Category",7,"Category2","Two-Year")</f>
        <v>0</v>
      </c>
      <c r="AC88" s="115">
        <f>+GETPIVOTDATA(" Tot # Ast. Prof New",'Counts Pivot Table'!$A$3,"State","OK","Category",8,"Category2","Two-Year")</f>
        <v>0</v>
      </c>
      <c r="AD88" s="115">
        <f>+GETPIVOTDATA(" Tot # Ast. Prof New",'Counts Pivot Table'!$A$3,"State","OK","Category",9,"Category2","Two-Year")</f>
        <v>0</v>
      </c>
      <c r="AE88" s="115">
        <f>+GETPIVOTDATA(" Tot # Ast. Prof New",'Counts Pivot Table'!$A$3,"State","OK","Category",10,"Category2","Two-Year")</f>
        <v>0</v>
      </c>
      <c r="AF88" s="116">
        <f>+GETPIVOTDATA(" Tot # Ast. Prof New",'Counts Pivot Table'!$A$3,"State","OK","Category",11,"Category2","Two-Year")</f>
        <v>0</v>
      </c>
      <c r="AG88" s="116">
        <f>+GETPIVOTDATA(" Tot # Ast. Prof New",'Counts Pivot Table'!$A$3,"State","OK","Category2","Two-Year")</f>
        <v>0</v>
      </c>
      <c r="AH88" s="114">
        <f>+GETPIVOTDATA(" Tot # Ast. Prof New",'Counts Pivot Table'!$A$3,"State","OK","Category",12,"Category2","Technical Institutes")</f>
        <v>0</v>
      </c>
      <c r="AI88" s="115">
        <f>+GETPIVOTDATA(" Tot # Ast. Prof New",'Counts Pivot Table'!$A$3,"State","OK","Category",13,"Category2","Technical Institutes")</f>
        <v>0</v>
      </c>
      <c r="AJ88" s="116">
        <f>+GETPIVOTDATA(" Tot # Ast. Prof New",'Counts Pivot Table'!$A$3,"State","OK","Category",14,"Category2","Technical Institutes")</f>
        <v>0</v>
      </c>
      <c r="AK88" s="114">
        <f>+GETPIVOTDATA(" Tot # Ast. Prof New",'Counts Pivot Table'!$A$3,"State","OK","Category2","Technical Institutes")</f>
        <v>0</v>
      </c>
    </row>
    <row r="89" spans="1:39">
      <c r="A89" s="30"/>
      <c r="B89" s="38" t="s">
        <v>438</v>
      </c>
      <c r="C89" s="32">
        <f t="shared" si="22"/>
        <v>0.13828740157480315</v>
      </c>
      <c r="D89" s="34">
        <f t="shared" si="22"/>
        <v>0</v>
      </c>
      <c r="E89" s="34">
        <f t="shared" si="22"/>
        <v>0.24868421052631579</v>
      </c>
      <c r="F89" s="34">
        <f t="shared" si="22"/>
        <v>0</v>
      </c>
      <c r="G89" s="34">
        <f t="shared" si="22"/>
        <v>0.2643419572553431</v>
      </c>
      <c r="H89" s="68">
        <f t="shared" si="22"/>
        <v>0.26153846153846155</v>
      </c>
      <c r="I89" s="32">
        <f t="shared" si="22"/>
        <v>0.19504643962848298</v>
      </c>
      <c r="J89" s="32">
        <f t="shared" si="22"/>
        <v>0</v>
      </c>
      <c r="K89" s="34">
        <f t="shared" si="22"/>
        <v>0</v>
      </c>
      <c r="L89" s="34">
        <f t="shared" si="22"/>
        <v>0</v>
      </c>
      <c r="M89" s="34">
        <f t="shared" si="23"/>
        <v>0</v>
      </c>
      <c r="N89" s="68">
        <f t="shared" si="23"/>
        <v>0</v>
      </c>
      <c r="O89" s="32">
        <f t="shared" si="23"/>
        <v>0</v>
      </c>
      <c r="P89" s="32">
        <f t="shared" si="23"/>
        <v>0</v>
      </c>
      <c r="Q89" s="34">
        <f t="shared" si="23"/>
        <v>0</v>
      </c>
      <c r="R89" s="68">
        <f t="shared" si="23"/>
        <v>0</v>
      </c>
      <c r="S89" s="32">
        <f t="shared" si="23"/>
        <v>0</v>
      </c>
      <c r="T89" s="92"/>
      <c r="U89" s="114">
        <f>+GETPIVOTDATA(" Tot # Instr. New",'Counts Pivot Table'!$A$3,"State","OK","Category",1,"Category2","Four-Year")</f>
        <v>281</v>
      </c>
      <c r="V89" s="115">
        <f>+GETPIVOTDATA(" Tot # Instr. New",'Counts Pivot Table'!$A$3,"State","OK","Category",2,"Category2","Four-Year")</f>
        <v>0</v>
      </c>
      <c r="W89" s="115">
        <f>+GETPIVOTDATA(" Tot # Instr. New",'Counts Pivot Table'!$A$3,"State","OK","Category",3,"Category2","Four-Year")</f>
        <v>189</v>
      </c>
      <c r="X89" s="115">
        <f>+GETPIVOTDATA(" Tot # Instr. New",'Counts Pivot Table'!$A$3,"State","OK","Category",4,"Category2","Four-Year")</f>
        <v>0</v>
      </c>
      <c r="Y89" s="115">
        <f>+GETPIVOTDATA(" Tot # Instr. New",'Counts Pivot Table'!$A$3,"State","OK","Category",5,"Category2","Four-Year")</f>
        <v>235</v>
      </c>
      <c r="Z89" s="115">
        <f>+GETPIVOTDATA(" Tot # Instr. New",'Counts Pivot Table'!$A$3,"State","OK","Category",6,"Category2","Four-Year")</f>
        <v>51</v>
      </c>
      <c r="AA89" s="117">
        <f>+GETPIVOTDATA(" Tot # Instr. New",'Counts Pivot Table'!$A$3,"State","OK","Category2","Four-Year")</f>
        <v>756</v>
      </c>
      <c r="AB89" s="114">
        <f>+GETPIVOTDATA(" Tot # Instr. New",'Counts Pivot Table'!$A$3,"State","OK","Category",7,"Category2","Two-Year")</f>
        <v>0</v>
      </c>
      <c r="AC89" s="115">
        <f>+GETPIVOTDATA(" Tot # Instr. New",'Counts Pivot Table'!$A$3,"State","OK","Category",8,"Category2","Two-Year")</f>
        <v>0</v>
      </c>
      <c r="AD89" s="115">
        <f>+GETPIVOTDATA(" Tot # Instr. New",'Counts Pivot Table'!$A$3,"State","OK","Category",9,"Category2","Two-Year")</f>
        <v>0</v>
      </c>
      <c r="AE89" s="115">
        <f>+GETPIVOTDATA(" Tot # Instr. New",'Counts Pivot Table'!$A$3,"State","OK","Category",10,"Category2","Two-Year")</f>
        <v>0</v>
      </c>
      <c r="AF89" s="116">
        <f>+GETPIVOTDATA(" Tot # Instr. New",'Counts Pivot Table'!$A$3,"State","OK","Category",11,"Category2","Two-Year")</f>
        <v>0</v>
      </c>
      <c r="AG89" s="116">
        <f>+GETPIVOTDATA(" Tot # Instr. New",'Counts Pivot Table'!$A$3,"State","OK","Category2","Two-Year")</f>
        <v>0</v>
      </c>
      <c r="AH89" s="114">
        <f>+GETPIVOTDATA(" Tot # Instr. New",'Counts Pivot Table'!$A$3,"State","OK","Category",12,"Category2","Technical Institutes")</f>
        <v>0</v>
      </c>
      <c r="AI89" s="115">
        <f>+GETPIVOTDATA(" Tot # Instr. New",'Counts Pivot Table'!$A$3,"State","OK","Category",13,"Category2","Technical Institutes")</f>
        <v>0</v>
      </c>
      <c r="AJ89" s="116">
        <f>+GETPIVOTDATA(" Tot # Instr. New",'Counts Pivot Table'!$A$3,"State","OK","Category",14,"Category2","Technical Institutes")</f>
        <v>0</v>
      </c>
      <c r="AK89" s="114">
        <f>+GETPIVOTDATA(" Tot # Instr. New",'Counts Pivot Table'!$A$3,"State","OK","Category2","Technical Institutes")</f>
        <v>0</v>
      </c>
    </row>
    <row r="90" spans="1:39">
      <c r="A90" s="30"/>
      <c r="B90" s="38" t="s">
        <v>414</v>
      </c>
      <c r="C90" s="32">
        <f t="shared" si="22"/>
        <v>0</v>
      </c>
      <c r="D90" s="34">
        <f t="shared" si="22"/>
        <v>0</v>
      </c>
      <c r="E90" s="34">
        <f t="shared" si="22"/>
        <v>0</v>
      </c>
      <c r="F90" s="34">
        <f t="shared" si="22"/>
        <v>0</v>
      </c>
      <c r="G90" s="34">
        <f t="shared" si="22"/>
        <v>0</v>
      </c>
      <c r="H90" s="68">
        <f t="shared" si="22"/>
        <v>0</v>
      </c>
      <c r="I90" s="32">
        <f t="shared" si="22"/>
        <v>0</v>
      </c>
      <c r="J90" s="32">
        <f t="shared" si="22"/>
        <v>0</v>
      </c>
      <c r="K90" s="34">
        <f t="shared" si="22"/>
        <v>0</v>
      </c>
      <c r="L90" s="34">
        <f t="shared" si="22"/>
        <v>0</v>
      </c>
      <c r="M90" s="34">
        <f t="shared" si="23"/>
        <v>0</v>
      </c>
      <c r="N90" s="124">
        <f t="shared" si="23"/>
        <v>0</v>
      </c>
      <c r="O90" s="32">
        <f t="shared" si="23"/>
        <v>0</v>
      </c>
      <c r="P90" s="32">
        <f t="shared" si="23"/>
        <v>0</v>
      </c>
      <c r="Q90" s="34">
        <f t="shared" si="23"/>
        <v>0</v>
      </c>
      <c r="R90" s="68">
        <f t="shared" si="23"/>
        <v>0</v>
      </c>
      <c r="S90" s="32">
        <f t="shared" si="23"/>
        <v>0</v>
      </c>
      <c r="T90" s="92"/>
      <c r="U90" s="114">
        <f>++GETPIVOTDATA(" Tot # Undes. New",'Counts Pivot Table'!$A$3,"State","OK","Category",1,"Category2","Four-Year")</f>
        <v>0</v>
      </c>
      <c r="V90" s="115">
        <f>+GETPIVOTDATA(" Tot # Undes. New",'Counts Pivot Table'!$A$3,"State","OK","Category",2,"Category2","Four-Year")</f>
        <v>0</v>
      </c>
      <c r="W90" s="115">
        <f>+GETPIVOTDATA(" Tot # Undes. New",'Counts Pivot Table'!$A$3,"State","OK","Category",3,"Category2","Four-Year")</f>
        <v>0</v>
      </c>
      <c r="X90" s="115">
        <f>+GETPIVOTDATA(" Tot # Undes. New",'Counts Pivot Table'!$A$3,"State","OK","Category",4,"Category2","Four-Year")</f>
        <v>0</v>
      </c>
      <c r="Y90" s="115">
        <f>+GETPIVOTDATA(" Tot # Undes. New",'Counts Pivot Table'!$A$3,"State","OK","Category",5,"Category2","Four-Year")</f>
        <v>0</v>
      </c>
      <c r="Z90" s="115">
        <f>+GETPIVOTDATA(" Tot # Undes. New",'Counts Pivot Table'!$A$3,"State","OK","Category",6,"Category2","Four-Year")</f>
        <v>0</v>
      </c>
      <c r="AA90" s="117">
        <f>+GETPIVOTDATA(" Tot # Undes. New",'Counts Pivot Table'!$A$3,"State","OK","Category2","Four-Year")</f>
        <v>0</v>
      </c>
      <c r="AB90" s="114">
        <f>+GETPIVOTDATA(" Tot # Undes. New",'Counts Pivot Table'!$A$3,"State","OK","Category",7,"Category2","Two-Year")</f>
        <v>0</v>
      </c>
      <c r="AC90" s="115">
        <f>+GETPIVOTDATA(" Tot # Undes. New",'Counts Pivot Table'!$A$3,"State","OK","Category",8,"Category2","Two-Year")</f>
        <v>0</v>
      </c>
      <c r="AD90" s="115">
        <f>+GETPIVOTDATA(" Tot # Undes. New",'Counts Pivot Table'!$A$3,"State","OK","Category",9,"Category2","Two-Year")</f>
        <v>0</v>
      </c>
      <c r="AE90" s="115">
        <f>+GETPIVOTDATA(" Tot # Undes. New",'Counts Pivot Table'!$A$3,"State","OK","Category",10,"Category2","Two-Year")</f>
        <v>0</v>
      </c>
      <c r="AF90" s="116">
        <f>+GETPIVOTDATA(" Tot # Undes. New",'Counts Pivot Table'!$A$3,"State","OK","Category",11,"Category2","Two-Year")</f>
        <v>0</v>
      </c>
      <c r="AG90" s="116">
        <f>+GETPIVOTDATA(" Tot # Undes. New",'Counts Pivot Table'!$A$3,"State","OK","Category2","Two-Year")</f>
        <v>0</v>
      </c>
      <c r="AH90" s="114">
        <f>+GETPIVOTDATA(" Tot # Undes. New",'Counts Pivot Table'!$A$3,"State","OK","Category",12,"Category2","Technical Institutes")</f>
        <v>0</v>
      </c>
      <c r="AI90" s="115">
        <f>+GETPIVOTDATA(" Tot # Undes. New",'Counts Pivot Table'!$A$3,"State","OK","Category",13,"Category2","Technical Institutes")</f>
        <v>0</v>
      </c>
      <c r="AJ90" s="116">
        <f>+GETPIVOTDATA(" Tot # Undes. New",'Counts Pivot Table'!$A$3,"State","OK","Category",14,"Category2","Technical Institutes")</f>
        <v>0</v>
      </c>
      <c r="AK90" s="114">
        <f>+GETPIVOTDATA(" Tot # Undes. New",'Counts Pivot Table'!$A$3,"State","OK","Category2","Technical Institutes")</f>
        <v>0</v>
      </c>
    </row>
    <row r="91" spans="1:39">
      <c r="A91" s="30"/>
      <c r="B91" s="38" t="s">
        <v>413</v>
      </c>
      <c r="C91" s="32">
        <f t="shared" si="22"/>
        <v>0</v>
      </c>
      <c r="D91" s="34">
        <f t="shared" si="22"/>
        <v>0</v>
      </c>
      <c r="E91" s="199">
        <f t="shared" si="22"/>
        <v>0</v>
      </c>
      <c r="F91" s="34">
        <f t="shared" si="22"/>
        <v>0</v>
      </c>
      <c r="G91" s="199">
        <f t="shared" si="22"/>
        <v>0</v>
      </c>
      <c r="H91" s="68">
        <f t="shared" si="22"/>
        <v>0</v>
      </c>
      <c r="I91" s="198">
        <f t="shared" si="22"/>
        <v>0</v>
      </c>
      <c r="J91" s="32">
        <f t="shared" si="22"/>
        <v>1</v>
      </c>
      <c r="K91" s="34">
        <f t="shared" si="22"/>
        <v>1</v>
      </c>
      <c r="L91" s="34">
        <f t="shared" si="22"/>
        <v>1</v>
      </c>
      <c r="M91" s="34">
        <f t="shared" si="23"/>
        <v>1</v>
      </c>
      <c r="N91" s="68">
        <f t="shared" si="23"/>
        <v>0</v>
      </c>
      <c r="O91" s="32">
        <f t="shared" si="23"/>
        <v>1</v>
      </c>
      <c r="P91" s="32">
        <f t="shared" si="23"/>
        <v>1</v>
      </c>
      <c r="Q91" s="34">
        <f t="shared" si="23"/>
        <v>1</v>
      </c>
      <c r="R91" s="68">
        <f t="shared" si="23"/>
        <v>0</v>
      </c>
      <c r="S91" s="32">
        <f t="shared" si="23"/>
        <v>1</v>
      </c>
      <c r="T91" s="92"/>
      <c r="U91" s="114">
        <f>+GETPIVOTDATA(" Tot # Single Rnk New",'Counts Pivot Table'!$A$3,"State","OK","Category",1,"Category2","Four-Year")</f>
        <v>0</v>
      </c>
      <c r="V91" s="115">
        <f>+GETPIVOTDATA(" Tot # Single Rnk New",'Counts Pivot Table'!$A$3,"State","OK","Category",2,"Category2","Four-Year")</f>
        <v>0</v>
      </c>
      <c r="W91" s="115">
        <f>+GETPIVOTDATA(" Tot # Single Rnk New",'Counts Pivot Table'!$A$3,"State","OK","Category",3,"Category2","Four-Year")</f>
        <v>0</v>
      </c>
      <c r="X91" s="115">
        <f>+GETPIVOTDATA(" Tot # Single Rnk New",'Counts Pivot Table'!$A$3,"State","OK","Category",4,"Category2","Four-Year")</f>
        <v>0</v>
      </c>
      <c r="Y91" s="115">
        <f>+GETPIVOTDATA(" Tot # Single Rnk New",'Counts Pivot Table'!$A$3,"State","OK","Category",5,"Category2","Four-Year")</f>
        <v>0</v>
      </c>
      <c r="Z91" s="115">
        <f>+GETPIVOTDATA(" Tot # Single Rnk New",'Counts Pivot Table'!$A$3,"State","OK","Category",6,"Category2","Four-Year")</f>
        <v>0</v>
      </c>
      <c r="AA91" s="117">
        <f>+GETPIVOTDATA(" Tot # Single Rnk New",'Counts Pivot Table'!$A$3,"State","OK","Category2","Four-Year")</f>
        <v>0</v>
      </c>
      <c r="AB91" s="114">
        <f>+GETPIVOTDATA(" Tot # Single Rnk New",'Counts Pivot Table'!$A$3,"State","OK","Category",7,"Category2","Two-Year")</f>
        <v>124</v>
      </c>
      <c r="AC91" s="115">
        <f>+GETPIVOTDATA(" Tot # Single Rnk New",'Counts Pivot Table'!$A$3,"State","OK","Category",8,"Category2","Two-Year")</f>
        <v>444</v>
      </c>
      <c r="AD91" s="115">
        <f>+GETPIVOTDATA(" Tot # Single Rnk New",'Counts Pivot Table'!$A$3,"State","OK","Category",9,"Category2","Two-Year")</f>
        <v>270</v>
      </c>
      <c r="AE91" s="115">
        <f>+GETPIVOTDATA(" Tot # Single Rnk New",'Counts Pivot Table'!$A$3,"State","OK","Category",10,"Category2","Two-Year")</f>
        <v>403</v>
      </c>
      <c r="AF91" s="116">
        <f>+GETPIVOTDATA(" Tot # Single Rnk New",'Counts Pivot Table'!$A$3,"State","OK","Category",11,"Category2","Two-Year")</f>
        <v>0</v>
      </c>
      <c r="AG91" s="116">
        <f>+GETPIVOTDATA(" Tot # Single Rnk New",'Counts Pivot Table'!$A$3,"State","OK","Category2","Two-Year")</f>
        <v>1241</v>
      </c>
      <c r="AH91" s="114">
        <f>+GETPIVOTDATA(" Tot # Single Rnk New",'Counts Pivot Table'!$A$3,"State","OK","Category",12,"Category2","Technical Institutes")</f>
        <v>225</v>
      </c>
      <c r="AI91" s="115">
        <f>+GETPIVOTDATA(" Tot # Single Rnk New",'Counts Pivot Table'!$A$3,"State","OK","Category",13,"Category2","Technical Institutes")</f>
        <v>849</v>
      </c>
      <c r="AJ91" s="116">
        <f>+GETPIVOTDATA(" Tot # Single Rnk New",'Counts Pivot Table'!$A$3,"State","OK","Category",14,"Category2","Technical Institutes")</f>
        <v>0</v>
      </c>
      <c r="AK91" s="114">
        <f>+GETPIVOTDATA(" Tot # Single Rnk New",'Counts Pivot Table'!$A$3,"State","OK","Category2","Technical Institutes")</f>
        <v>1074</v>
      </c>
    </row>
    <row r="92" spans="1:39" s="54" customFormat="1">
      <c r="A92" s="207"/>
      <c r="B92" s="208" t="s">
        <v>415</v>
      </c>
      <c r="C92" s="33">
        <f t="shared" si="22"/>
        <v>1</v>
      </c>
      <c r="D92" s="31">
        <f t="shared" si="22"/>
        <v>0</v>
      </c>
      <c r="E92" s="31">
        <f t="shared" si="22"/>
        <v>1</v>
      </c>
      <c r="F92" s="31">
        <f t="shared" si="22"/>
        <v>0</v>
      </c>
      <c r="G92" s="31">
        <f t="shared" si="22"/>
        <v>1</v>
      </c>
      <c r="H92" s="69">
        <f t="shared" si="22"/>
        <v>1</v>
      </c>
      <c r="I92" s="33">
        <f t="shared" si="22"/>
        <v>1</v>
      </c>
      <c r="J92" s="33">
        <f t="shared" si="22"/>
        <v>1</v>
      </c>
      <c r="K92" s="31">
        <f t="shared" si="22"/>
        <v>1</v>
      </c>
      <c r="L92" s="31">
        <f t="shared" si="22"/>
        <v>1</v>
      </c>
      <c r="M92" s="31">
        <f t="shared" si="23"/>
        <v>1</v>
      </c>
      <c r="N92" s="69">
        <f t="shared" si="23"/>
        <v>0</v>
      </c>
      <c r="O92" s="33">
        <f t="shared" si="23"/>
        <v>1</v>
      </c>
      <c r="P92" s="33">
        <f t="shared" si="23"/>
        <v>1</v>
      </c>
      <c r="Q92" s="31">
        <f t="shared" si="23"/>
        <v>1</v>
      </c>
      <c r="R92" s="69">
        <f t="shared" si="23"/>
        <v>0</v>
      </c>
      <c r="S92" s="33">
        <f t="shared" si="23"/>
        <v>1</v>
      </c>
      <c r="T92" s="93"/>
      <c r="U92" s="118">
        <f>+GETPIVOTDATA(" All Ranks # New",'Counts Pivot Table'!$A$3,"State","OK","Category",1,"Category2","Four-Year")</f>
        <v>2032</v>
      </c>
      <c r="V92" s="119">
        <f>+GETPIVOTDATA(" All Ranks # New",'Counts Pivot Table'!$A$3,"State","OK","Category",2,"Category2","Four-Year")</f>
        <v>0</v>
      </c>
      <c r="W92" s="119">
        <f>+GETPIVOTDATA(" All Ranks # New",'Counts Pivot Table'!$A$3,"State","OK","Category",3,"Category2","Four-Year")</f>
        <v>760</v>
      </c>
      <c r="X92" s="119">
        <f>+GETPIVOTDATA(" All Ranks # New",'Counts Pivot Table'!$A$3,"State","OK","Category",4,"Category2","Four-Year")</f>
        <v>0</v>
      </c>
      <c r="Y92" s="119">
        <f>+GETPIVOTDATA(" All Ranks # New",'Counts Pivot Table'!$A$3,"State","OK","Category",5,"Category2","Four-Year")</f>
        <v>889</v>
      </c>
      <c r="Z92" s="119">
        <f>+GETPIVOTDATA(" All Ranks # New",'Counts Pivot Table'!$A$3,"State","OK","Category",6,"Category2","Four-Year")</f>
        <v>195</v>
      </c>
      <c r="AA92" s="121">
        <f>+GETPIVOTDATA(" All Ranks # New",'Counts Pivot Table'!$A$3,"State","OK","Category2","Four-Year")</f>
        <v>3876</v>
      </c>
      <c r="AB92" s="118">
        <f>+GETPIVOTDATA(" All Ranks # New",'Counts Pivot Table'!$A$3,"State","OK","Category",7,"Category2","Two-Year")</f>
        <v>124</v>
      </c>
      <c r="AC92" s="119">
        <f>+GETPIVOTDATA(" All Ranks # New",'Counts Pivot Table'!$A$3,"State","OK","Category",8,"Category2","Two-Year")</f>
        <v>444</v>
      </c>
      <c r="AD92" s="119">
        <f>+GETPIVOTDATA(" All Ranks # New",'Counts Pivot Table'!$A$3,"State","OK","Category",9,"Category2","Two-Year")</f>
        <v>270</v>
      </c>
      <c r="AE92" s="119">
        <f>+GETPIVOTDATA(" All Ranks # New",'Counts Pivot Table'!$A$3,"State","OK","Category",10,"Category2","Two-Year")</f>
        <v>403</v>
      </c>
      <c r="AF92" s="120">
        <f>+GETPIVOTDATA(" All Ranks # New",'Counts Pivot Table'!$A$3,"State","OK","Category",11,"Category2","Two-Year")</f>
        <v>0</v>
      </c>
      <c r="AG92" s="120">
        <f>+GETPIVOTDATA(" All Ranks # New",'Counts Pivot Table'!$A$3,"State","OK","Category2","Two-Year")</f>
        <v>1241</v>
      </c>
      <c r="AH92" s="118">
        <f>+GETPIVOTDATA(" All Ranks # New",'Counts Pivot Table'!$A$3,"State","OK","Category",12,"Category2","Technical Institutes")</f>
        <v>225</v>
      </c>
      <c r="AI92" s="119">
        <f>+GETPIVOTDATA(" All Ranks # New",'Counts Pivot Table'!$A$3,"State","OK","Category",13,"Category2","Technical Institutes")</f>
        <v>849</v>
      </c>
      <c r="AJ92" s="120">
        <f>+GETPIVOTDATA(" All Ranks # New",'Counts Pivot Table'!$A$3,"State","OK","Category",14,"Category2","Technical Institutes")</f>
        <v>0</v>
      </c>
      <c r="AK92" s="118">
        <f>+GETPIVOTDATA(" All Ranks # New",'Counts Pivot Table'!$A$3,"State","OK","Category2","Technical Institutes")</f>
        <v>1074</v>
      </c>
      <c r="AL92" s="122"/>
      <c r="AM92" s="122"/>
    </row>
    <row r="93" spans="1:39">
      <c r="A93" s="38" t="s">
        <v>449</v>
      </c>
      <c r="B93" s="35" t="s">
        <v>435</v>
      </c>
      <c r="C93" s="36">
        <f t="shared" ref="C93:L99" si="24">IF(U$99&gt;0,(U93/U$99),0)</f>
        <v>0.28888888888888886</v>
      </c>
      <c r="D93" s="37">
        <f t="shared" si="24"/>
        <v>0</v>
      </c>
      <c r="E93" s="37">
        <f t="shared" si="24"/>
        <v>0.23404255319148937</v>
      </c>
      <c r="F93" s="37">
        <f t="shared" si="24"/>
        <v>0.34104046242774566</v>
      </c>
      <c r="G93" s="37">
        <f t="shared" si="24"/>
        <v>0.20210280373831777</v>
      </c>
      <c r="H93" s="67">
        <f t="shared" si="24"/>
        <v>0.18630136986301371</v>
      </c>
      <c r="I93" s="36">
        <f t="shared" si="24"/>
        <v>0.25623885918003564</v>
      </c>
      <c r="J93" s="36">
        <f t="shared" si="24"/>
        <v>0.16981132075471697</v>
      </c>
      <c r="K93" s="37">
        <f t="shared" si="24"/>
        <v>0</v>
      </c>
      <c r="L93" s="37">
        <f t="shared" si="24"/>
        <v>0</v>
      </c>
      <c r="M93" s="37">
        <f t="shared" ref="M93:S99" si="25">IF(AE$99&gt;0,(AE93/AE$99),0)</f>
        <v>5.7034220532319393E-2</v>
      </c>
      <c r="N93" s="67">
        <f t="shared" si="25"/>
        <v>0</v>
      </c>
      <c r="O93" s="36">
        <f t="shared" si="25"/>
        <v>1.1439466158245948E-2</v>
      </c>
      <c r="P93" s="164">
        <f t="shared" si="25"/>
        <v>0</v>
      </c>
      <c r="Q93" s="37">
        <f t="shared" si="25"/>
        <v>0</v>
      </c>
      <c r="R93" s="67">
        <f t="shared" si="25"/>
        <v>0</v>
      </c>
      <c r="S93" s="164">
        <f t="shared" si="25"/>
        <v>0</v>
      </c>
      <c r="T93" s="123"/>
      <c r="U93" s="110">
        <f>+GETPIVOTDATA(" Total # Prof New",'Counts Pivot Table'!$A$3,"State","SC","Category",1,"Category2","Four-Year")</f>
        <v>663</v>
      </c>
      <c r="V93" s="111">
        <f>+GETPIVOTDATA(" Total # Prof New",'Counts Pivot Table'!$A$3,"State","SC","Category",2,"Category2","Four-Year")</f>
        <v>0</v>
      </c>
      <c r="W93" s="111">
        <f>+GETPIVOTDATA(" Total # Prof New",'Counts Pivot Table'!$A$3,"State","SC","Category",3,"Category2","Four-Year")</f>
        <v>187</v>
      </c>
      <c r="X93" s="111">
        <f>+GETPIVOTDATA(" Total # Prof New",'Counts Pivot Table'!$A$3,"State","SC","Category",4,"Category2","Four-Year")</f>
        <v>59</v>
      </c>
      <c r="Y93" s="111">
        <f>+GETPIVOTDATA(" Total # Prof New",'Counts Pivot Table'!$A$3,"State","SC","Category",5,"Category2","Four-Year")</f>
        <v>173</v>
      </c>
      <c r="Z93" s="111">
        <f>+GETPIVOTDATA(" Total # Prof New",'Counts Pivot Table'!$A$3,"State","SC","Category",6,"Category2","Four-Year")</f>
        <v>68</v>
      </c>
      <c r="AA93" s="113">
        <f>+GETPIVOTDATA(" Total # Prof New",'Counts Pivot Table'!$A$3,"State","SC","Category2","Four-Year")</f>
        <v>1150</v>
      </c>
      <c r="AB93" s="110">
        <f>+GETPIVOTDATA(" Total # Prof New",'Counts Pivot Table'!$A$3,"State","SC","Category",7,"Category2","Two-Year")</f>
        <v>9</v>
      </c>
      <c r="AC93" s="111">
        <f>+GETPIVOTDATA(" Total # Prof New",'Counts Pivot Table'!$A$3,"State","SC","Category",8,"Category2","Two-Year")</f>
        <v>0</v>
      </c>
      <c r="AD93" s="111">
        <f>+GETPIVOTDATA(" Total # Prof New",'Counts Pivot Table'!$A$3,"State","SC","Category",9,"Category2","Two-Year")</f>
        <v>0</v>
      </c>
      <c r="AE93" s="111">
        <f>+GETPIVOTDATA(" Total # Prof New",'Counts Pivot Table'!$A$3,"State","SC","Category",10,"Category2","Two-Year")</f>
        <v>15</v>
      </c>
      <c r="AF93" s="112">
        <f>+GETPIVOTDATA(" Total # Prof New",'Counts Pivot Table'!$A$3,"State","SC","Category",11,"Category2","Two-Year")</f>
        <v>0</v>
      </c>
      <c r="AG93" s="112">
        <f>+GETPIVOTDATA(" Total # Prof New",'Counts Pivot Table'!$A$3,"State","SC","Category2","Two-Year")</f>
        <v>24</v>
      </c>
      <c r="AH93" s="110">
        <f>+GETPIVOTDATA(" Total # Prof New",'Counts Pivot Table'!$A$3,"State","SC","Category",12,"Category2","Technical Institutes")</f>
        <v>0</v>
      </c>
      <c r="AI93" s="111">
        <f>+GETPIVOTDATA(" Total # Prof New",'Counts Pivot Table'!$A$3,"State","SC","Category",13,"Category2","Technical Institutes")</f>
        <v>0</v>
      </c>
      <c r="AJ93" s="112">
        <f>+GETPIVOTDATA(" Total # Prof New",'Counts Pivot Table'!$A$3,"State","SC","Category",14,"Category2","Technical Institutes")</f>
        <v>0</v>
      </c>
      <c r="AK93" s="110">
        <f>+GETPIVOTDATA(" Total # Prof New",'Counts Pivot Table'!$A$3,"State","SC","Category2","Technical Institutes")</f>
        <v>0</v>
      </c>
    </row>
    <row r="94" spans="1:39">
      <c r="A94" s="30"/>
      <c r="B94" s="38" t="s">
        <v>436</v>
      </c>
      <c r="C94" s="32">
        <f t="shared" si="24"/>
        <v>0.24444444444444444</v>
      </c>
      <c r="D94" s="34">
        <f t="shared" si="24"/>
        <v>0</v>
      </c>
      <c r="E94" s="34">
        <f t="shared" si="24"/>
        <v>0.31289111389236546</v>
      </c>
      <c r="F94" s="34">
        <f t="shared" si="24"/>
        <v>0.30057803468208094</v>
      </c>
      <c r="G94" s="34">
        <f t="shared" si="24"/>
        <v>0.22429906542056074</v>
      </c>
      <c r="H94" s="68">
        <f t="shared" si="24"/>
        <v>0.20547945205479451</v>
      </c>
      <c r="I94" s="32">
        <f t="shared" si="24"/>
        <v>0.25178253119429589</v>
      </c>
      <c r="J94" s="32">
        <f t="shared" si="24"/>
        <v>0.28301886792452829</v>
      </c>
      <c r="K94" s="34">
        <f t="shared" si="24"/>
        <v>0</v>
      </c>
      <c r="L94" s="34">
        <f t="shared" si="24"/>
        <v>0</v>
      </c>
      <c r="M94" s="34">
        <f t="shared" si="25"/>
        <v>9.5057034220532313E-2</v>
      </c>
      <c r="N94" s="68">
        <f t="shared" si="25"/>
        <v>0</v>
      </c>
      <c r="O94" s="32">
        <f t="shared" si="25"/>
        <v>1.9065776930409915E-2</v>
      </c>
      <c r="P94" s="32">
        <f t="shared" si="25"/>
        <v>0</v>
      </c>
      <c r="Q94" s="34">
        <f t="shared" si="25"/>
        <v>0</v>
      </c>
      <c r="R94" s="68">
        <f t="shared" si="25"/>
        <v>0</v>
      </c>
      <c r="S94" s="32">
        <f t="shared" si="25"/>
        <v>0</v>
      </c>
      <c r="T94" s="92"/>
      <c r="U94" s="114">
        <f>+GETPIVOTDATA(" Tot # Asc. Prof New",'Counts Pivot Table'!$A$3,"State","SC","Category",1,"Category2","Four-Year")</f>
        <v>561</v>
      </c>
      <c r="V94" s="115">
        <f>+GETPIVOTDATA(" Tot # Asc. Prof New",'Counts Pivot Table'!$A$3,"State","SC","Category",2,"Category2","Four-Year")</f>
        <v>0</v>
      </c>
      <c r="W94" s="115">
        <f>+GETPIVOTDATA(" Tot # Asc. Prof New",'Counts Pivot Table'!$A$3,"State","SC","Category",3,"Category2","Four-Year")</f>
        <v>250</v>
      </c>
      <c r="X94" s="115">
        <f>+GETPIVOTDATA(" Tot # Asc. Prof New",'Counts Pivot Table'!$A$3,"State","SC","Category",4,"Category2","Four-Year")</f>
        <v>52</v>
      </c>
      <c r="Y94" s="115">
        <f>+GETPIVOTDATA(" Tot # Asc. Prof New",'Counts Pivot Table'!$A$3,"State","SC","Category",5,"Category2","Four-Year")</f>
        <v>192</v>
      </c>
      <c r="Z94" s="115">
        <f>+GETPIVOTDATA(" Tot # Asc. Prof New",'Counts Pivot Table'!$A$3,"State","SC","Category",6,"Category2","Four-Year")</f>
        <v>75</v>
      </c>
      <c r="AA94" s="117">
        <f>+GETPIVOTDATA(" Tot # Asc. Prof New",'Counts Pivot Table'!$A$3,"State","SC","Category2","Four-Year")</f>
        <v>1130</v>
      </c>
      <c r="AB94" s="114">
        <f>+GETPIVOTDATA(" Tot # Asc. Prof New",'Counts Pivot Table'!$A$3,"State","SC","Category",7,"Category2","Two-Year")</f>
        <v>15</v>
      </c>
      <c r="AC94" s="115">
        <f>+GETPIVOTDATA(" Tot # Asc. Prof New",'Counts Pivot Table'!$A$3,"State","SC","Category",8,"Category2","Two-Year")</f>
        <v>0</v>
      </c>
      <c r="AD94" s="115">
        <f>+GETPIVOTDATA(" Tot # Asc. Prof New",'Counts Pivot Table'!$A$3,"State","SC","Category",9,"Category2","Two-Year")</f>
        <v>0</v>
      </c>
      <c r="AE94" s="115">
        <f>+GETPIVOTDATA(" Tot # Asc. Prof New",'Counts Pivot Table'!$A$3,"State","SC","Category",10,"Category2","Two-Year")</f>
        <v>25</v>
      </c>
      <c r="AF94" s="116">
        <f>+GETPIVOTDATA(" Tot # Asc. Prof New",'Counts Pivot Table'!$A$3,"State","SC","Category",11,"Category2","Two-Year")</f>
        <v>0</v>
      </c>
      <c r="AG94" s="116">
        <f>+GETPIVOTDATA(" Tot # Asc. Prof New",'Counts Pivot Table'!$A$3,"State","SC","Category2","Two-Year")</f>
        <v>40</v>
      </c>
      <c r="AH94" s="114">
        <f>+GETPIVOTDATA(" Tot # Asc. Prof New",'Counts Pivot Table'!$A$3,"State","SC","Category",12,"Category2","Technical Institutes")</f>
        <v>0</v>
      </c>
      <c r="AI94" s="115">
        <f>+GETPIVOTDATA(" Tot # Asc. Prof New",'Counts Pivot Table'!$A$3,"State","SC","Category",13,"Category2","Technical Institutes")</f>
        <v>0</v>
      </c>
      <c r="AJ94" s="116">
        <f>+GETPIVOTDATA(" Tot # Asc. Prof New",'Counts Pivot Table'!$A$3,"State","SC","Category",14,"Category2","Technical Institutes")</f>
        <v>0</v>
      </c>
      <c r="AK94" s="114">
        <f>+GETPIVOTDATA(" Tot # Asc. Prof New",'Counts Pivot Table'!$A$3,"State","SC","Category2","Technical Institutes")</f>
        <v>0</v>
      </c>
    </row>
    <row r="95" spans="1:39">
      <c r="A95" s="30"/>
      <c r="B95" s="38" t="s">
        <v>437</v>
      </c>
      <c r="C95" s="32">
        <f t="shared" si="24"/>
        <v>0.29891067538126359</v>
      </c>
      <c r="D95" s="34">
        <f t="shared" si="24"/>
        <v>0</v>
      </c>
      <c r="E95" s="34">
        <f t="shared" si="24"/>
        <v>0.3091364205256571</v>
      </c>
      <c r="F95" s="34">
        <f t="shared" si="24"/>
        <v>0.3583815028901734</v>
      </c>
      <c r="G95" s="34">
        <f t="shared" si="24"/>
        <v>0.40070093457943923</v>
      </c>
      <c r="H95" s="68">
        <f t="shared" si="24"/>
        <v>0.29589041095890412</v>
      </c>
      <c r="I95" s="32">
        <f t="shared" si="24"/>
        <v>0.32219251336898397</v>
      </c>
      <c r="J95" s="32">
        <f t="shared" si="24"/>
        <v>0.26415094339622641</v>
      </c>
      <c r="K95" s="34">
        <f t="shared" si="24"/>
        <v>0</v>
      </c>
      <c r="L95" s="34">
        <f t="shared" si="24"/>
        <v>0</v>
      </c>
      <c r="M95" s="34">
        <f t="shared" si="25"/>
        <v>0.15209125475285171</v>
      </c>
      <c r="N95" s="68">
        <f t="shared" si="25"/>
        <v>0</v>
      </c>
      <c r="O95" s="32">
        <f t="shared" si="25"/>
        <v>2.5738798856053385E-2</v>
      </c>
      <c r="P95" s="32">
        <f t="shared" si="25"/>
        <v>0</v>
      </c>
      <c r="Q95" s="34">
        <f t="shared" si="25"/>
        <v>0</v>
      </c>
      <c r="R95" s="68">
        <f t="shared" si="25"/>
        <v>0</v>
      </c>
      <c r="S95" s="32">
        <f t="shared" si="25"/>
        <v>0</v>
      </c>
      <c r="T95" s="92"/>
      <c r="U95" s="114">
        <f>+GETPIVOTDATA(" Tot # Ast. Prof New",'Counts Pivot Table'!$A$3,"State","SC","Category",1,"Category2","Four-Year")</f>
        <v>686</v>
      </c>
      <c r="V95" s="115">
        <f>+GETPIVOTDATA(" Tot # Ast. Prof New",'Counts Pivot Table'!$A$3,"State","SC","Category",2,"Category2","Four-Year")</f>
        <v>0</v>
      </c>
      <c r="W95" s="115">
        <f>+GETPIVOTDATA(" Tot # Ast. Prof New",'Counts Pivot Table'!$A$3,"State","SC","Category",3,"Category2","Four-Year")</f>
        <v>247</v>
      </c>
      <c r="X95" s="115">
        <f>+GETPIVOTDATA(" Tot # Ast. Prof New",'Counts Pivot Table'!$A$3,"State","SC","Category",4,"Category2","Four-Year")</f>
        <v>62</v>
      </c>
      <c r="Y95" s="115">
        <f>+GETPIVOTDATA(" Tot # Ast. Prof New",'Counts Pivot Table'!$A$3,"State","SC","Category",5,"Category2","Four-Year")</f>
        <v>343</v>
      </c>
      <c r="Z95" s="115">
        <f>+GETPIVOTDATA(" Tot # Ast. Prof New",'Counts Pivot Table'!$A$3,"State","SC","Category",6,"Category2","Four-Year")</f>
        <v>108</v>
      </c>
      <c r="AA95" s="117">
        <f>+GETPIVOTDATA(" Tot # Ast. Prof New",'Counts Pivot Table'!$A$3,"State","SC","Category2","Four-Year")</f>
        <v>1446</v>
      </c>
      <c r="AB95" s="114">
        <f>+GETPIVOTDATA(" Tot # Ast. Prof New",'Counts Pivot Table'!$A$3,"State","SC","Category",7,"Category2","Two-Year")</f>
        <v>14</v>
      </c>
      <c r="AC95" s="115">
        <f>+GETPIVOTDATA(" Tot # Ast. Prof New",'Counts Pivot Table'!$A$3,"State","SC","Category",8,"Category2","Two-Year")</f>
        <v>0</v>
      </c>
      <c r="AD95" s="115">
        <f>+GETPIVOTDATA(" Tot # Ast. Prof New",'Counts Pivot Table'!$A$3,"State","SC","Category",9,"Category2","Two-Year")</f>
        <v>0</v>
      </c>
      <c r="AE95" s="115">
        <f>+GETPIVOTDATA(" Tot # Ast. Prof New",'Counts Pivot Table'!$A$3,"State","SC","Category",10,"Category2","Two-Year")</f>
        <v>40</v>
      </c>
      <c r="AF95" s="116">
        <f>+GETPIVOTDATA(" Tot # Ast. Prof New",'Counts Pivot Table'!$A$3,"State","SC","Category",11,"Category2","Two-Year")</f>
        <v>0</v>
      </c>
      <c r="AG95" s="116">
        <f>+GETPIVOTDATA(" Tot # Ast. Prof New",'Counts Pivot Table'!$A$3,"State","SC","Category2","Two-Year")</f>
        <v>54</v>
      </c>
      <c r="AH95" s="114">
        <f>+GETPIVOTDATA(" Tot # Ast. Prof New",'Counts Pivot Table'!$A$3,"State","SC","Category",12,"Category2","Technical Institutes")</f>
        <v>0</v>
      </c>
      <c r="AI95" s="115">
        <f>+GETPIVOTDATA(" Tot # Ast. Prof New",'Counts Pivot Table'!$A$3,"State","SC","Category",13,"Category2","Technical Institutes")</f>
        <v>0</v>
      </c>
      <c r="AJ95" s="116">
        <f>+GETPIVOTDATA(" Tot # Ast. Prof New",'Counts Pivot Table'!$A$3,"State","SC","Category",14,"Category2","Technical Institutes")</f>
        <v>0</v>
      </c>
      <c r="AK95" s="114">
        <f>+GETPIVOTDATA(" Tot # Ast. Prof New",'Counts Pivot Table'!$A$3,"State","SC","Category2","Technical Institutes")</f>
        <v>0</v>
      </c>
    </row>
    <row r="96" spans="1:39">
      <c r="A96" s="30"/>
      <c r="B96" s="38" t="s">
        <v>438</v>
      </c>
      <c r="C96" s="32">
        <f t="shared" si="24"/>
        <v>6.7973856209150321E-2</v>
      </c>
      <c r="D96" s="34">
        <f t="shared" si="24"/>
        <v>0</v>
      </c>
      <c r="E96" s="34">
        <f t="shared" si="24"/>
        <v>0.13642052565707133</v>
      </c>
      <c r="F96" s="34">
        <f t="shared" si="24"/>
        <v>0</v>
      </c>
      <c r="G96" s="34">
        <f t="shared" si="24"/>
        <v>0.10514018691588785</v>
      </c>
      <c r="H96" s="68">
        <f t="shared" si="24"/>
        <v>0.31232876712328766</v>
      </c>
      <c r="I96" s="32">
        <f t="shared" si="24"/>
        <v>0.10450089126559715</v>
      </c>
      <c r="J96" s="32">
        <f t="shared" si="24"/>
        <v>0.28301886792452829</v>
      </c>
      <c r="K96" s="34">
        <f t="shared" si="24"/>
        <v>0</v>
      </c>
      <c r="L96" s="34">
        <f t="shared" si="24"/>
        <v>0</v>
      </c>
      <c r="M96" s="34">
        <f t="shared" si="25"/>
        <v>0.17490494296577946</v>
      </c>
      <c r="N96" s="68">
        <f t="shared" si="25"/>
        <v>0</v>
      </c>
      <c r="O96" s="32">
        <f t="shared" si="25"/>
        <v>2.9075309818875118E-2</v>
      </c>
      <c r="P96" s="32">
        <f t="shared" si="25"/>
        <v>0</v>
      </c>
      <c r="Q96" s="34">
        <f t="shared" si="25"/>
        <v>0</v>
      </c>
      <c r="R96" s="68">
        <f t="shared" si="25"/>
        <v>0</v>
      </c>
      <c r="S96" s="32">
        <f t="shared" si="25"/>
        <v>0</v>
      </c>
      <c r="T96" s="92"/>
      <c r="U96" s="114">
        <f>+GETPIVOTDATA(" Tot # Instr. New",'Counts Pivot Table'!$A$3,"State","SC","Category",1,"Category2","Four-Year")</f>
        <v>156</v>
      </c>
      <c r="V96" s="115">
        <f>+GETPIVOTDATA(" Tot # Instr. New",'Counts Pivot Table'!$A$3,"State","SC","Category",2,"Category2","Four-Year")</f>
        <v>0</v>
      </c>
      <c r="W96" s="115">
        <f>+GETPIVOTDATA(" Tot # Instr. New",'Counts Pivot Table'!$A$3,"State","SC","Category",3,"Category2","Four-Year")</f>
        <v>109</v>
      </c>
      <c r="X96" s="115">
        <f>+GETPIVOTDATA(" Tot # Instr. New",'Counts Pivot Table'!$A$3,"State","SC","Category",4,"Category2","Four-Year")</f>
        <v>0</v>
      </c>
      <c r="Y96" s="115">
        <f>+GETPIVOTDATA(" Tot # Instr. New",'Counts Pivot Table'!$A$3,"State","SC","Category",5,"Category2","Four-Year")</f>
        <v>90</v>
      </c>
      <c r="Z96" s="115">
        <f>+GETPIVOTDATA(" Tot # Instr. New",'Counts Pivot Table'!$A$3,"State","SC","Category",6,"Category2","Four-Year")</f>
        <v>114</v>
      </c>
      <c r="AA96" s="117">
        <f>+GETPIVOTDATA(" Tot # Instr. New",'Counts Pivot Table'!$A$3,"State","SC","Category2","Four-Year")</f>
        <v>469</v>
      </c>
      <c r="AB96" s="114">
        <f>+GETPIVOTDATA(" Tot # Instr. New",'Counts Pivot Table'!$A$3,"State","SC","Category",7,"Category2","Two-Year")</f>
        <v>15</v>
      </c>
      <c r="AC96" s="115">
        <f>+GETPIVOTDATA(" Tot # Instr. New",'Counts Pivot Table'!$A$3,"State","SC","Category",8,"Category2","Two-Year")</f>
        <v>0</v>
      </c>
      <c r="AD96" s="115">
        <f>+GETPIVOTDATA(" Tot # Instr. New",'Counts Pivot Table'!$A$3,"State","SC","Category",9,"Category2","Two-Year")</f>
        <v>0</v>
      </c>
      <c r="AE96" s="115">
        <f>+GETPIVOTDATA(" Tot # Instr. New",'Counts Pivot Table'!$A$3,"State","SC","Category",10,"Category2","Two-Year")</f>
        <v>46</v>
      </c>
      <c r="AF96" s="116">
        <f>+GETPIVOTDATA(" Tot # Instr. New",'Counts Pivot Table'!$A$3,"State","SC","Category",11,"Category2","Two-Year")</f>
        <v>0</v>
      </c>
      <c r="AG96" s="116">
        <f>+GETPIVOTDATA(" Tot # Instr. New",'Counts Pivot Table'!$A$3,"State","SC","Category2","Two-Year")</f>
        <v>61</v>
      </c>
      <c r="AH96" s="114">
        <f>+GETPIVOTDATA(" Tot # Instr. New",'Counts Pivot Table'!$A$3,"State","SC","Category",12,"Category2","Technical Institutes")</f>
        <v>0</v>
      </c>
      <c r="AI96" s="115">
        <f>+GETPIVOTDATA(" Tot # Instr. New",'Counts Pivot Table'!$A$3,"State","SC","Category",13,"Category2","Technical Institutes")</f>
        <v>0</v>
      </c>
      <c r="AJ96" s="116">
        <f>+GETPIVOTDATA(" Tot # Instr. New",'Counts Pivot Table'!$A$3,"State","SC","Category",14,"Category2","Technical Institutes")</f>
        <v>0</v>
      </c>
      <c r="AK96" s="114">
        <f>+GETPIVOTDATA(" Tot # Instr. New",'Counts Pivot Table'!$A$3,"State","SC","Category2","Technical Institutes")</f>
        <v>0</v>
      </c>
    </row>
    <row r="97" spans="1:39">
      <c r="A97" s="30"/>
      <c r="B97" s="38" t="s">
        <v>414</v>
      </c>
      <c r="C97" s="32">
        <f t="shared" si="24"/>
        <v>9.978213507625272E-2</v>
      </c>
      <c r="D97" s="34">
        <f t="shared" si="24"/>
        <v>0</v>
      </c>
      <c r="E97" s="34">
        <f t="shared" si="24"/>
        <v>7.5093867334167707E-3</v>
      </c>
      <c r="F97" s="34">
        <f t="shared" si="24"/>
        <v>0</v>
      </c>
      <c r="G97" s="34">
        <f t="shared" si="24"/>
        <v>6.7757009345794386E-2</v>
      </c>
      <c r="H97" s="68">
        <f t="shared" si="24"/>
        <v>0</v>
      </c>
      <c r="I97" s="32">
        <f t="shared" si="24"/>
        <v>6.5285204991087351E-2</v>
      </c>
      <c r="J97" s="32">
        <f t="shared" si="24"/>
        <v>0</v>
      </c>
      <c r="K97" s="34">
        <f t="shared" si="24"/>
        <v>1</v>
      </c>
      <c r="L97" s="34">
        <f t="shared" si="24"/>
        <v>1</v>
      </c>
      <c r="M97" s="34">
        <f t="shared" si="25"/>
        <v>0.52091254752851712</v>
      </c>
      <c r="N97" s="124">
        <f t="shared" si="25"/>
        <v>0</v>
      </c>
      <c r="O97" s="32">
        <f t="shared" si="25"/>
        <v>0.91468064823641559</v>
      </c>
      <c r="P97" s="32">
        <f t="shared" si="25"/>
        <v>0</v>
      </c>
      <c r="Q97" s="34">
        <f t="shared" si="25"/>
        <v>0</v>
      </c>
      <c r="R97" s="68">
        <f t="shared" si="25"/>
        <v>0</v>
      </c>
      <c r="S97" s="32">
        <f t="shared" si="25"/>
        <v>0</v>
      </c>
      <c r="T97" s="92"/>
      <c r="U97" s="114">
        <f>++GETPIVOTDATA(" Tot # Undes. New",'Counts Pivot Table'!$A$3,"State","SC","Category",1,"Category2","Four-Year")</f>
        <v>229</v>
      </c>
      <c r="V97" s="115">
        <f>+GETPIVOTDATA(" Tot # Undes. New",'Counts Pivot Table'!$A$3,"State","SC","Category",2,"Category2","Four-Year")</f>
        <v>0</v>
      </c>
      <c r="W97" s="115">
        <f>+GETPIVOTDATA(" Tot # Undes. New",'Counts Pivot Table'!$A$3,"State","SC","Category",3,"Category2","Four-Year")</f>
        <v>6</v>
      </c>
      <c r="X97" s="115">
        <f>+GETPIVOTDATA(" Tot # Undes. New",'Counts Pivot Table'!$A$3,"State","SC","Category",4,"Category2","Four-Year")</f>
        <v>0</v>
      </c>
      <c r="Y97" s="115">
        <f>+GETPIVOTDATA(" Tot # Undes. New",'Counts Pivot Table'!$A$3,"State","SC","Category",5,"Category2","Four-Year")</f>
        <v>58</v>
      </c>
      <c r="Z97" s="115">
        <f>+GETPIVOTDATA(" Tot # Undes. New",'Counts Pivot Table'!$A$3,"State","SC","Category",6,"Category2","Four-Year")</f>
        <v>0</v>
      </c>
      <c r="AA97" s="117">
        <f>+GETPIVOTDATA(" Tot # Undes. New",'Counts Pivot Table'!$A$3,"State","SC","Category2","Four-Year")</f>
        <v>293</v>
      </c>
      <c r="AB97" s="114">
        <f>+GETPIVOTDATA(" Tot # Undes. New",'Counts Pivot Table'!$A$3,"State","SC","Category",7,"Category2","Two-Year")</f>
        <v>0</v>
      </c>
      <c r="AC97" s="115">
        <f>+GETPIVOTDATA(" Tot # Undes. New",'Counts Pivot Table'!$A$3,"State","SC","Category",8,"Category2","Two-Year")</f>
        <v>851</v>
      </c>
      <c r="AD97" s="115">
        <f>+GETPIVOTDATA(" Tot # Undes. New",'Counts Pivot Table'!$A$3,"State","SC","Category",9,"Category2","Two-Year")</f>
        <v>931</v>
      </c>
      <c r="AE97" s="115">
        <f>+GETPIVOTDATA(" Tot # Undes. New",'Counts Pivot Table'!$A$3,"State","SC","Category",10,"Category2","Two-Year")</f>
        <v>137</v>
      </c>
      <c r="AF97" s="116">
        <f>+GETPIVOTDATA(" Tot # Undes. New",'Counts Pivot Table'!$A$3,"State","SC","Category",11,"Category2","Two-Year")</f>
        <v>0</v>
      </c>
      <c r="AG97" s="116">
        <f>+GETPIVOTDATA(" Tot # Undes. New",'Counts Pivot Table'!$A$3,"State","SC","Category2","Two-Year")</f>
        <v>1919</v>
      </c>
      <c r="AH97" s="114">
        <f>+GETPIVOTDATA(" Tot # Undes. New",'Counts Pivot Table'!$A$3,"State","SC","Category",12,"Category2","Technical Institutes")</f>
        <v>0</v>
      </c>
      <c r="AI97" s="115">
        <f>+GETPIVOTDATA(" Tot # Undes. New",'Counts Pivot Table'!$A$3,"State","SC","Category",13,"Category2","Technical Institutes")</f>
        <v>0</v>
      </c>
      <c r="AJ97" s="116">
        <f>+GETPIVOTDATA(" Tot # Undes. New",'Counts Pivot Table'!$A$3,"State","SC","Category",14,"Category2","Technical Institutes")</f>
        <v>0</v>
      </c>
      <c r="AK97" s="114">
        <f>+GETPIVOTDATA(" Tot # Undes. New",'Counts Pivot Table'!$A$3,"State","SC","Category2","Technical Institutes")</f>
        <v>0</v>
      </c>
    </row>
    <row r="98" spans="1:39">
      <c r="A98" s="30"/>
      <c r="B98" s="38" t="s">
        <v>413</v>
      </c>
      <c r="C98" s="32">
        <f t="shared" si="24"/>
        <v>0</v>
      </c>
      <c r="D98" s="34">
        <f t="shared" si="24"/>
        <v>0</v>
      </c>
      <c r="E98" s="199">
        <f t="shared" si="24"/>
        <v>0</v>
      </c>
      <c r="F98" s="34">
        <f t="shared" si="24"/>
        <v>0</v>
      </c>
      <c r="G98" s="199">
        <f t="shared" si="24"/>
        <v>0</v>
      </c>
      <c r="H98" s="68">
        <f t="shared" si="24"/>
        <v>0</v>
      </c>
      <c r="I98" s="198">
        <f t="shared" si="24"/>
        <v>0</v>
      </c>
      <c r="J98" s="32">
        <f t="shared" si="24"/>
        <v>0</v>
      </c>
      <c r="K98" s="34">
        <f t="shared" si="24"/>
        <v>0</v>
      </c>
      <c r="L98" s="34">
        <f t="shared" si="24"/>
        <v>0</v>
      </c>
      <c r="M98" s="34">
        <f t="shared" si="25"/>
        <v>0</v>
      </c>
      <c r="N98" s="68">
        <f t="shared" si="25"/>
        <v>0</v>
      </c>
      <c r="O98" s="32">
        <f t="shared" si="25"/>
        <v>0</v>
      </c>
      <c r="P98" s="32">
        <f t="shared" si="25"/>
        <v>0</v>
      </c>
      <c r="Q98" s="34">
        <f t="shared" si="25"/>
        <v>0</v>
      </c>
      <c r="R98" s="68">
        <f t="shared" si="25"/>
        <v>0</v>
      </c>
      <c r="S98" s="32">
        <f t="shared" si="25"/>
        <v>0</v>
      </c>
      <c r="T98" s="92"/>
      <c r="U98" s="114">
        <f>+GETPIVOTDATA(" Tot # Single Rnk New",'Counts Pivot Table'!$A$3,"State","SC","Category",1,"Category2","Four-Year")</f>
        <v>0</v>
      </c>
      <c r="V98" s="115">
        <f>+GETPIVOTDATA(" Tot # Single Rnk New",'Counts Pivot Table'!$A$3,"State","SC","Category",2,"Category2","Four-Year")</f>
        <v>0</v>
      </c>
      <c r="W98" s="115">
        <f>+GETPIVOTDATA(" Tot # Single Rnk New",'Counts Pivot Table'!$A$3,"State","SC","Category",3,"Category2","Four-Year")</f>
        <v>0</v>
      </c>
      <c r="X98" s="115">
        <f>+GETPIVOTDATA(" Tot # Single Rnk New",'Counts Pivot Table'!$A$3,"State","SC","Category",4,"Category2","Four-Year")</f>
        <v>0</v>
      </c>
      <c r="Y98" s="115">
        <f>+GETPIVOTDATA(" Tot # Single Rnk New",'Counts Pivot Table'!$A$3,"State","SC","Category",5,"Category2","Four-Year")</f>
        <v>0</v>
      </c>
      <c r="Z98" s="115">
        <f>+GETPIVOTDATA(" Tot # Single Rnk New",'Counts Pivot Table'!$A$3,"State","SC","Category",6,"Category2","Four-Year")</f>
        <v>0</v>
      </c>
      <c r="AA98" s="117">
        <f>+GETPIVOTDATA(" Tot # Single Rnk New",'Counts Pivot Table'!$A$3,"State","SC","Category2","Four-Year")</f>
        <v>0</v>
      </c>
      <c r="AB98" s="114">
        <f>+GETPIVOTDATA(" Tot # Single Rnk New",'Counts Pivot Table'!$A$3,"State","SC","Category",7,"Category2","Two-Year")</f>
        <v>0</v>
      </c>
      <c r="AC98" s="115">
        <f>+GETPIVOTDATA(" Tot # Single Rnk New",'Counts Pivot Table'!$A$3,"State","SC","Category",8,"Category2","Two-Year")</f>
        <v>0</v>
      </c>
      <c r="AD98" s="115">
        <f>+GETPIVOTDATA(" Tot # Single Rnk New",'Counts Pivot Table'!$A$3,"State","SC","Category",9,"Category2","Two-Year")</f>
        <v>0</v>
      </c>
      <c r="AE98" s="115">
        <f>+GETPIVOTDATA(" Tot # Single Rnk New",'Counts Pivot Table'!$A$3,"State","SC","Category",10,"Category2","Two-Year")</f>
        <v>0</v>
      </c>
      <c r="AF98" s="116">
        <f>+GETPIVOTDATA(" Tot # Single Rnk New",'Counts Pivot Table'!$A$3,"State","SC","Category",11,"Category2","Two-Year")</f>
        <v>0</v>
      </c>
      <c r="AG98" s="116">
        <f>+GETPIVOTDATA(" Tot # Single Rnk New",'Counts Pivot Table'!$A$3,"State","SC","Category2","Two-Year")</f>
        <v>0</v>
      </c>
      <c r="AH98" s="114">
        <f>+GETPIVOTDATA(" Tot # Single Rnk New",'Counts Pivot Table'!$A$3,"State","SC","Category",12,"Category2","Technical Institutes")</f>
        <v>0</v>
      </c>
      <c r="AI98" s="115">
        <f>+GETPIVOTDATA(" Tot # Single Rnk New",'Counts Pivot Table'!$A$3,"State","SC","Category",13,"Category2","Technical Institutes")</f>
        <v>0</v>
      </c>
      <c r="AJ98" s="116">
        <f>+GETPIVOTDATA(" Tot # Single Rnk New",'Counts Pivot Table'!$A$3,"State","SC","Category",14,"Category2","Technical Institutes")</f>
        <v>0</v>
      </c>
      <c r="AK98" s="114">
        <f>+GETPIVOTDATA(" Tot # Single Rnk New",'Counts Pivot Table'!$A$3,"State","SC","Category2","Technical Institutes")</f>
        <v>0</v>
      </c>
    </row>
    <row r="99" spans="1:39" s="54" customFormat="1">
      <c r="A99" s="207"/>
      <c r="B99" s="208" t="s">
        <v>415</v>
      </c>
      <c r="C99" s="33">
        <f t="shared" si="24"/>
        <v>1</v>
      </c>
      <c r="D99" s="31">
        <f t="shared" si="24"/>
        <v>0</v>
      </c>
      <c r="E99" s="31">
        <f t="shared" si="24"/>
        <v>1</v>
      </c>
      <c r="F99" s="31">
        <f t="shared" si="24"/>
        <v>1</v>
      </c>
      <c r="G99" s="31">
        <f t="shared" si="24"/>
        <v>1</v>
      </c>
      <c r="H99" s="69">
        <f t="shared" si="24"/>
        <v>1</v>
      </c>
      <c r="I99" s="33">
        <f t="shared" si="24"/>
        <v>1</v>
      </c>
      <c r="J99" s="33">
        <f t="shared" si="24"/>
        <v>1</v>
      </c>
      <c r="K99" s="31">
        <f t="shared" si="24"/>
        <v>1</v>
      </c>
      <c r="L99" s="31">
        <f t="shared" si="24"/>
        <v>1</v>
      </c>
      <c r="M99" s="31">
        <f t="shared" si="25"/>
        <v>1</v>
      </c>
      <c r="N99" s="69">
        <f t="shared" si="25"/>
        <v>0</v>
      </c>
      <c r="O99" s="33">
        <f t="shared" si="25"/>
        <v>1</v>
      </c>
      <c r="P99" s="33">
        <f t="shared" si="25"/>
        <v>0</v>
      </c>
      <c r="Q99" s="31">
        <f t="shared" si="25"/>
        <v>0</v>
      </c>
      <c r="R99" s="69">
        <f t="shared" si="25"/>
        <v>0</v>
      </c>
      <c r="S99" s="33">
        <f t="shared" si="25"/>
        <v>0</v>
      </c>
      <c r="T99" s="93"/>
      <c r="U99" s="118">
        <f>+GETPIVOTDATA(" All Ranks # New",'Counts Pivot Table'!$A$3,"State","SC","Category",1,"Category2","Four-Year")</f>
        <v>2295</v>
      </c>
      <c r="V99" s="119">
        <f>+GETPIVOTDATA(" All Ranks # New",'Counts Pivot Table'!$A$3,"State","SC","Category",2,"Category2","Four-Year")</f>
        <v>0</v>
      </c>
      <c r="W99" s="119">
        <f>+GETPIVOTDATA(" All Ranks # New",'Counts Pivot Table'!$A$3,"State","SC","Category",3,"Category2","Four-Year")</f>
        <v>799</v>
      </c>
      <c r="X99" s="119">
        <f>+GETPIVOTDATA(" All Ranks # New",'Counts Pivot Table'!$A$3,"State","SC","Category",4,"Category2","Four-Year")</f>
        <v>173</v>
      </c>
      <c r="Y99" s="119">
        <f>+GETPIVOTDATA(" All Ranks # New",'Counts Pivot Table'!$A$3,"State","SC","Category",5,"Category2","Four-Year")</f>
        <v>856</v>
      </c>
      <c r="Z99" s="119">
        <f>+GETPIVOTDATA(" All Ranks # New",'Counts Pivot Table'!$A$3,"State","SC","Category",6,"Category2","Four-Year")</f>
        <v>365</v>
      </c>
      <c r="AA99" s="121">
        <f>+GETPIVOTDATA(" All Ranks # New",'Counts Pivot Table'!$A$3,"State","SC","Category2","Four-Year")</f>
        <v>4488</v>
      </c>
      <c r="AB99" s="118">
        <f>+GETPIVOTDATA(" All Ranks # New",'Counts Pivot Table'!$A$3,"State","SC","Category",7,"Category2","Two-Year")</f>
        <v>53</v>
      </c>
      <c r="AC99" s="119">
        <f>+GETPIVOTDATA(" All Ranks # New",'Counts Pivot Table'!$A$3,"State","SC","Category",8,"Category2","Two-Year")</f>
        <v>851</v>
      </c>
      <c r="AD99" s="119">
        <f>+GETPIVOTDATA(" All Ranks # New",'Counts Pivot Table'!$A$3,"State","SC","Category",9,"Category2","Two-Year")</f>
        <v>931</v>
      </c>
      <c r="AE99" s="119">
        <f>+GETPIVOTDATA(" All Ranks # New",'Counts Pivot Table'!$A$3,"State","SC","Category",10,"Category2","Two-Year")</f>
        <v>263</v>
      </c>
      <c r="AF99" s="120">
        <f>+GETPIVOTDATA(" All Ranks # New",'Counts Pivot Table'!$A$3,"State","SC","Category",11,"Category2","Two-Year")</f>
        <v>0</v>
      </c>
      <c r="AG99" s="120">
        <f>+GETPIVOTDATA(" All Ranks # New",'Counts Pivot Table'!$A$3,"State","SC","Category2","Two-Year")</f>
        <v>2098</v>
      </c>
      <c r="AH99" s="118">
        <f>+GETPIVOTDATA(" All Ranks # New",'Counts Pivot Table'!$A$3,"State","SC","Category",12,"Category2","Technical Institutes")</f>
        <v>0</v>
      </c>
      <c r="AI99" s="119">
        <f>+GETPIVOTDATA(" All Ranks # New",'Counts Pivot Table'!$A$3,"State","SC","Category",13,"Category2","Technical Institutes")</f>
        <v>0</v>
      </c>
      <c r="AJ99" s="120">
        <f>+GETPIVOTDATA(" All Ranks # New",'Counts Pivot Table'!$A$3,"State","SC","Category",14,"Category2","Technical Institutes")</f>
        <v>0</v>
      </c>
      <c r="AK99" s="118">
        <f>+GETPIVOTDATA(" All Ranks # New",'Counts Pivot Table'!$A$3,"State","SC","Category2","Technical Institutes")</f>
        <v>0</v>
      </c>
      <c r="AL99" s="122"/>
      <c r="AM99" s="122"/>
    </row>
    <row r="100" spans="1:39">
      <c r="A100" s="38" t="s">
        <v>409</v>
      </c>
      <c r="B100" s="35" t="s">
        <v>435</v>
      </c>
      <c r="C100" s="36">
        <f t="shared" ref="C100:L106" si="26">IF(U$106&gt;0,(U100/U$106),0)</f>
        <v>0.33481012658227849</v>
      </c>
      <c r="D100" s="37">
        <f t="shared" si="26"/>
        <v>0.29237770193401591</v>
      </c>
      <c r="E100" s="37">
        <f t="shared" si="26"/>
        <v>0.30357142857142855</v>
      </c>
      <c r="F100" s="37">
        <f t="shared" si="26"/>
        <v>0.37014925373134328</v>
      </c>
      <c r="G100" s="37">
        <f t="shared" si="26"/>
        <v>0.27611940298507465</v>
      </c>
      <c r="H100" s="67">
        <f t="shared" si="26"/>
        <v>0</v>
      </c>
      <c r="I100" s="36">
        <f t="shared" si="26"/>
        <v>0.31732664397061461</v>
      </c>
      <c r="J100" s="36">
        <f t="shared" si="26"/>
        <v>0</v>
      </c>
      <c r="K100" s="37">
        <f t="shared" si="26"/>
        <v>0.14174454828660435</v>
      </c>
      <c r="L100" s="37">
        <f t="shared" si="26"/>
        <v>0.10940499040307101</v>
      </c>
      <c r="M100" s="37">
        <f t="shared" ref="M100:S106" si="27">IF(AE$106&gt;0,(AE100/AE$106),0)</f>
        <v>0.19642857142857142</v>
      </c>
      <c r="N100" s="67">
        <f t="shared" si="27"/>
        <v>0</v>
      </c>
      <c r="O100" s="36">
        <f t="shared" si="27"/>
        <v>0.12413793103448276</v>
      </c>
      <c r="P100" s="164">
        <f t="shared" si="27"/>
        <v>0</v>
      </c>
      <c r="Q100" s="37">
        <f t="shared" si="27"/>
        <v>0</v>
      </c>
      <c r="R100" s="67">
        <f t="shared" si="27"/>
        <v>0</v>
      </c>
      <c r="S100" s="164">
        <f t="shared" si="27"/>
        <v>0</v>
      </c>
      <c r="T100" s="123"/>
      <c r="U100" s="110">
        <f>+GETPIVOTDATA(" Total # Prof New",'Counts Pivot Table'!$A$3,"State","TN","Category",1,"Category2","Four-Year")</f>
        <v>529</v>
      </c>
      <c r="V100" s="111">
        <f>+GETPIVOTDATA(" Total # Prof New",'Counts Pivot Table'!$A$3,"State","TN","Category",2,"Category2","Four-Year")</f>
        <v>257</v>
      </c>
      <c r="W100" s="111">
        <f>+GETPIVOTDATA(" Total # Prof New",'Counts Pivot Table'!$A$3,"State","TN","Category",3,"Category2","Four-Year")</f>
        <v>663</v>
      </c>
      <c r="X100" s="111">
        <f>+GETPIVOTDATA(" Total # Prof New",'Counts Pivot Table'!$A$3,"State","TN","Category",4,"Category2","Four-Year")</f>
        <v>248</v>
      </c>
      <c r="Y100" s="111">
        <f>+GETPIVOTDATA(" Total # Prof New",'Counts Pivot Table'!$A$3,"State","TN","Category",5,"Category2","Four-Year")</f>
        <v>74</v>
      </c>
      <c r="Z100" s="111">
        <f>+GETPIVOTDATA(" Total # Prof New",'Counts Pivot Table'!$A$3,"State","TN","Category",6,"Category2","Four-Year")</f>
        <v>0</v>
      </c>
      <c r="AA100" s="113">
        <f>+GETPIVOTDATA(" Total # Prof New",'Counts Pivot Table'!$A$3,"State","TN","Category2","Four-Year")</f>
        <v>1771</v>
      </c>
      <c r="AB100" s="110">
        <f>+GETPIVOTDATA(" Total # Prof New",'Counts Pivot Table'!$A$3,"State","TN","Category",7,"Category2","Two-Year")</f>
        <v>0</v>
      </c>
      <c r="AC100" s="111">
        <f>+GETPIVOTDATA(" Total # Prof New",'Counts Pivot Table'!$A$3,"State","TN","Category",8,"Category2","Two-Year")</f>
        <v>91</v>
      </c>
      <c r="AD100" s="111">
        <f>+GETPIVOTDATA(" Total # Prof New",'Counts Pivot Table'!$A$3,"State","TN","Category",9,"Category2","Two-Year")</f>
        <v>114</v>
      </c>
      <c r="AE100" s="111">
        <f>+GETPIVOTDATA(" Total # Prof New",'Counts Pivot Table'!$A$3,"State","TN","Category",10,"Category2","Two-Year")</f>
        <v>11</v>
      </c>
      <c r="AF100" s="112">
        <f>+GETPIVOTDATA(" Total # Prof New",'Counts Pivot Table'!$A$3,"State","TN","Category",11,"Category2","Two-Year")</f>
        <v>0</v>
      </c>
      <c r="AG100" s="112">
        <f>+GETPIVOTDATA(" Total # Prof New",'Counts Pivot Table'!$A$3,"State","TN","Category2","Two-Year")</f>
        <v>216</v>
      </c>
      <c r="AH100" s="110">
        <f>+GETPIVOTDATA(" Total # Prof New",'Counts Pivot Table'!$A$3,"State","TN","Category",12,"Category2","Technical Institutes")</f>
        <v>0</v>
      </c>
      <c r="AI100" s="111">
        <f>+GETPIVOTDATA(" Total # Prof New",'Counts Pivot Table'!$A$3,"State","TN","Category",13,"Category2","Technical Institutes")</f>
        <v>0</v>
      </c>
      <c r="AJ100" s="112">
        <f>+GETPIVOTDATA(" Total # Prof New",'Counts Pivot Table'!$A$3,"State","TN","Category",14,"Category2","Technical Institutes")</f>
        <v>0</v>
      </c>
      <c r="AK100" s="110">
        <f>+GETPIVOTDATA(" Total # Prof New",'Counts Pivot Table'!$A$3,"State","TN","Category2","Technical Institutes")</f>
        <v>0</v>
      </c>
    </row>
    <row r="101" spans="1:39">
      <c r="A101" s="30"/>
      <c r="B101" s="38" t="s">
        <v>436</v>
      </c>
      <c r="C101" s="32">
        <f t="shared" si="26"/>
        <v>0.2537974683544304</v>
      </c>
      <c r="D101" s="34">
        <f t="shared" si="26"/>
        <v>0.2844141069397042</v>
      </c>
      <c r="E101" s="34">
        <f t="shared" si="26"/>
        <v>0.26694139194139194</v>
      </c>
      <c r="F101" s="34">
        <f t="shared" si="26"/>
        <v>0.22686567164179106</v>
      </c>
      <c r="G101" s="34">
        <f t="shared" si="26"/>
        <v>0.1455223880597015</v>
      </c>
      <c r="H101" s="68">
        <f t="shared" si="26"/>
        <v>0</v>
      </c>
      <c r="I101" s="32">
        <f t="shared" si="26"/>
        <v>0.25533058591650243</v>
      </c>
      <c r="J101" s="32">
        <f t="shared" si="26"/>
        <v>0</v>
      </c>
      <c r="K101" s="34">
        <f t="shared" si="26"/>
        <v>0.50311526479750779</v>
      </c>
      <c r="L101" s="34">
        <f t="shared" si="26"/>
        <v>0.42322456813819576</v>
      </c>
      <c r="M101" s="34">
        <f t="shared" si="27"/>
        <v>0.42857142857142855</v>
      </c>
      <c r="N101" s="68">
        <f t="shared" si="27"/>
        <v>0</v>
      </c>
      <c r="O101" s="32">
        <f t="shared" si="27"/>
        <v>0.45287356321839078</v>
      </c>
      <c r="P101" s="32">
        <f t="shared" si="27"/>
        <v>0</v>
      </c>
      <c r="Q101" s="34">
        <f t="shared" si="27"/>
        <v>0</v>
      </c>
      <c r="R101" s="68">
        <f t="shared" si="27"/>
        <v>0</v>
      </c>
      <c r="S101" s="32">
        <f t="shared" si="27"/>
        <v>0</v>
      </c>
      <c r="T101" s="92"/>
      <c r="U101" s="114">
        <f>+GETPIVOTDATA(" Tot # Asc. Prof New",'Counts Pivot Table'!$A$3,"State","TN","Category",1,"Category2","Four-Year")</f>
        <v>401</v>
      </c>
      <c r="V101" s="115">
        <f>+GETPIVOTDATA(" Tot # Asc. Prof New",'Counts Pivot Table'!$A$3,"State","TN","Category",2,"Category2","Four-Year")</f>
        <v>250</v>
      </c>
      <c r="W101" s="115">
        <f>+GETPIVOTDATA(" Tot # Asc. Prof New",'Counts Pivot Table'!$A$3,"State","TN","Category",3,"Category2","Four-Year")</f>
        <v>583</v>
      </c>
      <c r="X101" s="115">
        <f>+GETPIVOTDATA(" Tot # Asc. Prof New",'Counts Pivot Table'!$A$3,"State","TN","Category",4,"Category2","Four-Year")</f>
        <v>152</v>
      </c>
      <c r="Y101" s="115">
        <f>+GETPIVOTDATA(" Tot # Asc. Prof New",'Counts Pivot Table'!$A$3,"State","TN","Category",5,"Category2","Four-Year")</f>
        <v>39</v>
      </c>
      <c r="Z101" s="115">
        <f>+GETPIVOTDATA(" Tot # Asc. Prof New",'Counts Pivot Table'!$A$3,"State","TN","Category",6,"Category2","Four-Year")</f>
        <v>0</v>
      </c>
      <c r="AA101" s="117">
        <f>+GETPIVOTDATA(" Tot # Asc. Prof New",'Counts Pivot Table'!$A$3,"State","TN","Category2","Four-Year")</f>
        <v>1425</v>
      </c>
      <c r="AB101" s="114">
        <f>+GETPIVOTDATA(" Tot # Asc. Prof New",'Counts Pivot Table'!$A$3,"State","TN","Category",7,"Category2","Two-Year")</f>
        <v>0</v>
      </c>
      <c r="AC101" s="115">
        <f>+GETPIVOTDATA(" Tot # Asc. Prof New",'Counts Pivot Table'!$A$3,"State","TN","Category",8,"Category2","Two-Year")</f>
        <v>323</v>
      </c>
      <c r="AD101" s="115">
        <f>+GETPIVOTDATA(" Tot # Asc. Prof New",'Counts Pivot Table'!$A$3,"State","TN","Category",9,"Category2","Two-Year")</f>
        <v>441</v>
      </c>
      <c r="AE101" s="115">
        <f>+GETPIVOTDATA(" Tot # Asc. Prof New",'Counts Pivot Table'!$A$3,"State","TN","Category",10,"Category2","Two-Year")</f>
        <v>24</v>
      </c>
      <c r="AF101" s="116">
        <f>+GETPIVOTDATA(" Tot # Asc. Prof New",'Counts Pivot Table'!$A$3,"State","TN","Category",11,"Category2","Two-Year")</f>
        <v>0</v>
      </c>
      <c r="AG101" s="116">
        <f>+GETPIVOTDATA(" Tot # Asc. Prof New",'Counts Pivot Table'!$A$3,"State","TN","Category2","Two-Year")</f>
        <v>788</v>
      </c>
      <c r="AH101" s="114">
        <f>+GETPIVOTDATA(" Tot # Asc. Prof New",'Counts Pivot Table'!$A$3,"State","TN","Category",12,"Category2","Technical Institutes")</f>
        <v>0</v>
      </c>
      <c r="AI101" s="115">
        <f>+GETPIVOTDATA(" Tot # Asc. Prof New",'Counts Pivot Table'!$A$3,"State","TN","Category",13,"Category2","Technical Institutes")</f>
        <v>0</v>
      </c>
      <c r="AJ101" s="116">
        <f>+GETPIVOTDATA(" Tot # Asc. Prof New",'Counts Pivot Table'!$A$3,"State","TN","Category",14,"Category2","Technical Institutes")</f>
        <v>0</v>
      </c>
      <c r="AK101" s="114">
        <f>+GETPIVOTDATA(" Tot # Asc. Prof New",'Counts Pivot Table'!$A$3,"State","TN","Category2","Technical Institutes")</f>
        <v>0</v>
      </c>
    </row>
    <row r="102" spans="1:39">
      <c r="A102" s="30"/>
      <c r="B102" s="38" t="s">
        <v>437</v>
      </c>
      <c r="C102" s="32">
        <f t="shared" si="26"/>
        <v>0.24620253164556963</v>
      </c>
      <c r="D102" s="34">
        <f t="shared" si="26"/>
        <v>0.27531285551763368</v>
      </c>
      <c r="E102" s="34">
        <f t="shared" si="26"/>
        <v>0.30586080586080588</v>
      </c>
      <c r="F102" s="34">
        <f t="shared" si="26"/>
        <v>0.29552238805970149</v>
      </c>
      <c r="G102" s="34">
        <f t="shared" si="26"/>
        <v>0.32462686567164178</v>
      </c>
      <c r="H102" s="68">
        <f t="shared" si="26"/>
        <v>0</v>
      </c>
      <c r="I102" s="32">
        <f t="shared" si="26"/>
        <v>0.28382010392402796</v>
      </c>
      <c r="J102" s="32">
        <f t="shared" si="26"/>
        <v>0</v>
      </c>
      <c r="K102" s="34">
        <f t="shared" si="26"/>
        <v>0.17445482866043613</v>
      </c>
      <c r="L102" s="34">
        <f t="shared" si="26"/>
        <v>0.23608445297504799</v>
      </c>
      <c r="M102" s="34">
        <f t="shared" si="27"/>
        <v>0.125</v>
      </c>
      <c r="N102" s="68">
        <f t="shared" si="27"/>
        <v>0</v>
      </c>
      <c r="O102" s="32">
        <f t="shared" si="27"/>
        <v>0.20977011494252873</v>
      </c>
      <c r="P102" s="32">
        <f t="shared" si="27"/>
        <v>0</v>
      </c>
      <c r="Q102" s="34">
        <f t="shared" si="27"/>
        <v>0</v>
      </c>
      <c r="R102" s="68">
        <f t="shared" si="27"/>
        <v>0</v>
      </c>
      <c r="S102" s="32">
        <f t="shared" si="27"/>
        <v>0</v>
      </c>
      <c r="T102" s="92"/>
      <c r="U102" s="114">
        <f>+GETPIVOTDATA(" Tot # Ast. Prof New",'Counts Pivot Table'!$A$3,"State","TN","Category",1,"Category2","Four-Year")</f>
        <v>389</v>
      </c>
      <c r="V102" s="115">
        <f>+GETPIVOTDATA(" Tot # Ast. Prof New",'Counts Pivot Table'!$A$3,"State","TN","Category",2,"Category2","Four-Year")</f>
        <v>242</v>
      </c>
      <c r="W102" s="115">
        <f>+GETPIVOTDATA(" Tot # Ast. Prof New",'Counts Pivot Table'!$A$3,"State","TN","Category",3,"Category2","Four-Year")</f>
        <v>668</v>
      </c>
      <c r="X102" s="115">
        <f>+GETPIVOTDATA(" Tot # Ast. Prof New",'Counts Pivot Table'!$A$3,"State","TN","Category",4,"Category2","Four-Year")</f>
        <v>198</v>
      </c>
      <c r="Y102" s="115">
        <f>+GETPIVOTDATA(" Tot # Ast. Prof New",'Counts Pivot Table'!$A$3,"State","TN","Category",5,"Category2","Four-Year")</f>
        <v>87</v>
      </c>
      <c r="Z102" s="115">
        <f>+GETPIVOTDATA(" Tot # Ast. Prof New",'Counts Pivot Table'!$A$3,"State","TN","Category",6,"Category2","Four-Year")</f>
        <v>0</v>
      </c>
      <c r="AA102" s="117">
        <f>+GETPIVOTDATA(" Tot # Ast. Prof New",'Counts Pivot Table'!$A$3,"State","TN","Category2","Four-Year")</f>
        <v>1584</v>
      </c>
      <c r="AB102" s="114">
        <f>+GETPIVOTDATA(" Tot # Ast. Prof New",'Counts Pivot Table'!$A$3,"State","TN","Category",7,"Category2","Two-Year")</f>
        <v>0</v>
      </c>
      <c r="AC102" s="115">
        <f>+GETPIVOTDATA(" Tot # Ast. Prof New",'Counts Pivot Table'!$A$3,"State","TN","Category",8,"Category2","Two-Year")</f>
        <v>112</v>
      </c>
      <c r="AD102" s="115">
        <f>+GETPIVOTDATA(" Tot # Ast. Prof New",'Counts Pivot Table'!$A$3,"State","TN","Category",9,"Category2","Two-Year")</f>
        <v>246</v>
      </c>
      <c r="AE102" s="115">
        <f>+GETPIVOTDATA(" Tot # Ast. Prof New",'Counts Pivot Table'!$A$3,"State","TN","Category",10,"Category2","Two-Year")</f>
        <v>7</v>
      </c>
      <c r="AF102" s="116">
        <f>+GETPIVOTDATA(" Tot # Ast. Prof New",'Counts Pivot Table'!$A$3,"State","TN","Category",11,"Category2","Two-Year")</f>
        <v>0</v>
      </c>
      <c r="AG102" s="116">
        <f>+GETPIVOTDATA(" Tot # Ast. Prof New",'Counts Pivot Table'!$A$3,"State","TN","Category2","Two-Year")</f>
        <v>365</v>
      </c>
      <c r="AH102" s="114">
        <f>+GETPIVOTDATA(" Tot # Ast. Prof New",'Counts Pivot Table'!$A$3,"State","TN","Category",12,"Category2","Technical Institutes")</f>
        <v>0</v>
      </c>
      <c r="AI102" s="115">
        <f>+GETPIVOTDATA(" Tot # Ast. Prof New",'Counts Pivot Table'!$A$3,"State","TN","Category",13,"Category2","Technical Institutes")</f>
        <v>0</v>
      </c>
      <c r="AJ102" s="116">
        <f>+GETPIVOTDATA(" Tot # Ast. Prof New",'Counts Pivot Table'!$A$3,"State","TN","Category",14,"Category2","Technical Institutes")</f>
        <v>0</v>
      </c>
      <c r="AK102" s="114">
        <f>+GETPIVOTDATA(" Tot # Ast. Prof New",'Counts Pivot Table'!$A$3,"State","TN","Category2","Technical Institutes")</f>
        <v>0</v>
      </c>
    </row>
    <row r="103" spans="1:39">
      <c r="A103" s="30"/>
      <c r="B103" s="38" t="s">
        <v>438</v>
      </c>
      <c r="C103" s="32">
        <f t="shared" si="26"/>
        <v>2.4050632911392405E-2</v>
      </c>
      <c r="D103" s="34">
        <f t="shared" si="26"/>
        <v>0.11604095563139932</v>
      </c>
      <c r="E103" s="34">
        <f t="shared" si="26"/>
        <v>7.4175824175824176E-2</v>
      </c>
      <c r="F103" s="34">
        <f t="shared" si="26"/>
        <v>0.1</v>
      </c>
      <c r="G103" s="34">
        <f t="shared" si="26"/>
        <v>8.9552238805970144E-2</v>
      </c>
      <c r="H103" s="68">
        <f t="shared" si="26"/>
        <v>0</v>
      </c>
      <c r="I103" s="32">
        <f t="shared" si="26"/>
        <v>7.0417487905393303E-2</v>
      </c>
      <c r="J103" s="32">
        <f t="shared" si="26"/>
        <v>0</v>
      </c>
      <c r="K103" s="34">
        <f t="shared" si="26"/>
        <v>0.17912772585669781</v>
      </c>
      <c r="L103" s="34">
        <f t="shared" si="26"/>
        <v>0.23128598848368523</v>
      </c>
      <c r="M103" s="34">
        <f t="shared" si="27"/>
        <v>0.25</v>
      </c>
      <c r="N103" s="68">
        <f t="shared" si="27"/>
        <v>0</v>
      </c>
      <c r="O103" s="32">
        <f t="shared" si="27"/>
        <v>0.21264367816091953</v>
      </c>
      <c r="P103" s="32">
        <f t="shared" si="27"/>
        <v>0</v>
      </c>
      <c r="Q103" s="34">
        <f t="shared" si="27"/>
        <v>0</v>
      </c>
      <c r="R103" s="68">
        <f t="shared" si="27"/>
        <v>0</v>
      </c>
      <c r="S103" s="32">
        <f t="shared" si="27"/>
        <v>0</v>
      </c>
      <c r="T103" s="92"/>
      <c r="U103" s="114">
        <f>+GETPIVOTDATA(" Tot # Instr. New",'Counts Pivot Table'!$A$3,"State","TN","Category",1,"Category2","Four-Year")</f>
        <v>38</v>
      </c>
      <c r="V103" s="115">
        <f>+GETPIVOTDATA(" Tot # Instr. New",'Counts Pivot Table'!$A$3,"State","TN","Category",2,"Category2","Four-Year")</f>
        <v>102</v>
      </c>
      <c r="W103" s="115">
        <f>+GETPIVOTDATA(" Tot # Instr. New",'Counts Pivot Table'!$A$3,"State","TN","Category",3,"Category2","Four-Year")</f>
        <v>162</v>
      </c>
      <c r="X103" s="115">
        <f>+GETPIVOTDATA(" Tot # Instr. New",'Counts Pivot Table'!$A$3,"State","TN","Category",4,"Category2","Four-Year")</f>
        <v>67</v>
      </c>
      <c r="Y103" s="115">
        <f>+GETPIVOTDATA(" Tot # Instr. New",'Counts Pivot Table'!$A$3,"State","TN","Category",5,"Category2","Four-Year")</f>
        <v>24</v>
      </c>
      <c r="Z103" s="115">
        <f>+GETPIVOTDATA(" Tot # Instr. New",'Counts Pivot Table'!$A$3,"State","TN","Category",6,"Category2","Four-Year")</f>
        <v>0</v>
      </c>
      <c r="AA103" s="117">
        <f>+GETPIVOTDATA(" Tot # Instr. New",'Counts Pivot Table'!$A$3,"State","TN","Category2","Four-Year")</f>
        <v>393</v>
      </c>
      <c r="AB103" s="114">
        <f>+GETPIVOTDATA(" Tot # Instr. New",'Counts Pivot Table'!$A$3,"State","TN","Category",7,"Category2","Two-Year")</f>
        <v>0</v>
      </c>
      <c r="AC103" s="115">
        <f>+GETPIVOTDATA(" Tot # Instr. New",'Counts Pivot Table'!$A$3,"State","TN","Category",8,"Category2","Two-Year")</f>
        <v>115</v>
      </c>
      <c r="AD103" s="115">
        <f>+GETPIVOTDATA(" Tot # Instr. New",'Counts Pivot Table'!$A$3,"State","TN","Category",9,"Category2","Two-Year")</f>
        <v>241</v>
      </c>
      <c r="AE103" s="115">
        <f>+GETPIVOTDATA(" Tot # Instr. New",'Counts Pivot Table'!$A$3,"State","TN","Category",10,"Category2","Two-Year")</f>
        <v>14</v>
      </c>
      <c r="AF103" s="116">
        <f>+GETPIVOTDATA(" Tot # Instr. New",'Counts Pivot Table'!$A$3,"State","TN","Category",11,"Category2","Two-Year")</f>
        <v>0</v>
      </c>
      <c r="AG103" s="116">
        <f>+GETPIVOTDATA(" Tot # Instr. New",'Counts Pivot Table'!$A$3,"State","TN","Category2","Two-Year")</f>
        <v>370</v>
      </c>
      <c r="AH103" s="114">
        <f>+GETPIVOTDATA(" Tot # Instr. New",'Counts Pivot Table'!$A$3,"State","TN","Category",12,"Category2","Technical Institutes")</f>
        <v>0</v>
      </c>
      <c r="AI103" s="115">
        <f>+GETPIVOTDATA(" Tot # Instr. New",'Counts Pivot Table'!$A$3,"State","TN","Category",13,"Category2","Technical Institutes")</f>
        <v>0</v>
      </c>
      <c r="AJ103" s="116">
        <f>+GETPIVOTDATA(" Tot # Instr. New",'Counts Pivot Table'!$A$3,"State","TN","Category",14,"Category2","Technical Institutes")</f>
        <v>0</v>
      </c>
      <c r="AK103" s="114">
        <f>+GETPIVOTDATA(" Tot # Instr. New",'Counts Pivot Table'!$A$3,"State","TN","Category2","Technical Institutes")</f>
        <v>0</v>
      </c>
    </row>
    <row r="104" spans="1:39">
      <c r="A104" s="30"/>
      <c r="B104" s="38" t="s">
        <v>414</v>
      </c>
      <c r="C104" s="32">
        <f t="shared" si="26"/>
        <v>0.14113924050632912</v>
      </c>
      <c r="D104" s="34">
        <f t="shared" si="26"/>
        <v>3.1854379977246869E-2</v>
      </c>
      <c r="E104" s="34">
        <f t="shared" si="26"/>
        <v>4.9450549450549448E-2</v>
      </c>
      <c r="F104" s="34">
        <f t="shared" si="26"/>
        <v>7.462686567164179E-3</v>
      </c>
      <c r="G104" s="34">
        <f t="shared" si="26"/>
        <v>0.16417910447761194</v>
      </c>
      <c r="H104" s="68">
        <f t="shared" si="26"/>
        <v>0</v>
      </c>
      <c r="I104" s="32">
        <f t="shared" si="26"/>
        <v>7.3105178283461747E-2</v>
      </c>
      <c r="J104" s="32">
        <f t="shared" si="26"/>
        <v>0</v>
      </c>
      <c r="K104" s="264">
        <f t="shared" si="26"/>
        <v>1.557632398753894E-3</v>
      </c>
      <c r="L104" s="34">
        <f t="shared" si="26"/>
        <v>0</v>
      </c>
      <c r="M104" s="34">
        <f t="shared" si="27"/>
        <v>0</v>
      </c>
      <c r="N104" s="124">
        <f t="shared" si="27"/>
        <v>0</v>
      </c>
      <c r="O104" s="265">
        <f t="shared" si="27"/>
        <v>5.7471264367816091E-4</v>
      </c>
      <c r="P104" s="32">
        <f t="shared" si="27"/>
        <v>0</v>
      </c>
      <c r="Q104" s="34">
        <f t="shared" si="27"/>
        <v>0</v>
      </c>
      <c r="R104" s="68">
        <f t="shared" si="27"/>
        <v>0</v>
      </c>
      <c r="S104" s="32">
        <f t="shared" si="27"/>
        <v>0</v>
      </c>
      <c r="T104" s="92"/>
      <c r="U104" s="114">
        <f>++GETPIVOTDATA(" Tot # Undes. New",'Counts Pivot Table'!$A$3,"State","TN","Category",1,"Category2","Four-Year")</f>
        <v>223</v>
      </c>
      <c r="V104" s="115">
        <f>+GETPIVOTDATA(" Tot # Undes. New",'Counts Pivot Table'!$A$3,"State","TN","Category",2,"Category2","Four-Year")</f>
        <v>28</v>
      </c>
      <c r="W104" s="115">
        <f>+GETPIVOTDATA(" Tot # Undes. New",'Counts Pivot Table'!$A$3,"State","TN","Category",3,"Category2","Four-Year")</f>
        <v>108</v>
      </c>
      <c r="X104" s="115">
        <f>+GETPIVOTDATA(" Tot # Undes. New",'Counts Pivot Table'!$A$3,"State","TN","Category",4,"Category2","Four-Year")</f>
        <v>5</v>
      </c>
      <c r="Y104" s="115">
        <f>+GETPIVOTDATA(" Tot # Undes. New",'Counts Pivot Table'!$A$3,"State","TN","Category",5,"Category2","Four-Year")</f>
        <v>44</v>
      </c>
      <c r="Z104" s="115">
        <f>+GETPIVOTDATA(" Tot # Undes. New",'Counts Pivot Table'!$A$3,"State","TN","Category",6,"Category2","Four-Year")</f>
        <v>0</v>
      </c>
      <c r="AA104" s="117">
        <f>+GETPIVOTDATA(" Tot # Undes. New",'Counts Pivot Table'!$A$3,"State","TN","Category2","Four-Year")</f>
        <v>408</v>
      </c>
      <c r="AB104" s="114">
        <f>+GETPIVOTDATA(" Tot # Undes. New",'Counts Pivot Table'!$A$3,"State","TN","Category",7,"Category2","Two-Year")</f>
        <v>0</v>
      </c>
      <c r="AC104" s="115">
        <f>+GETPIVOTDATA(" Tot # Undes. New",'Counts Pivot Table'!$A$3,"State","TN","Category",8,"Category2","Two-Year")</f>
        <v>1</v>
      </c>
      <c r="AD104" s="115">
        <f>+GETPIVOTDATA(" Tot # Undes. New",'Counts Pivot Table'!$A$3,"State","TN","Category",9,"Category2","Two-Year")</f>
        <v>0</v>
      </c>
      <c r="AE104" s="115">
        <f>+GETPIVOTDATA(" Tot # Undes. New",'Counts Pivot Table'!$A$3,"State","TN","Category",10,"Category2","Two-Year")</f>
        <v>0</v>
      </c>
      <c r="AF104" s="116">
        <f>+GETPIVOTDATA(" Tot # Undes. New",'Counts Pivot Table'!$A$3,"State","TN","Category",11,"Category2","Two-Year")</f>
        <v>0</v>
      </c>
      <c r="AG104" s="116">
        <f>+GETPIVOTDATA(" Tot # Undes. New",'Counts Pivot Table'!$A$3,"State","TN","Category2","Two-Year")</f>
        <v>1</v>
      </c>
      <c r="AH104" s="114">
        <f>+GETPIVOTDATA(" Tot # Undes. New",'Counts Pivot Table'!$A$3,"State","TN","Category",12,"Category2","Technical Institutes")</f>
        <v>0</v>
      </c>
      <c r="AI104" s="115">
        <f>+GETPIVOTDATA(" Tot # Undes. New",'Counts Pivot Table'!$A$3,"State","TN","Category",13,"Category2","Technical Institutes")</f>
        <v>0</v>
      </c>
      <c r="AJ104" s="116">
        <f>+GETPIVOTDATA(" Tot # Undes. New",'Counts Pivot Table'!$A$3,"State","TN","Category",14,"Category2","Technical Institutes")</f>
        <v>0</v>
      </c>
      <c r="AK104" s="114">
        <f>+GETPIVOTDATA(" Tot # Undes. New",'Counts Pivot Table'!$A$3,"State","TN","Category2","Technical Institutes")</f>
        <v>0</v>
      </c>
    </row>
    <row r="105" spans="1:39">
      <c r="A105" s="30"/>
      <c r="B105" s="38" t="s">
        <v>413</v>
      </c>
      <c r="C105" s="32">
        <f t="shared" si="26"/>
        <v>0</v>
      </c>
      <c r="D105" s="34">
        <f t="shared" si="26"/>
        <v>0</v>
      </c>
      <c r="E105" s="199">
        <f t="shared" si="26"/>
        <v>0</v>
      </c>
      <c r="F105" s="34">
        <f t="shared" si="26"/>
        <v>0</v>
      </c>
      <c r="G105" s="199">
        <f t="shared" si="26"/>
        <v>0</v>
      </c>
      <c r="H105" s="68">
        <f t="shared" si="26"/>
        <v>0</v>
      </c>
      <c r="I105" s="198">
        <f t="shared" si="26"/>
        <v>0</v>
      </c>
      <c r="J105" s="32">
        <f t="shared" si="26"/>
        <v>0</v>
      </c>
      <c r="K105" s="34">
        <f t="shared" si="26"/>
        <v>0</v>
      </c>
      <c r="L105" s="34">
        <f t="shared" si="26"/>
        <v>0</v>
      </c>
      <c r="M105" s="34">
        <f t="shared" si="27"/>
        <v>0</v>
      </c>
      <c r="N105" s="68">
        <f t="shared" si="27"/>
        <v>0</v>
      </c>
      <c r="O105" s="32">
        <f t="shared" si="27"/>
        <v>0</v>
      </c>
      <c r="P105" s="32">
        <f t="shared" si="27"/>
        <v>0</v>
      </c>
      <c r="Q105" s="34">
        <f t="shared" si="27"/>
        <v>1</v>
      </c>
      <c r="R105" s="68">
        <f t="shared" si="27"/>
        <v>0</v>
      </c>
      <c r="S105" s="32">
        <f t="shared" si="27"/>
        <v>1</v>
      </c>
      <c r="T105" s="92"/>
      <c r="U105" s="114">
        <f>+GETPIVOTDATA(" Tot # Single Rnk New",'Counts Pivot Table'!$A$3,"State","TN","Category",1,"Category2","Four-Year")</f>
        <v>0</v>
      </c>
      <c r="V105" s="115">
        <f>+GETPIVOTDATA(" Tot # Single Rnk New",'Counts Pivot Table'!$A$3,"State","TN","Category",2,"Category2","Four-Year")</f>
        <v>0</v>
      </c>
      <c r="W105" s="115">
        <f>+GETPIVOTDATA(" Tot # Single Rnk New",'Counts Pivot Table'!$A$3,"State","TN","Category",3,"Category2","Four-Year")</f>
        <v>0</v>
      </c>
      <c r="X105" s="115">
        <f>+GETPIVOTDATA(" Tot # Single Rnk New",'Counts Pivot Table'!$A$3,"State","TN","Category",4,"Category2","Four-Year")</f>
        <v>0</v>
      </c>
      <c r="Y105" s="115">
        <f>+GETPIVOTDATA(" Tot # Single Rnk New",'Counts Pivot Table'!$A$3,"State","TN","Category",5,"Category2","Four-Year")</f>
        <v>0</v>
      </c>
      <c r="Z105" s="115">
        <f>+GETPIVOTDATA(" Tot # Single Rnk New",'Counts Pivot Table'!$A$3,"State","TN","Category",6,"Category2","Four-Year")</f>
        <v>0</v>
      </c>
      <c r="AA105" s="117">
        <f>+GETPIVOTDATA(" Tot # Single Rnk New",'Counts Pivot Table'!$A$3,"State","TN","Category2","Four-Year")</f>
        <v>0</v>
      </c>
      <c r="AB105" s="114">
        <f>+GETPIVOTDATA(" Tot # Single Rnk New",'Counts Pivot Table'!$A$3,"State","TN","Category",7,"Category2","Two-Year")</f>
        <v>0</v>
      </c>
      <c r="AC105" s="115">
        <f>+GETPIVOTDATA(" Tot # Single Rnk New",'Counts Pivot Table'!$A$3,"State","TN","Category",8,"Category2","Two-Year")</f>
        <v>0</v>
      </c>
      <c r="AD105" s="115">
        <f>+GETPIVOTDATA(" Tot # Single Rnk New",'Counts Pivot Table'!$A$3,"State","TN","Category",9,"Category2","Two-Year")</f>
        <v>0</v>
      </c>
      <c r="AE105" s="115">
        <f>+GETPIVOTDATA(" Tot # Single Rnk New",'Counts Pivot Table'!$A$3,"State","TN","Category",10,"Category2","Two-Year")</f>
        <v>0</v>
      </c>
      <c r="AF105" s="116">
        <f>+GETPIVOTDATA(" Tot # Single Rnk New",'Counts Pivot Table'!$A$3,"State","TN","Category",11,"Category2","Two-Year")</f>
        <v>0</v>
      </c>
      <c r="AG105" s="116">
        <f>+GETPIVOTDATA(" Tot # Single Rnk New",'Counts Pivot Table'!$A$3,"State","TN","Category2","Two-Year")</f>
        <v>0</v>
      </c>
      <c r="AH105" s="114">
        <f>+GETPIVOTDATA(" Tot # Single Rnk New",'Counts Pivot Table'!$A$3,"State","TN","Category",12,"Category2","Technical Institutes")</f>
        <v>0</v>
      </c>
      <c r="AI105" s="115">
        <f>+GETPIVOTDATA(" Tot # Single Rnk New",'Counts Pivot Table'!$A$3,"State","TN","Category",13,"Category2","Technical Institutes")</f>
        <v>433</v>
      </c>
      <c r="AJ105" s="116">
        <f>+GETPIVOTDATA(" Tot # Single Rnk New",'Counts Pivot Table'!$A$3,"State","TN","Category",14,"Category2","Technical Institutes")</f>
        <v>0</v>
      </c>
      <c r="AK105" s="114">
        <f>+GETPIVOTDATA(" Tot # Single Rnk New",'Counts Pivot Table'!$A$3,"State","TN","Category2","Technical Institutes")</f>
        <v>433</v>
      </c>
    </row>
    <row r="106" spans="1:39" s="54" customFormat="1">
      <c r="A106" s="207"/>
      <c r="B106" s="208" t="s">
        <v>415</v>
      </c>
      <c r="C106" s="33">
        <f t="shared" si="26"/>
        <v>1</v>
      </c>
      <c r="D106" s="31">
        <f t="shared" si="26"/>
        <v>1</v>
      </c>
      <c r="E106" s="31">
        <f t="shared" si="26"/>
        <v>1</v>
      </c>
      <c r="F106" s="31">
        <f t="shared" si="26"/>
        <v>1</v>
      </c>
      <c r="G106" s="31">
        <f t="shared" si="26"/>
        <v>1</v>
      </c>
      <c r="H106" s="69">
        <f t="shared" si="26"/>
        <v>0</v>
      </c>
      <c r="I106" s="33">
        <f t="shared" si="26"/>
        <v>1</v>
      </c>
      <c r="J106" s="33">
        <f t="shared" si="26"/>
        <v>0</v>
      </c>
      <c r="K106" s="31">
        <f t="shared" si="26"/>
        <v>1</v>
      </c>
      <c r="L106" s="31">
        <f t="shared" si="26"/>
        <v>1</v>
      </c>
      <c r="M106" s="31">
        <f t="shared" si="27"/>
        <v>1</v>
      </c>
      <c r="N106" s="69">
        <f t="shared" si="27"/>
        <v>0</v>
      </c>
      <c r="O106" s="33">
        <f t="shared" si="27"/>
        <v>1</v>
      </c>
      <c r="P106" s="33">
        <f t="shared" si="27"/>
        <v>0</v>
      </c>
      <c r="Q106" s="31">
        <f t="shared" si="27"/>
        <v>1</v>
      </c>
      <c r="R106" s="69">
        <f t="shared" si="27"/>
        <v>0</v>
      </c>
      <c r="S106" s="33">
        <f t="shared" si="27"/>
        <v>1</v>
      </c>
      <c r="T106" s="93"/>
      <c r="U106" s="118">
        <f>+GETPIVOTDATA(" All Ranks # New",'Counts Pivot Table'!$A$3,"State","TN","Category",1,"Category2","Four-Year")</f>
        <v>1580</v>
      </c>
      <c r="V106" s="119">
        <f>+GETPIVOTDATA(" All Ranks # New",'Counts Pivot Table'!$A$3,"State","TN","Category",2,"Category2","Four-Year")</f>
        <v>879</v>
      </c>
      <c r="W106" s="119">
        <f>+GETPIVOTDATA(" All Ranks # New",'Counts Pivot Table'!$A$3,"State","TN","Category",3,"Category2","Four-Year")</f>
        <v>2184</v>
      </c>
      <c r="X106" s="119">
        <f>+GETPIVOTDATA(" All Ranks # New",'Counts Pivot Table'!$A$3,"State","TN","Category",4,"Category2","Four-Year")</f>
        <v>670</v>
      </c>
      <c r="Y106" s="119">
        <f>+GETPIVOTDATA(" All Ranks # New",'Counts Pivot Table'!$A$3,"State","TN","Category",5,"Category2","Four-Year")</f>
        <v>268</v>
      </c>
      <c r="Z106" s="119">
        <f>+GETPIVOTDATA(" All Ranks # New",'Counts Pivot Table'!$A$3,"State","TN","Category",6,"Category2","Four-Year")</f>
        <v>0</v>
      </c>
      <c r="AA106" s="121">
        <f>+GETPIVOTDATA(" All Ranks # New",'Counts Pivot Table'!$A$3,"State","TN","Category2","Four-Year")</f>
        <v>5581</v>
      </c>
      <c r="AB106" s="118">
        <f>+GETPIVOTDATA(" All Ranks # New",'Counts Pivot Table'!$A$3,"State","TN","Category",7,"Category2","Two-Year")</f>
        <v>0</v>
      </c>
      <c r="AC106" s="119">
        <f>+GETPIVOTDATA(" All Ranks # New",'Counts Pivot Table'!$A$3,"State","TN","Category",8,"Category2","Two-Year")</f>
        <v>642</v>
      </c>
      <c r="AD106" s="119">
        <f>+GETPIVOTDATA(" All Ranks # New",'Counts Pivot Table'!$A$3,"State","TN","Category",9,"Category2","Two-Year")</f>
        <v>1042</v>
      </c>
      <c r="AE106" s="119">
        <f>+GETPIVOTDATA(" All Ranks # New",'Counts Pivot Table'!$A$3,"State","TN","Category",10,"Category2","Two-Year")</f>
        <v>56</v>
      </c>
      <c r="AF106" s="120">
        <f>+GETPIVOTDATA(" All Ranks # New",'Counts Pivot Table'!$A$3,"State","TN","Category",11,"Category2","Two-Year")</f>
        <v>0</v>
      </c>
      <c r="AG106" s="120">
        <f>+GETPIVOTDATA(" All Ranks # New",'Counts Pivot Table'!$A$3,"State","TN","Category2","Two-Year")</f>
        <v>1740</v>
      </c>
      <c r="AH106" s="118">
        <f>+GETPIVOTDATA(" All Ranks # New",'Counts Pivot Table'!$A$3,"State","TN","Category",12,"Category2","Technical Institutes")</f>
        <v>0</v>
      </c>
      <c r="AI106" s="119">
        <f>+GETPIVOTDATA(" All Ranks # New",'Counts Pivot Table'!$A$3,"State","TN","Category",13,"Category2","Technical Institutes")</f>
        <v>433</v>
      </c>
      <c r="AJ106" s="120">
        <f>+GETPIVOTDATA(" All Ranks # New",'Counts Pivot Table'!$A$3,"State","TN","Category",14,"Category2","Technical Institutes")</f>
        <v>0</v>
      </c>
      <c r="AK106" s="118">
        <f>+GETPIVOTDATA(" All Ranks # New",'Counts Pivot Table'!$A$3,"State","TN","Category2","Technical Institutes")</f>
        <v>433</v>
      </c>
      <c r="AL106" s="122"/>
      <c r="AM106" s="122"/>
    </row>
    <row r="107" spans="1:39">
      <c r="A107" s="38" t="s">
        <v>408</v>
      </c>
      <c r="B107" s="35" t="s">
        <v>435</v>
      </c>
      <c r="C107" s="36">
        <f t="shared" ref="C107:L113" si="28">IF(U$113&gt;0,(U107/U$113),0)</f>
        <v>0.32738906954788627</v>
      </c>
      <c r="D107" s="37">
        <f t="shared" si="28"/>
        <v>0.1933395004625347</v>
      </c>
      <c r="E107" s="37">
        <f t="shared" si="28"/>
        <v>0.2204736211031175</v>
      </c>
      <c r="F107" s="37">
        <f t="shared" si="28"/>
        <v>0.14342629482071714</v>
      </c>
      <c r="G107" s="37">
        <f t="shared" si="28"/>
        <v>0.17344173441734417</v>
      </c>
      <c r="H107" s="67">
        <f t="shared" si="28"/>
        <v>0.24731182795698925</v>
      </c>
      <c r="I107" s="36">
        <f t="shared" si="28"/>
        <v>0.27003945732663098</v>
      </c>
      <c r="J107" s="36">
        <f t="shared" si="28"/>
        <v>0</v>
      </c>
      <c r="K107" s="37">
        <f t="shared" si="28"/>
        <v>0.20872842207634329</v>
      </c>
      <c r="L107" s="37">
        <f t="shared" si="28"/>
        <v>0.17846247712019525</v>
      </c>
      <c r="M107" s="37">
        <f t="shared" ref="M107:S113" si="29">IF(AE$113&gt;0,(AE107/AE$113),0)</f>
        <v>7.4866310160427801E-2</v>
      </c>
      <c r="N107" s="67">
        <f t="shared" si="29"/>
        <v>0</v>
      </c>
      <c r="O107" s="36">
        <f t="shared" si="29"/>
        <v>0.19428097803564029</v>
      </c>
      <c r="P107" s="164">
        <f t="shared" si="29"/>
        <v>0</v>
      </c>
      <c r="Q107" s="37">
        <f t="shared" si="29"/>
        <v>0</v>
      </c>
      <c r="R107" s="67">
        <f t="shared" si="29"/>
        <v>0</v>
      </c>
      <c r="S107" s="164">
        <f t="shared" si="29"/>
        <v>0</v>
      </c>
      <c r="T107" s="123"/>
      <c r="U107" s="110">
        <f>+GETPIVOTDATA(" Total # Prof New",'Counts Pivot Table'!$A$3,"State","TX","Category",1,"Category2","Four-Year")</f>
        <v>3121</v>
      </c>
      <c r="V107" s="111">
        <f>+GETPIVOTDATA(" Total # Prof New",'Counts Pivot Table'!$A$3,"State","TX","Category",2,"Category2","Four-Year")</f>
        <v>209</v>
      </c>
      <c r="W107" s="111">
        <f>+GETPIVOTDATA(" Total # Prof New",'Counts Pivot Table'!$A$3,"State","TX","Category",3,"Category2","Four-Year")</f>
        <v>1471</v>
      </c>
      <c r="X107" s="111">
        <f>+GETPIVOTDATA(" Total # Prof New",'Counts Pivot Table'!$A$3,"State","TX","Category",4,"Category2","Four-Year")</f>
        <v>108</v>
      </c>
      <c r="Y107" s="111">
        <f>+GETPIVOTDATA(" Total # Prof New",'Counts Pivot Table'!$A$3,"State","TX","Category",5,"Category2","Four-Year")</f>
        <v>64</v>
      </c>
      <c r="Z107" s="111">
        <f>+GETPIVOTDATA(" Total # Prof New",'Counts Pivot Table'!$A$3,"State","TX","Category",6,"Category2","Four-Year")</f>
        <v>23</v>
      </c>
      <c r="AA107" s="113">
        <f>+GETPIVOTDATA(" Total # Prof New",'Counts Pivot Table'!$A$3,"State","TX","Category2","Four-Year")</f>
        <v>4996</v>
      </c>
      <c r="AB107" s="110">
        <f>+GETPIVOTDATA(" Total # Prof New",'Counts Pivot Table'!$A$3,"State","TX","Category",7,"Category2","Two-Year")</f>
        <v>0</v>
      </c>
      <c r="AC107" s="111">
        <f>+GETPIVOTDATA(" Total # Prof New",'Counts Pivot Table'!$A$3,"State","TX","Category",8,"Category2","Two-Year")</f>
        <v>1717</v>
      </c>
      <c r="AD107" s="111">
        <f>+GETPIVOTDATA(" Total # Prof New",'Counts Pivot Table'!$A$3,"State","TX","Category",9,"Category2","Two-Year")</f>
        <v>585</v>
      </c>
      <c r="AE107" s="111">
        <f>+GETPIVOTDATA(" Total # Prof New",'Counts Pivot Table'!$A$3,"State","TX","Category",10,"Category2","Two-Year")</f>
        <v>42</v>
      </c>
      <c r="AF107" s="112">
        <f>+GETPIVOTDATA(" Total # Prof New",'Counts Pivot Table'!$A$3,"State","TX","Category",11,"Category2","Two-Year")</f>
        <v>0</v>
      </c>
      <c r="AG107" s="112">
        <f>+GETPIVOTDATA(" Total # Prof New",'Counts Pivot Table'!$A$3,"State","TX","Category2","Two-Year")</f>
        <v>2344</v>
      </c>
      <c r="AH107" s="110">
        <f>+GETPIVOTDATA(" Total # Prof New",'Counts Pivot Table'!$A$3,"State","TX","Category",12,"Category2","Technical Institutes")</f>
        <v>0</v>
      </c>
      <c r="AI107" s="111">
        <f>+GETPIVOTDATA(" Total # Prof New",'Counts Pivot Table'!$A$3,"State","TX","Category",13,"Category2","Technical Institutes")</f>
        <v>0</v>
      </c>
      <c r="AJ107" s="112">
        <f>+GETPIVOTDATA(" Total # Prof New",'Counts Pivot Table'!$A$3,"State","TX","Category",14,"Category2","Technical Institutes")</f>
        <v>0</v>
      </c>
      <c r="AK107" s="110">
        <f>+GETPIVOTDATA(" Total # Prof New",'Counts Pivot Table'!$A$3,"State","TX","Category2","Technical Institutes")</f>
        <v>0</v>
      </c>
    </row>
    <row r="108" spans="1:39">
      <c r="A108" s="30"/>
      <c r="B108" s="38" t="s">
        <v>436</v>
      </c>
      <c r="C108" s="32">
        <f t="shared" si="28"/>
        <v>0.23644183363054652</v>
      </c>
      <c r="D108" s="34">
        <f t="shared" si="28"/>
        <v>0.23496762257169287</v>
      </c>
      <c r="E108" s="34">
        <f t="shared" si="28"/>
        <v>0.23006594724220625</v>
      </c>
      <c r="F108" s="34">
        <f t="shared" si="28"/>
        <v>0.24966799468791501</v>
      </c>
      <c r="G108" s="34">
        <f t="shared" si="28"/>
        <v>0.31978319783197834</v>
      </c>
      <c r="H108" s="68">
        <f t="shared" si="28"/>
        <v>0.16129032258064516</v>
      </c>
      <c r="I108" s="32">
        <f t="shared" si="28"/>
        <v>0.23587914166801793</v>
      </c>
      <c r="J108" s="32">
        <f t="shared" si="28"/>
        <v>0</v>
      </c>
      <c r="K108" s="34">
        <f t="shared" si="28"/>
        <v>0.10296620471675176</v>
      </c>
      <c r="L108" s="34">
        <f t="shared" si="28"/>
        <v>5.4606467358145214E-2</v>
      </c>
      <c r="M108" s="34">
        <f t="shared" si="29"/>
        <v>9.6256684491978606E-2</v>
      </c>
      <c r="N108" s="68">
        <f t="shared" si="29"/>
        <v>0</v>
      </c>
      <c r="O108" s="32">
        <f t="shared" si="29"/>
        <v>8.9515126398673844E-2</v>
      </c>
      <c r="P108" s="32">
        <f t="shared" si="29"/>
        <v>0</v>
      </c>
      <c r="Q108" s="34">
        <f t="shared" si="29"/>
        <v>0</v>
      </c>
      <c r="R108" s="68">
        <f t="shared" si="29"/>
        <v>0</v>
      </c>
      <c r="S108" s="32">
        <f t="shared" si="29"/>
        <v>0</v>
      </c>
      <c r="T108" s="92"/>
      <c r="U108" s="114">
        <f>+GETPIVOTDATA(" Tot # Asc. Prof New",'Counts Pivot Table'!$A$3,"State","TX","Category",1,"Category2","Four-Year")</f>
        <v>2254</v>
      </c>
      <c r="V108" s="115">
        <f>+GETPIVOTDATA(" Tot # Asc. Prof New",'Counts Pivot Table'!$A$3,"State","TX","Category",2,"Category2","Four-Year")</f>
        <v>254</v>
      </c>
      <c r="W108" s="115">
        <f>+GETPIVOTDATA(" Tot # Asc. Prof New",'Counts Pivot Table'!$A$3,"State","TX","Category",3,"Category2","Four-Year")</f>
        <v>1535</v>
      </c>
      <c r="X108" s="115">
        <f>+GETPIVOTDATA(" Tot # Asc. Prof New",'Counts Pivot Table'!$A$3,"State","TX","Category",4,"Category2","Four-Year")</f>
        <v>188</v>
      </c>
      <c r="Y108" s="115">
        <f>+GETPIVOTDATA(" Tot # Asc. Prof New",'Counts Pivot Table'!$A$3,"State","TX","Category",5,"Category2","Four-Year")</f>
        <v>118</v>
      </c>
      <c r="Z108" s="115">
        <f>+GETPIVOTDATA(" Tot # Asc. Prof New",'Counts Pivot Table'!$A$3,"State","TX","Category",6,"Category2","Four-Year")</f>
        <v>15</v>
      </c>
      <c r="AA108" s="117">
        <f>+GETPIVOTDATA(" Tot # Asc. Prof New",'Counts Pivot Table'!$A$3,"State","TX","Category2","Four-Year")</f>
        <v>4364</v>
      </c>
      <c r="AB108" s="114">
        <f>+GETPIVOTDATA(" Tot # Asc. Prof New",'Counts Pivot Table'!$A$3,"State","TX","Category",7,"Category2","Two-Year")</f>
        <v>0</v>
      </c>
      <c r="AC108" s="115">
        <f>+GETPIVOTDATA(" Tot # Asc. Prof New",'Counts Pivot Table'!$A$3,"State","TX","Category",8,"Category2","Two-Year")</f>
        <v>847</v>
      </c>
      <c r="AD108" s="115">
        <f>+GETPIVOTDATA(" Tot # Asc. Prof New",'Counts Pivot Table'!$A$3,"State","TX","Category",9,"Category2","Two-Year")</f>
        <v>179</v>
      </c>
      <c r="AE108" s="115">
        <f>+GETPIVOTDATA(" Tot # Asc. Prof New",'Counts Pivot Table'!$A$3,"State","TX","Category",10,"Category2","Two-Year")</f>
        <v>54</v>
      </c>
      <c r="AF108" s="116">
        <f>+GETPIVOTDATA(" Tot # Asc. Prof New",'Counts Pivot Table'!$A$3,"State","TX","Category",11,"Category2","Two-Year")</f>
        <v>0</v>
      </c>
      <c r="AG108" s="116">
        <f>+GETPIVOTDATA(" Tot # Asc. Prof New",'Counts Pivot Table'!$A$3,"State","TX","Category2","Two-Year")</f>
        <v>1080</v>
      </c>
      <c r="AH108" s="114">
        <f>+GETPIVOTDATA(" Tot # Asc. Prof New",'Counts Pivot Table'!$A$3,"State","TX","Category",12,"Category2","Technical Institutes")</f>
        <v>0</v>
      </c>
      <c r="AI108" s="115">
        <f>+GETPIVOTDATA(" Tot # Asc. Prof New",'Counts Pivot Table'!$A$3,"State","TX","Category",13,"Category2","Technical Institutes")</f>
        <v>0</v>
      </c>
      <c r="AJ108" s="116">
        <f>+GETPIVOTDATA(" Tot # Asc. Prof New",'Counts Pivot Table'!$A$3,"State","TX","Category",14,"Category2","Technical Institutes")</f>
        <v>0</v>
      </c>
      <c r="AK108" s="114">
        <f>+GETPIVOTDATA(" Tot # Asc. Prof New",'Counts Pivot Table'!$A$3,"State","TX","Category2","Technical Institutes")</f>
        <v>0</v>
      </c>
    </row>
    <row r="109" spans="1:39">
      <c r="A109" s="30"/>
      <c r="B109" s="38" t="s">
        <v>437</v>
      </c>
      <c r="C109" s="32">
        <f t="shared" si="28"/>
        <v>0.22647645022553237</v>
      </c>
      <c r="D109" s="34">
        <f t="shared" si="28"/>
        <v>0.25161887141535616</v>
      </c>
      <c r="E109" s="34">
        <f t="shared" si="28"/>
        <v>0.29211630695443647</v>
      </c>
      <c r="F109" s="34">
        <f t="shared" si="28"/>
        <v>0.32005312084993359</v>
      </c>
      <c r="G109" s="34">
        <f t="shared" si="28"/>
        <v>0.33333333333333331</v>
      </c>
      <c r="H109" s="68">
        <f t="shared" si="28"/>
        <v>0.13978494623655913</v>
      </c>
      <c r="I109" s="32">
        <f t="shared" si="28"/>
        <v>0.25712123668990866</v>
      </c>
      <c r="J109" s="32">
        <f t="shared" si="28"/>
        <v>0</v>
      </c>
      <c r="K109" s="34">
        <f t="shared" si="28"/>
        <v>0.1038171650863117</v>
      </c>
      <c r="L109" s="34">
        <f t="shared" si="28"/>
        <v>5.643685173886516E-2</v>
      </c>
      <c r="M109" s="34">
        <f t="shared" si="29"/>
        <v>9.2691622103386814E-2</v>
      </c>
      <c r="N109" s="68">
        <f t="shared" si="29"/>
        <v>0</v>
      </c>
      <c r="O109" s="32">
        <f t="shared" si="29"/>
        <v>9.0426854537919599E-2</v>
      </c>
      <c r="P109" s="32">
        <f t="shared" si="29"/>
        <v>0</v>
      </c>
      <c r="Q109" s="34">
        <f t="shared" si="29"/>
        <v>0</v>
      </c>
      <c r="R109" s="68">
        <f t="shared" si="29"/>
        <v>0</v>
      </c>
      <c r="S109" s="32">
        <f t="shared" si="29"/>
        <v>0</v>
      </c>
      <c r="T109" s="92"/>
      <c r="U109" s="114">
        <f>+GETPIVOTDATA(" Tot # Ast. Prof New",'Counts Pivot Table'!$A$3,"State","TX","Category",1,"Category2","Four-Year")</f>
        <v>2159</v>
      </c>
      <c r="V109" s="115">
        <f>+GETPIVOTDATA(" Tot # Ast. Prof New",'Counts Pivot Table'!$A$3,"State","TX","Category",2,"Category2","Four-Year")</f>
        <v>272</v>
      </c>
      <c r="W109" s="115">
        <f>+GETPIVOTDATA(" Tot # Ast. Prof New",'Counts Pivot Table'!$A$3,"State","TX","Category",3,"Category2","Four-Year")</f>
        <v>1949</v>
      </c>
      <c r="X109" s="115">
        <f>+GETPIVOTDATA(" Tot # Ast. Prof New",'Counts Pivot Table'!$A$3,"State","TX","Category",4,"Category2","Four-Year")</f>
        <v>241</v>
      </c>
      <c r="Y109" s="115">
        <f>+GETPIVOTDATA(" Tot # Ast. Prof New",'Counts Pivot Table'!$A$3,"State","TX","Category",5,"Category2","Four-Year")</f>
        <v>123</v>
      </c>
      <c r="Z109" s="115">
        <f>+GETPIVOTDATA(" Tot # Ast. Prof New",'Counts Pivot Table'!$A$3,"State","TX","Category",6,"Category2","Four-Year")</f>
        <v>13</v>
      </c>
      <c r="AA109" s="117">
        <f>+GETPIVOTDATA(" Tot # Ast. Prof New",'Counts Pivot Table'!$A$3,"State","TX","Category2","Four-Year")</f>
        <v>4757</v>
      </c>
      <c r="AB109" s="114">
        <f>+GETPIVOTDATA(" Tot # Ast. Prof New",'Counts Pivot Table'!$A$3,"State","TX","Category",7,"Category2","Two-Year")</f>
        <v>0</v>
      </c>
      <c r="AC109" s="115">
        <f>+GETPIVOTDATA(" Tot # Ast. Prof New",'Counts Pivot Table'!$A$3,"State","TX","Category",8,"Category2","Two-Year")</f>
        <v>854</v>
      </c>
      <c r="AD109" s="115">
        <f>+GETPIVOTDATA(" Tot # Ast. Prof New",'Counts Pivot Table'!$A$3,"State","TX","Category",9,"Category2","Two-Year")</f>
        <v>185</v>
      </c>
      <c r="AE109" s="115">
        <f>+GETPIVOTDATA(" Tot # Ast. Prof New",'Counts Pivot Table'!$A$3,"State","TX","Category",10,"Category2","Two-Year")</f>
        <v>52</v>
      </c>
      <c r="AF109" s="116">
        <f>+GETPIVOTDATA(" Tot # Ast. Prof New",'Counts Pivot Table'!$A$3,"State","TX","Category",11,"Category2","Two-Year")</f>
        <v>0</v>
      </c>
      <c r="AG109" s="116">
        <f>+GETPIVOTDATA(" Tot # Ast. Prof New",'Counts Pivot Table'!$A$3,"State","TX","Category2","Two-Year")</f>
        <v>1091</v>
      </c>
      <c r="AH109" s="114">
        <f>+GETPIVOTDATA(" Tot # Ast. Prof New",'Counts Pivot Table'!$A$3,"State","TX","Category",12,"Category2","Technical Institutes")</f>
        <v>0</v>
      </c>
      <c r="AI109" s="115">
        <f>+GETPIVOTDATA(" Tot # Ast. Prof New",'Counts Pivot Table'!$A$3,"State","TX","Category",13,"Category2","Technical Institutes")</f>
        <v>0</v>
      </c>
      <c r="AJ109" s="116">
        <f>+GETPIVOTDATA(" Tot # Ast. Prof New",'Counts Pivot Table'!$A$3,"State","TX","Category",14,"Category2","Technical Institutes")</f>
        <v>0</v>
      </c>
      <c r="AK109" s="114">
        <f>+GETPIVOTDATA(" Tot # Ast. Prof New",'Counts Pivot Table'!$A$3,"State","TX","Category2","Technical Institutes")</f>
        <v>0</v>
      </c>
    </row>
    <row r="110" spans="1:39">
      <c r="A110" s="30"/>
      <c r="B110" s="38" t="s">
        <v>438</v>
      </c>
      <c r="C110" s="32">
        <f t="shared" si="28"/>
        <v>2.1294450854924998E-2</v>
      </c>
      <c r="D110" s="34">
        <f t="shared" si="28"/>
        <v>9.2506938020351526E-3</v>
      </c>
      <c r="E110" s="34">
        <f t="shared" si="28"/>
        <v>6.459832134292566E-2</v>
      </c>
      <c r="F110" s="34">
        <f t="shared" si="28"/>
        <v>0.14741035856573706</v>
      </c>
      <c r="G110" s="34">
        <f t="shared" si="28"/>
        <v>1.6260162601626018E-2</v>
      </c>
      <c r="H110" s="68">
        <f t="shared" si="28"/>
        <v>0</v>
      </c>
      <c r="I110" s="32">
        <f t="shared" si="28"/>
        <v>4.1132911734500836E-2</v>
      </c>
      <c r="J110" s="32">
        <f t="shared" si="28"/>
        <v>0</v>
      </c>
      <c r="K110" s="34">
        <f t="shared" si="28"/>
        <v>0.34220763433017265</v>
      </c>
      <c r="L110" s="34">
        <f t="shared" si="28"/>
        <v>0.39200732153752288</v>
      </c>
      <c r="M110" s="34">
        <f t="shared" si="29"/>
        <v>0.72370766488413552</v>
      </c>
      <c r="N110" s="68">
        <f t="shared" si="29"/>
        <v>0</v>
      </c>
      <c r="O110" s="32">
        <f t="shared" si="29"/>
        <v>0.37347699958557812</v>
      </c>
      <c r="P110" s="32">
        <f t="shared" si="29"/>
        <v>0</v>
      </c>
      <c r="Q110" s="34">
        <f t="shared" si="29"/>
        <v>0</v>
      </c>
      <c r="R110" s="68">
        <f t="shared" si="29"/>
        <v>0</v>
      </c>
      <c r="S110" s="32">
        <f t="shared" si="29"/>
        <v>0</v>
      </c>
      <c r="T110" s="92"/>
      <c r="U110" s="114">
        <f>+GETPIVOTDATA(" Tot # Instr. New",'Counts Pivot Table'!$A$3,"State","TX","Category",1,"Category2","Four-Year")</f>
        <v>203</v>
      </c>
      <c r="V110" s="115">
        <f>+GETPIVOTDATA(" Tot # Instr. New",'Counts Pivot Table'!$A$3,"State","TX","Category",2,"Category2","Four-Year")</f>
        <v>10</v>
      </c>
      <c r="W110" s="115">
        <f>+GETPIVOTDATA(" Tot # Instr. New",'Counts Pivot Table'!$A$3,"State","TX","Category",3,"Category2","Four-Year")</f>
        <v>431</v>
      </c>
      <c r="X110" s="115">
        <f>+GETPIVOTDATA(" Tot # Instr. New",'Counts Pivot Table'!$A$3,"State","TX","Category",4,"Category2","Four-Year")</f>
        <v>111</v>
      </c>
      <c r="Y110" s="115">
        <f>+GETPIVOTDATA(" Tot # Instr. New",'Counts Pivot Table'!$A$3,"State","TX","Category",5,"Category2","Four-Year")</f>
        <v>6</v>
      </c>
      <c r="Z110" s="115">
        <f>+GETPIVOTDATA(" Tot # Instr. New",'Counts Pivot Table'!$A$3,"State","TX","Category",6,"Category2","Four-Year")</f>
        <v>0</v>
      </c>
      <c r="AA110" s="117">
        <f>+GETPIVOTDATA(" Tot # Instr. New",'Counts Pivot Table'!$A$3,"State","TX","Category2","Four-Year")</f>
        <v>761</v>
      </c>
      <c r="AB110" s="114">
        <f>+GETPIVOTDATA(" Tot # Instr. New",'Counts Pivot Table'!$A$3,"State","TX","Category",7,"Category2","Two-Year")</f>
        <v>0</v>
      </c>
      <c r="AC110" s="115">
        <f>+GETPIVOTDATA(" Tot # Instr. New",'Counts Pivot Table'!$A$3,"State","TX","Category",8,"Category2","Two-Year")</f>
        <v>2815</v>
      </c>
      <c r="AD110" s="115">
        <f>+GETPIVOTDATA(" Tot # Instr. New",'Counts Pivot Table'!$A$3,"State","TX","Category",9,"Category2","Two-Year")</f>
        <v>1285</v>
      </c>
      <c r="AE110" s="115">
        <f>+GETPIVOTDATA(" Tot # Instr. New",'Counts Pivot Table'!$A$3,"State","TX","Category",10,"Category2","Two-Year")</f>
        <v>406</v>
      </c>
      <c r="AF110" s="116">
        <f>+GETPIVOTDATA(" Tot # Instr. New",'Counts Pivot Table'!$A$3,"State","TX","Category",11,"Category2","Two-Year")</f>
        <v>0</v>
      </c>
      <c r="AG110" s="116">
        <f>+GETPIVOTDATA(" Tot # Instr. New",'Counts Pivot Table'!$A$3,"State","TX","Category2","Two-Year")</f>
        <v>4506</v>
      </c>
      <c r="AH110" s="114">
        <f>+GETPIVOTDATA(" Tot # Instr. New",'Counts Pivot Table'!$A$3,"State","TX","Category",12,"Category2","Technical Institutes")</f>
        <v>0</v>
      </c>
      <c r="AI110" s="115">
        <f>+GETPIVOTDATA(" Tot # Instr. New",'Counts Pivot Table'!$A$3,"State","TX","Category",13,"Category2","Technical Institutes")</f>
        <v>0</v>
      </c>
      <c r="AJ110" s="116">
        <f>+GETPIVOTDATA(" Tot # Instr. New",'Counts Pivot Table'!$A$3,"State","TX","Category",14,"Category2","Technical Institutes")</f>
        <v>0</v>
      </c>
      <c r="AK110" s="114">
        <f>+GETPIVOTDATA(" Tot # Instr. New",'Counts Pivot Table'!$A$3,"State","TX","Category2","Technical Institutes")</f>
        <v>0</v>
      </c>
    </row>
    <row r="111" spans="1:39">
      <c r="A111" s="30"/>
      <c r="B111" s="38" t="s">
        <v>414</v>
      </c>
      <c r="C111" s="32">
        <f t="shared" si="28"/>
        <v>0.18839819574110983</v>
      </c>
      <c r="D111" s="34">
        <f t="shared" si="28"/>
        <v>0.31082331174838113</v>
      </c>
      <c r="E111" s="34">
        <f t="shared" si="28"/>
        <v>0.19274580335731414</v>
      </c>
      <c r="F111" s="34">
        <f t="shared" si="28"/>
        <v>0.1394422310756972</v>
      </c>
      <c r="G111" s="34">
        <f t="shared" si="28"/>
        <v>0.15718157181571815</v>
      </c>
      <c r="H111" s="68">
        <f t="shared" si="28"/>
        <v>0.45161290322580644</v>
      </c>
      <c r="I111" s="32">
        <f t="shared" si="28"/>
        <v>0.19582725258094158</v>
      </c>
      <c r="J111" s="32">
        <f t="shared" si="28"/>
        <v>0</v>
      </c>
      <c r="K111" s="34">
        <f t="shared" si="28"/>
        <v>3.112083637247751E-2</v>
      </c>
      <c r="L111" s="264">
        <f t="shared" si="28"/>
        <v>0</v>
      </c>
      <c r="M111" s="264">
        <f t="shared" si="29"/>
        <v>0</v>
      </c>
      <c r="N111" s="124">
        <f t="shared" si="29"/>
        <v>0</v>
      </c>
      <c r="O111" s="32">
        <f t="shared" si="29"/>
        <v>2.1218400331537504E-2</v>
      </c>
      <c r="P111" s="32">
        <f t="shared" si="29"/>
        <v>0</v>
      </c>
      <c r="Q111" s="34">
        <f t="shared" si="29"/>
        <v>0</v>
      </c>
      <c r="R111" s="68">
        <f t="shared" si="29"/>
        <v>0</v>
      </c>
      <c r="S111" s="32">
        <f t="shared" si="29"/>
        <v>0</v>
      </c>
      <c r="T111" s="92"/>
      <c r="U111" s="114">
        <f>++GETPIVOTDATA(" Tot # Undes. New",'Counts Pivot Table'!$A$3,"State","TX","Category",1,"Category2","Four-Year")</f>
        <v>1796</v>
      </c>
      <c r="V111" s="115">
        <f>+GETPIVOTDATA(" Tot # Undes. New",'Counts Pivot Table'!$A$3,"State","TX","Category",2,"Category2","Four-Year")</f>
        <v>336</v>
      </c>
      <c r="W111" s="115">
        <f>+GETPIVOTDATA(" Tot # Undes. New",'Counts Pivot Table'!$A$3,"State","TX","Category",3,"Category2","Four-Year")</f>
        <v>1286</v>
      </c>
      <c r="X111" s="115">
        <f>+GETPIVOTDATA(" Tot # Undes. New",'Counts Pivot Table'!$A$3,"State","TX","Category",4,"Category2","Four-Year")</f>
        <v>105</v>
      </c>
      <c r="Y111" s="115">
        <f>+GETPIVOTDATA(" Tot # Undes. New",'Counts Pivot Table'!$A$3,"State","TX","Category",5,"Category2","Four-Year")</f>
        <v>58</v>
      </c>
      <c r="Z111" s="115">
        <f>+GETPIVOTDATA(" Tot # Undes. New",'Counts Pivot Table'!$A$3,"State","TX","Category",6,"Category2","Four-Year")</f>
        <v>42</v>
      </c>
      <c r="AA111" s="117">
        <f>+GETPIVOTDATA(" Tot # Undes. New",'Counts Pivot Table'!$A$3,"State","TX","Category2","Four-Year")</f>
        <v>3623</v>
      </c>
      <c r="AB111" s="114">
        <f>+GETPIVOTDATA(" Tot # Undes. New",'Counts Pivot Table'!$A$3,"State","TX","Category",7,"Category2","Two-Year")</f>
        <v>0</v>
      </c>
      <c r="AC111" s="115">
        <f>+GETPIVOTDATA(" Tot # Undes. New",'Counts Pivot Table'!$A$3,"State","TX","Category",8,"Category2","Two-Year")</f>
        <v>256</v>
      </c>
      <c r="AD111" s="115">
        <f>+GETPIVOTDATA(" Tot # Undes. New",'Counts Pivot Table'!$A$3,"State","TX","Category",9,"Category2","Two-Year")</f>
        <v>0</v>
      </c>
      <c r="AE111" s="115">
        <f>+GETPIVOTDATA(" Tot # Undes. New",'Counts Pivot Table'!$A$3,"State","TX","Category",10,"Category2","Two-Year")</f>
        <v>0</v>
      </c>
      <c r="AF111" s="116">
        <f>+GETPIVOTDATA(" Tot # Undes. New",'Counts Pivot Table'!$A$3,"State","TX","Category",11,"Category2","Two-Year")</f>
        <v>0</v>
      </c>
      <c r="AG111" s="116">
        <f>+GETPIVOTDATA(" Tot # Undes. New",'Counts Pivot Table'!$A$3,"State","TX","Category2","Two-Year")</f>
        <v>256</v>
      </c>
      <c r="AH111" s="114">
        <f>+GETPIVOTDATA(" Tot # Undes. New",'Counts Pivot Table'!$A$3,"State","TX","Category",12,"Category2","Technical Institutes")</f>
        <v>0</v>
      </c>
      <c r="AI111" s="115">
        <f>+GETPIVOTDATA(" Tot # Undes. New",'Counts Pivot Table'!$A$3,"State","TX","Category",13,"Category2","Technical Institutes")</f>
        <v>0</v>
      </c>
      <c r="AJ111" s="116">
        <f>+GETPIVOTDATA(" Tot # Undes. New",'Counts Pivot Table'!$A$3,"State","TX","Category",14,"Category2","Technical Institutes")</f>
        <v>0</v>
      </c>
      <c r="AK111" s="114">
        <f>+GETPIVOTDATA(" Tot # Undes. New",'Counts Pivot Table'!$A$3,"State","TX","Category2","Technical Institutes")</f>
        <v>0</v>
      </c>
    </row>
    <row r="112" spans="1:39">
      <c r="A112" s="30"/>
      <c r="B112" s="38" t="s">
        <v>413</v>
      </c>
      <c r="C112" s="32">
        <f t="shared" si="28"/>
        <v>0</v>
      </c>
      <c r="D112" s="34">
        <f t="shared" si="28"/>
        <v>0</v>
      </c>
      <c r="E112" s="34">
        <f t="shared" si="28"/>
        <v>0</v>
      </c>
      <c r="F112" s="34">
        <f t="shared" si="28"/>
        <v>0</v>
      </c>
      <c r="G112" s="34">
        <f t="shared" si="28"/>
        <v>0</v>
      </c>
      <c r="H112" s="68">
        <f t="shared" si="28"/>
        <v>0</v>
      </c>
      <c r="I112" s="32">
        <f t="shared" si="28"/>
        <v>0</v>
      </c>
      <c r="J112" s="32">
        <f t="shared" si="28"/>
        <v>0</v>
      </c>
      <c r="K112" s="34">
        <f t="shared" si="28"/>
        <v>0.21115973741794311</v>
      </c>
      <c r="L112" s="34">
        <f t="shared" si="28"/>
        <v>0.3184868822452715</v>
      </c>
      <c r="M112" s="34">
        <f t="shared" si="29"/>
        <v>1.2477718360071301E-2</v>
      </c>
      <c r="N112" s="68">
        <f t="shared" si="29"/>
        <v>0</v>
      </c>
      <c r="O112" s="32">
        <f t="shared" si="29"/>
        <v>0.23108164111065063</v>
      </c>
      <c r="P112" s="32">
        <f t="shared" si="29"/>
        <v>0</v>
      </c>
      <c r="Q112" s="34">
        <f t="shared" si="29"/>
        <v>0</v>
      </c>
      <c r="R112" s="68">
        <f t="shared" si="29"/>
        <v>0</v>
      </c>
      <c r="S112" s="32">
        <f t="shared" si="29"/>
        <v>0</v>
      </c>
      <c r="T112" s="92"/>
      <c r="U112" s="114">
        <f>+GETPIVOTDATA(" Tot # Single Rnk New",'Counts Pivot Table'!$A$3,"State","TX","Category",1,"Category2","Four-Year")</f>
        <v>0</v>
      </c>
      <c r="V112" s="115">
        <f>+GETPIVOTDATA(" Tot # Single Rnk New",'Counts Pivot Table'!$A$3,"State","TX","Category",2,"Category2","Four-Year")</f>
        <v>0</v>
      </c>
      <c r="W112" s="115">
        <f>+GETPIVOTDATA(" Tot # Single Rnk New",'Counts Pivot Table'!$A$3,"State","TX","Category",3,"Category2","Four-Year")</f>
        <v>0</v>
      </c>
      <c r="X112" s="115">
        <f>+GETPIVOTDATA(" Tot # Single Rnk New",'Counts Pivot Table'!$A$3,"State","TX","Category",4,"Category2","Four-Year")</f>
        <v>0</v>
      </c>
      <c r="Y112" s="115">
        <f>+GETPIVOTDATA(" Tot # Single Rnk New",'Counts Pivot Table'!$A$3,"State","TX","Category",5,"Category2","Four-Year")</f>
        <v>0</v>
      </c>
      <c r="Z112" s="115">
        <f>+GETPIVOTDATA(" Tot # Single Rnk New",'Counts Pivot Table'!$A$3,"State","TX","Category",6,"Category2","Four-Year")</f>
        <v>0</v>
      </c>
      <c r="AA112" s="117">
        <f>+GETPIVOTDATA(" Tot # Single Rnk New",'Counts Pivot Table'!$A$3,"State","TX","Category2","Four-Year")</f>
        <v>0</v>
      </c>
      <c r="AB112" s="114">
        <f>+GETPIVOTDATA(" Tot # Single Rnk New",'Counts Pivot Table'!$A$3,"State","TX","Category",7,"Category2","Two-Year")</f>
        <v>0</v>
      </c>
      <c r="AC112" s="115">
        <f>+GETPIVOTDATA(" Tot # Single Rnk New",'Counts Pivot Table'!$A$3,"State","TX","Category",8,"Category2","Two-Year")</f>
        <v>1737</v>
      </c>
      <c r="AD112" s="115">
        <f>+GETPIVOTDATA(" Tot # Single Rnk New",'Counts Pivot Table'!$A$3,"State","TX","Category",9,"Category2","Two-Year")</f>
        <v>1044</v>
      </c>
      <c r="AE112" s="115">
        <f>+GETPIVOTDATA(" Tot # Single Rnk New",'Counts Pivot Table'!$A$3,"State","TX","Category",10,"Category2","Two-Year")</f>
        <v>7</v>
      </c>
      <c r="AF112" s="116">
        <f>+GETPIVOTDATA(" Tot # Single Rnk New",'Counts Pivot Table'!$A$3,"State","TX","Category",11,"Category2","Two-Year")</f>
        <v>0</v>
      </c>
      <c r="AG112" s="116">
        <f>+GETPIVOTDATA(" Tot # Single Rnk New",'Counts Pivot Table'!$A$3,"State","TX","Category2","Two-Year")</f>
        <v>2788</v>
      </c>
      <c r="AH112" s="114">
        <f>+GETPIVOTDATA(" Tot # Single Rnk New",'Counts Pivot Table'!$A$3,"State","TX","Category",12,"Category2","Technical Institutes")</f>
        <v>0</v>
      </c>
      <c r="AI112" s="115">
        <f>+GETPIVOTDATA(" Tot # Single Rnk New",'Counts Pivot Table'!$A$3,"State","TX","Category",13,"Category2","Technical Institutes")</f>
        <v>0</v>
      </c>
      <c r="AJ112" s="116">
        <f>+GETPIVOTDATA(" Tot # Single Rnk New",'Counts Pivot Table'!$A$3,"State","TX","Category",14,"Category2","Technical Institutes")</f>
        <v>0</v>
      </c>
      <c r="AK112" s="114">
        <f>+GETPIVOTDATA(" Tot # Single Rnk New",'Counts Pivot Table'!$A$3,"State","TX","Category2","Technical Institutes")</f>
        <v>0</v>
      </c>
    </row>
    <row r="113" spans="1:39" s="54" customFormat="1">
      <c r="A113" s="207"/>
      <c r="B113" s="208" t="s">
        <v>415</v>
      </c>
      <c r="C113" s="33">
        <f t="shared" si="28"/>
        <v>1</v>
      </c>
      <c r="D113" s="31">
        <f t="shared" si="28"/>
        <v>1</v>
      </c>
      <c r="E113" s="31">
        <f t="shared" si="28"/>
        <v>1</v>
      </c>
      <c r="F113" s="31">
        <f t="shared" si="28"/>
        <v>1</v>
      </c>
      <c r="G113" s="31">
        <f t="shared" si="28"/>
        <v>1</v>
      </c>
      <c r="H113" s="69">
        <f t="shared" si="28"/>
        <v>1</v>
      </c>
      <c r="I113" s="33">
        <f t="shared" si="28"/>
        <v>1</v>
      </c>
      <c r="J113" s="33">
        <f t="shared" si="28"/>
        <v>0</v>
      </c>
      <c r="K113" s="31">
        <f t="shared" si="28"/>
        <v>1</v>
      </c>
      <c r="L113" s="31">
        <f t="shared" si="28"/>
        <v>1</v>
      </c>
      <c r="M113" s="31">
        <f t="shared" si="29"/>
        <v>1</v>
      </c>
      <c r="N113" s="69">
        <f t="shared" si="29"/>
        <v>0</v>
      </c>
      <c r="O113" s="33">
        <f t="shared" si="29"/>
        <v>1</v>
      </c>
      <c r="P113" s="33">
        <f t="shared" si="29"/>
        <v>0</v>
      </c>
      <c r="Q113" s="31">
        <f t="shared" si="29"/>
        <v>0</v>
      </c>
      <c r="R113" s="69">
        <f t="shared" si="29"/>
        <v>0</v>
      </c>
      <c r="S113" s="33">
        <f t="shared" si="29"/>
        <v>0</v>
      </c>
      <c r="T113" s="93"/>
      <c r="U113" s="118">
        <f>+GETPIVOTDATA(" All Ranks # New",'Counts Pivot Table'!$A$3,"State","TX","Category",1,"Category2","Four-Year")</f>
        <v>9533</v>
      </c>
      <c r="V113" s="119">
        <f>+GETPIVOTDATA(" All Ranks # New",'Counts Pivot Table'!$A$3,"State","TX","Category",2,"Category2","Four-Year")</f>
        <v>1081</v>
      </c>
      <c r="W113" s="119">
        <f>+GETPIVOTDATA(" All Ranks # New",'Counts Pivot Table'!$A$3,"State","TX","Category",3,"Category2","Four-Year")</f>
        <v>6672</v>
      </c>
      <c r="X113" s="119">
        <f>+GETPIVOTDATA(" All Ranks # New",'Counts Pivot Table'!$A$3,"State","TX","Category",4,"Category2","Four-Year")</f>
        <v>753</v>
      </c>
      <c r="Y113" s="119">
        <f>+GETPIVOTDATA(" All Ranks # New",'Counts Pivot Table'!$A$3,"State","TX","Category",5,"Category2","Four-Year")</f>
        <v>369</v>
      </c>
      <c r="Z113" s="119">
        <f>+GETPIVOTDATA(" All Ranks # New",'Counts Pivot Table'!$A$3,"State","TX","Category",6,"Category2","Four-Year")</f>
        <v>93</v>
      </c>
      <c r="AA113" s="121">
        <f>+GETPIVOTDATA(" All Ranks # New",'Counts Pivot Table'!$A$3,"State","TX","Category2","Four-Year")</f>
        <v>18501</v>
      </c>
      <c r="AB113" s="118">
        <f>+GETPIVOTDATA(" All Ranks # New",'Counts Pivot Table'!$A$3,"State","TX","Category",7,"Category2","Two-Year")</f>
        <v>0</v>
      </c>
      <c r="AC113" s="119">
        <f>+GETPIVOTDATA(" All Ranks # New",'Counts Pivot Table'!$A$3,"State","TX","Category",8,"Category2","Two-Year")</f>
        <v>8226</v>
      </c>
      <c r="AD113" s="119">
        <f>+GETPIVOTDATA(" All Ranks # New",'Counts Pivot Table'!$A$3,"State","TX","Category",9,"Category2","Two-Year")</f>
        <v>3278</v>
      </c>
      <c r="AE113" s="119">
        <f>+GETPIVOTDATA(" All Ranks # New",'Counts Pivot Table'!$A$3,"State","TX","Category",10,"Category2","Two-Year")</f>
        <v>561</v>
      </c>
      <c r="AF113" s="120">
        <f>+GETPIVOTDATA(" All Ranks # New",'Counts Pivot Table'!$A$3,"State","TX","Category",11,"Category2","Two-Year")</f>
        <v>0</v>
      </c>
      <c r="AG113" s="120">
        <f>+GETPIVOTDATA(" All Ranks # New",'Counts Pivot Table'!$A$3,"State","TX","Category2","Two-Year")</f>
        <v>12065</v>
      </c>
      <c r="AH113" s="118">
        <f>+GETPIVOTDATA(" All Ranks # New",'Counts Pivot Table'!$A$3,"State","TX","Category",12,"Category2","Technical Institutes")</f>
        <v>0</v>
      </c>
      <c r="AI113" s="119">
        <f>+GETPIVOTDATA(" All Ranks # New",'Counts Pivot Table'!$A$3,"State","TX","Category",13,"Category2","Technical Institutes")</f>
        <v>0</v>
      </c>
      <c r="AJ113" s="120">
        <f>+GETPIVOTDATA(" All Ranks # New",'Counts Pivot Table'!$A$3,"State","TX","Category",14,"Category2","Technical Institutes")</f>
        <v>0</v>
      </c>
      <c r="AK113" s="118">
        <f>+GETPIVOTDATA(" All Ranks # New",'Counts Pivot Table'!$A$3,"State","TX","Category2","Technical Institutes")</f>
        <v>0</v>
      </c>
      <c r="AL113" s="122"/>
      <c r="AM113" s="122"/>
    </row>
    <row r="114" spans="1:39">
      <c r="A114" s="38" t="s">
        <v>447</v>
      </c>
      <c r="B114" s="35" t="s">
        <v>435</v>
      </c>
      <c r="C114" s="36">
        <f t="shared" ref="C114:L120" si="30">IF(U$120&gt;0,(U114/U$120),0)</f>
        <v>0.35225736685590703</v>
      </c>
      <c r="D114" s="37">
        <f t="shared" si="30"/>
        <v>0.25965932696302452</v>
      </c>
      <c r="E114" s="37">
        <f t="shared" si="30"/>
        <v>0.30531996915959908</v>
      </c>
      <c r="F114" s="37">
        <f t="shared" si="30"/>
        <v>0.2196078431372549</v>
      </c>
      <c r="G114" s="37">
        <f t="shared" si="30"/>
        <v>0.24070021881838075</v>
      </c>
      <c r="H114" s="67">
        <f t="shared" si="30"/>
        <v>0.19148936170212766</v>
      </c>
      <c r="I114" s="36">
        <f t="shared" si="30"/>
        <v>0.30049317582291546</v>
      </c>
      <c r="J114" s="36">
        <f t="shared" si="30"/>
        <v>0</v>
      </c>
      <c r="K114" s="37">
        <f t="shared" si="30"/>
        <v>0</v>
      </c>
      <c r="L114" s="37">
        <f t="shared" si="30"/>
        <v>0</v>
      </c>
      <c r="M114" s="37">
        <f t="shared" ref="M114:S120" si="31">IF(AE$120&gt;0,(AE114/AE$120),0)</f>
        <v>0.24242424242424243</v>
      </c>
      <c r="N114" s="67">
        <f t="shared" si="31"/>
        <v>0.19889502762430938</v>
      </c>
      <c r="O114" s="36">
        <f t="shared" si="31"/>
        <v>0.19954648526077098</v>
      </c>
      <c r="P114" s="164">
        <f t="shared" si="31"/>
        <v>0</v>
      </c>
      <c r="Q114" s="37">
        <f t="shared" si="31"/>
        <v>0</v>
      </c>
      <c r="R114" s="67">
        <f t="shared" si="31"/>
        <v>0</v>
      </c>
      <c r="S114" s="164">
        <f t="shared" si="31"/>
        <v>0</v>
      </c>
      <c r="T114" s="123"/>
      <c r="U114" s="110">
        <f>+GETPIVOTDATA(" Total # Prof New",'Counts Pivot Table'!$A$3,"State","VA","Category",1,"Category2","Four-Year")</f>
        <v>1303</v>
      </c>
      <c r="V114" s="111">
        <f>+GETPIVOTDATA(" Total # Prof New",'Counts Pivot Table'!$A$3,"State","VA","Category",2,"Category2","Four-Year")</f>
        <v>625</v>
      </c>
      <c r="W114" s="111">
        <f>+GETPIVOTDATA(" Total # Prof New",'Counts Pivot Table'!$A$3,"State","VA","Category",3,"Category2","Four-Year")</f>
        <v>396</v>
      </c>
      <c r="X114" s="111">
        <f>+GETPIVOTDATA(" Total # Prof New",'Counts Pivot Table'!$A$3,"State","VA","Category",4,"Category2","Four-Year")</f>
        <v>168</v>
      </c>
      <c r="Y114" s="111">
        <f>+GETPIVOTDATA(" Total # Prof New",'Counts Pivot Table'!$A$3,"State","VA","Category",5,"Category2","Four-Year")</f>
        <v>110</v>
      </c>
      <c r="Z114" s="111">
        <f>+GETPIVOTDATA(" Total # Prof New",'Counts Pivot Table'!$A$3,"State","VA","Category",6,"Category2","Four-Year")</f>
        <v>18</v>
      </c>
      <c r="AA114" s="113">
        <f>+GETPIVOTDATA(" Total # Prof New",'Counts Pivot Table'!$A$3,"State","VA","Category2","Four-Year")</f>
        <v>2620</v>
      </c>
      <c r="AB114" s="110">
        <f>+GETPIVOTDATA(" Total # Prof New",'Counts Pivot Table'!$A$3,"State","VA","Category",7,"Category2","Two-Year")</f>
        <v>0</v>
      </c>
      <c r="AC114" s="111">
        <f>+GETPIVOTDATA(" Total # Prof New",'Counts Pivot Table'!$A$3,"State","VA","Category",8,"Category2","Two-Year")</f>
        <v>0</v>
      </c>
      <c r="AD114" s="111">
        <f>+GETPIVOTDATA(" Total # Prof New",'Counts Pivot Table'!$A$3,"State","VA","Category",9,"Category2","Two-Year")</f>
        <v>0</v>
      </c>
      <c r="AE114" s="111">
        <f>+GETPIVOTDATA(" Total # Prof New",'Counts Pivot Table'!$A$3,"State","VA","Category",10,"Category2","Two-Year")</f>
        <v>8</v>
      </c>
      <c r="AF114" s="112">
        <f>+GETPIVOTDATA(" Total # Prof New",'Counts Pivot Table'!$A$3,"State","VA","Category",11,"Category2","Two-Year")</f>
        <v>432</v>
      </c>
      <c r="AG114" s="112">
        <f>+GETPIVOTDATA(" Total # Prof New",'Counts Pivot Table'!$A$3,"State","VA","Category2","Two-Year")</f>
        <v>440</v>
      </c>
      <c r="AH114" s="110">
        <f>+GETPIVOTDATA(" Total # Prof New",'Counts Pivot Table'!$A$3,"State","VA","Category",12,"Category2","Technical Institutes")</f>
        <v>0</v>
      </c>
      <c r="AI114" s="111">
        <f>+GETPIVOTDATA(" Total # Prof New",'Counts Pivot Table'!$A$3,"State","VA","Category",13,"Category2","Technical Institutes")</f>
        <v>0</v>
      </c>
      <c r="AJ114" s="112">
        <f>+GETPIVOTDATA(" Total # Prof New",'Counts Pivot Table'!$A$3,"State","VA","Category",14,"Category2","Technical Institutes")</f>
        <v>0</v>
      </c>
      <c r="AK114" s="110">
        <f>+GETPIVOTDATA(" Total # Prof New",'Counts Pivot Table'!$A$3,"State","VA","Category2","Technical Institutes")</f>
        <v>0</v>
      </c>
    </row>
    <row r="115" spans="1:39">
      <c r="A115" s="30"/>
      <c r="B115" s="38" t="s">
        <v>436</v>
      </c>
      <c r="C115" s="32">
        <f t="shared" si="30"/>
        <v>0.2930521762638551</v>
      </c>
      <c r="D115" s="34">
        <f t="shared" si="30"/>
        <v>0.29040299127544661</v>
      </c>
      <c r="E115" s="34">
        <f t="shared" si="30"/>
        <v>0.2313030069390902</v>
      </c>
      <c r="F115" s="34">
        <f t="shared" si="30"/>
        <v>0.2849673202614379</v>
      </c>
      <c r="G115" s="34">
        <f t="shared" si="30"/>
        <v>0.30853391684901532</v>
      </c>
      <c r="H115" s="68">
        <f t="shared" si="30"/>
        <v>0.26595744680851063</v>
      </c>
      <c r="I115" s="32">
        <f t="shared" si="30"/>
        <v>0.28294529189127193</v>
      </c>
      <c r="J115" s="32">
        <f t="shared" si="30"/>
        <v>0</v>
      </c>
      <c r="K115" s="34">
        <f t="shared" si="30"/>
        <v>0</v>
      </c>
      <c r="L115" s="34">
        <f t="shared" si="30"/>
        <v>0</v>
      </c>
      <c r="M115" s="34">
        <f t="shared" si="31"/>
        <v>0.5757575757575758</v>
      </c>
      <c r="N115" s="68">
        <f t="shared" si="31"/>
        <v>0.29281767955801102</v>
      </c>
      <c r="O115" s="32">
        <f t="shared" si="31"/>
        <v>0.29705215419501135</v>
      </c>
      <c r="P115" s="32">
        <f t="shared" si="31"/>
        <v>0</v>
      </c>
      <c r="Q115" s="34">
        <f t="shared" si="31"/>
        <v>0</v>
      </c>
      <c r="R115" s="68">
        <f t="shared" si="31"/>
        <v>0</v>
      </c>
      <c r="S115" s="32">
        <f t="shared" si="31"/>
        <v>0</v>
      </c>
      <c r="T115" s="92"/>
      <c r="U115" s="114">
        <f>+GETPIVOTDATA(" Tot # Asc. Prof New",'Counts Pivot Table'!$A$3,"State","VA","Category",1,"Category2","Four-Year")</f>
        <v>1084</v>
      </c>
      <c r="V115" s="115">
        <f>+GETPIVOTDATA(" Tot # Asc. Prof New",'Counts Pivot Table'!$A$3,"State","VA","Category",2,"Category2","Four-Year")</f>
        <v>699</v>
      </c>
      <c r="W115" s="115">
        <f>+GETPIVOTDATA(" Tot # Asc. Prof New",'Counts Pivot Table'!$A$3,"State","VA","Category",3,"Category2","Four-Year")</f>
        <v>300</v>
      </c>
      <c r="X115" s="115">
        <f>+GETPIVOTDATA(" Tot # Asc. Prof New",'Counts Pivot Table'!$A$3,"State","VA","Category",4,"Category2","Four-Year")</f>
        <v>218</v>
      </c>
      <c r="Y115" s="115">
        <f>+GETPIVOTDATA(" Tot # Asc. Prof New",'Counts Pivot Table'!$A$3,"State","VA","Category",5,"Category2","Four-Year")</f>
        <v>141</v>
      </c>
      <c r="Z115" s="115">
        <f>+GETPIVOTDATA(" Tot # Asc. Prof New",'Counts Pivot Table'!$A$3,"State","VA","Category",6,"Category2","Four-Year")</f>
        <v>25</v>
      </c>
      <c r="AA115" s="117">
        <f>+GETPIVOTDATA(" Tot # Asc. Prof New",'Counts Pivot Table'!$A$3,"State","VA","Category2","Four-Year")</f>
        <v>2467</v>
      </c>
      <c r="AB115" s="114">
        <f>+GETPIVOTDATA(" Tot # Asc. Prof New",'Counts Pivot Table'!$A$3,"State","VA","Category",7,"Category2","Two-Year")</f>
        <v>0</v>
      </c>
      <c r="AC115" s="115">
        <f>+GETPIVOTDATA(" Tot # Asc. Prof New",'Counts Pivot Table'!$A$3,"State","VA","Category",8,"Category2","Two-Year")</f>
        <v>0</v>
      </c>
      <c r="AD115" s="115">
        <f>+GETPIVOTDATA(" Tot # Asc. Prof New",'Counts Pivot Table'!$A$3,"State","VA","Category",9,"Category2","Two-Year")</f>
        <v>0</v>
      </c>
      <c r="AE115" s="115">
        <f>+GETPIVOTDATA(" Tot # Asc. Prof New",'Counts Pivot Table'!$A$3,"State","VA","Category",10,"Category2","Two-Year")</f>
        <v>19</v>
      </c>
      <c r="AF115" s="116">
        <f>+GETPIVOTDATA(" Tot # Asc. Prof New",'Counts Pivot Table'!$A$3,"State","VA","Category",11,"Category2","Two-Year")</f>
        <v>636</v>
      </c>
      <c r="AG115" s="116">
        <f>+GETPIVOTDATA(" Tot # Asc. Prof New",'Counts Pivot Table'!$A$3,"State","VA","Category2","Two-Year")</f>
        <v>655</v>
      </c>
      <c r="AH115" s="114">
        <f>+GETPIVOTDATA(" Tot # Asc. Prof New",'Counts Pivot Table'!$A$3,"State","VA","Category",12,"Category2","Technical Institutes")</f>
        <v>0</v>
      </c>
      <c r="AI115" s="115">
        <f>+GETPIVOTDATA(" Tot # Asc. Prof New",'Counts Pivot Table'!$A$3,"State","VA","Category",13,"Category2","Technical Institutes")</f>
        <v>0</v>
      </c>
      <c r="AJ115" s="116">
        <f>+GETPIVOTDATA(" Tot # Asc. Prof New",'Counts Pivot Table'!$A$3,"State","VA","Category",14,"Category2","Technical Institutes")</f>
        <v>0</v>
      </c>
      <c r="AK115" s="114">
        <f>+GETPIVOTDATA(" Tot # Asc. Prof New",'Counts Pivot Table'!$A$3,"State","VA","Category2","Technical Institutes")</f>
        <v>0</v>
      </c>
    </row>
    <row r="116" spans="1:39">
      <c r="A116" s="30"/>
      <c r="B116" s="38" t="s">
        <v>437</v>
      </c>
      <c r="C116" s="32">
        <f t="shared" si="30"/>
        <v>0.26088131927547986</v>
      </c>
      <c r="D116" s="34">
        <f t="shared" si="30"/>
        <v>0.28209389281262981</v>
      </c>
      <c r="E116" s="34">
        <f t="shared" si="30"/>
        <v>0.31842713955281421</v>
      </c>
      <c r="F116" s="34">
        <f t="shared" si="30"/>
        <v>0.35424836601307191</v>
      </c>
      <c r="G116" s="34">
        <f t="shared" si="30"/>
        <v>0.33041575492341357</v>
      </c>
      <c r="H116" s="68">
        <f t="shared" si="30"/>
        <v>0.28723404255319152</v>
      </c>
      <c r="I116" s="32">
        <f t="shared" si="30"/>
        <v>0.2874182819130634</v>
      </c>
      <c r="J116" s="32">
        <f t="shared" si="30"/>
        <v>0</v>
      </c>
      <c r="K116" s="34">
        <f t="shared" si="30"/>
        <v>0</v>
      </c>
      <c r="L116" s="34">
        <f t="shared" si="30"/>
        <v>0</v>
      </c>
      <c r="M116" s="34">
        <f t="shared" si="31"/>
        <v>0.18181818181818182</v>
      </c>
      <c r="N116" s="68">
        <f t="shared" si="31"/>
        <v>0.31767955801104975</v>
      </c>
      <c r="O116" s="32">
        <f t="shared" si="31"/>
        <v>0.31564625850340133</v>
      </c>
      <c r="P116" s="32">
        <f t="shared" si="31"/>
        <v>0</v>
      </c>
      <c r="Q116" s="34">
        <f t="shared" si="31"/>
        <v>0</v>
      </c>
      <c r="R116" s="68">
        <f t="shared" si="31"/>
        <v>0</v>
      </c>
      <c r="S116" s="32">
        <f t="shared" si="31"/>
        <v>0</v>
      </c>
      <c r="T116" s="92"/>
      <c r="U116" s="114">
        <f>+GETPIVOTDATA(" Tot # Ast. Prof New",'Counts Pivot Table'!$A$3,"State","VA","Category",1,"Category2","Four-Year")</f>
        <v>965</v>
      </c>
      <c r="V116" s="115">
        <f>+GETPIVOTDATA(" Tot # Ast. Prof New",'Counts Pivot Table'!$A$3,"State","VA","Category",2,"Category2","Four-Year")</f>
        <v>679</v>
      </c>
      <c r="W116" s="115">
        <f>+GETPIVOTDATA(" Tot # Ast. Prof New",'Counts Pivot Table'!$A$3,"State","VA","Category",3,"Category2","Four-Year")</f>
        <v>413</v>
      </c>
      <c r="X116" s="115">
        <f>+GETPIVOTDATA(" Tot # Ast. Prof New",'Counts Pivot Table'!$A$3,"State","VA","Category",4,"Category2","Four-Year")</f>
        <v>271</v>
      </c>
      <c r="Y116" s="115">
        <f>+GETPIVOTDATA(" Tot # Ast. Prof New",'Counts Pivot Table'!$A$3,"State","VA","Category",5,"Category2","Four-Year")</f>
        <v>151</v>
      </c>
      <c r="Z116" s="115">
        <f>+GETPIVOTDATA(" Tot # Ast. Prof New",'Counts Pivot Table'!$A$3,"State","VA","Category",6,"Category2","Four-Year")</f>
        <v>27</v>
      </c>
      <c r="AA116" s="117">
        <f>+GETPIVOTDATA(" Tot # Ast. Prof New",'Counts Pivot Table'!$A$3,"State","VA","Category2","Four-Year")</f>
        <v>2506</v>
      </c>
      <c r="AB116" s="114">
        <f>+GETPIVOTDATA(" Tot # Ast. Prof New",'Counts Pivot Table'!$A$3,"State","VA","Category",7,"Category2","Two-Year")</f>
        <v>0</v>
      </c>
      <c r="AC116" s="115">
        <f>+GETPIVOTDATA(" Tot # Ast. Prof New",'Counts Pivot Table'!$A$3,"State","VA","Category",8,"Category2","Two-Year")</f>
        <v>0</v>
      </c>
      <c r="AD116" s="115">
        <f>+GETPIVOTDATA(" Tot # Ast. Prof New",'Counts Pivot Table'!$A$3,"State","VA","Category",9,"Category2","Two-Year")</f>
        <v>0</v>
      </c>
      <c r="AE116" s="115">
        <f>+GETPIVOTDATA(" Tot # Ast. Prof New",'Counts Pivot Table'!$A$3,"State","VA","Category",10,"Category2","Two-Year")</f>
        <v>6</v>
      </c>
      <c r="AF116" s="116">
        <f>+GETPIVOTDATA(" Tot # Ast. Prof New",'Counts Pivot Table'!$A$3,"State","VA","Category",11,"Category2","Two-Year")</f>
        <v>690</v>
      </c>
      <c r="AG116" s="116">
        <f>+GETPIVOTDATA(" Tot # Ast. Prof New",'Counts Pivot Table'!$A$3,"State","VA","Category2","Two-Year")</f>
        <v>696</v>
      </c>
      <c r="AH116" s="114">
        <f>+GETPIVOTDATA(" Tot # Ast. Prof New",'Counts Pivot Table'!$A$3,"State","VA","Category",12,"Category2","Technical Institutes")</f>
        <v>0</v>
      </c>
      <c r="AI116" s="115">
        <f>+GETPIVOTDATA(" Tot # Ast. Prof New",'Counts Pivot Table'!$A$3,"State","VA","Category",13,"Category2","Technical Institutes")</f>
        <v>0</v>
      </c>
      <c r="AJ116" s="116">
        <f>+GETPIVOTDATA(" Tot # Ast. Prof New",'Counts Pivot Table'!$A$3,"State","VA","Category",14,"Category2","Technical Institutes")</f>
        <v>0</v>
      </c>
      <c r="AK116" s="114">
        <f>+GETPIVOTDATA(" Tot # Ast. Prof New",'Counts Pivot Table'!$A$3,"State","VA","Category2","Technical Institutes")</f>
        <v>0</v>
      </c>
    </row>
    <row r="117" spans="1:39">
      <c r="A117" s="30"/>
      <c r="B117" s="38" t="s">
        <v>438</v>
      </c>
      <c r="C117" s="32">
        <f t="shared" si="30"/>
        <v>6.7856177345228447E-2</v>
      </c>
      <c r="D117" s="34">
        <f t="shared" si="30"/>
        <v>0.11341919401744911</v>
      </c>
      <c r="E117" s="34">
        <f t="shared" si="30"/>
        <v>0.14494988434849654</v>
      </c>
      <c r="F117" s="34">
        <f t="shared" si="30"/>
        <v>0.14117647058823529</v>
      </c>
      <c r="G117" s="34">
        <f t="shared" si="30"/>
        <v>2.4070021881838075E-2</v>
      </c>
      <c r="H117" s="68">
        <f t="shared" si="30"/>
        <v>0.24468085106382978</v>
      </c>
      <c r="I117" s="32">
        <f t="shared" si="30"/>
        <v>9.794701227204955E-2</v>
      </c>
      <c r="J117" s="32">
        <f t="shared" si="30"/>
        <v>0</v>
      </c>
      <c r="K117" s="34">
        <f t="shared" si="30"/>
        <v>0</v>
      </c>
      <c r="L117" s="34">
        <f t="shared" si="30"/>
        <v>0</v>
      </c>
      <c r="M117" s="34">
        <f t="shared" si="31"/>
        <v>0</v>
      </c>
      <c r="N117" s="68">
        <f t="shared" si="31"/>
        <v>0.19060773480662985</v>
      </c>
      <c r="O117" s="32">
        <f t="shared" si="31"/>
        <v>0.18775510204081633</v>
      </c>
      <c r="P117" s="32">
        <f t="shared" si="31"/>
        <v>0</v>
      </c>
      <c r="Q117" s="34">
        <f t="shared" si="31"/>
        <v>0</v>
      </c>
      <c r="R117" s="68">
        <f t="shared" si="31"/>
        <v>0</v>
      </c>
      <c r="S117" s="32">
        <f t="shared" si="31"/>
        <v>0</v>
      </c>
      <c r="T117" s="92"/>
      <c r="U117" s="114">
        <f>+GETPIVOTDATA(" Tot # Instr. New",'Counts Pivot Table'!$A$3,"State","VA","Category",1,"Category2","Four-Year")</f>
        <v>251</v>
      </c>
      <c r="V117" s="115">
        <f>+GETPIVOTDATA(" Tot # Instr. New",'Counts Pivot Table'!$A$3,"State","VA","Category",2,"Category2","Four-Year")</f>
        <v>273</v>
      </c>
      <c r="W117" s="115">
        <f>+GETPIVOTDATA(" Tot # Instr. New",'Counts Pivot Table'!$A$3,"State","VA","Category",3,"Category2","Four-Year")</f>
        <v>188</v>
      </c>
      <c r="X117" s="115">
        <f>+GETPIVOTDATA(" Tot # Instr. New",'Counts Pivot Table'!$A$3,"State","VA","Category",4,"Category2","Four-Year")</f>
        <v>108</v>
      </c>
      <c r="Y117" s="115">
        <f>+GETPIVOTDATA(" Tot # Instr. New",'Counts Pivot Table'!$A$3,"State","VA","Category",5,"Category2","Four-Year")</f>
        <v>11</v>
      </c>
      <c r="Z117" s="115">
        <f>+GETPIVOTDATA(" Tot # Instr. New",'Counts Pivot Table'!$A$3,"State","VA","Category",6,"Category2","Four-Year")</f>
        <v>23</v>
      </c>
      <c r="AA117" s="117">
        <f>+GETPIVOTDATA(" Tot # Instr. New",'Counts Pivot Table'!$A$3,"State","VA","Category2","Four-Year")</f>
        <v>854</v>
      </c>
      <c r="AB117" s="114">
        <f>+GETPIVOTDATA(" Tot # Instr. New",'Counts Pivot Table'!$A$3,"State","VA","Category",7,"Category2","Two-Year")</f>
        <v>0</v>
      </c>
      <c r="AC117" s="115">
        <f>+GETPIVOTDATA(" Tot # Instr. New",'Counts Pivot Table'!$A$3,"State","VA","Category",8,"Category2","Two-Year")</f>
        <v>0</v>
      </c>
      <c r="AD117" s="115">
        <f>+GETPIVOTDATA(" Tot # Instr. New",'Counts Pivot Table'!$A$3,"State","VA","Category",9,"Category2","Two-Year")</f>
        <v>0</v>
      </c>
      <c r="AE117" s="115">
        <f>+GETPIVOTDATA(" Tot # Instr. New",'Counts Pivot Table'!$A$3,"State","VA","Category",10,"Category2","Two-Year")</f>
        <v>0</v>
      </c>
      <c r="AF117" s="116">
        <f>+GETPIVOTDATA(" Tot # Instr. New",'Counts Pivot Table'!$A$3,"State","VA","Category",11,"Category2","Two-Year")</f>
        <v>414</v>
      </c>
      <c r="AG117" s="116">
        <f>+GETPIVOTDATA(" Tot # Instr. New",'Counts Pivot Table'!$A$3,"State","VA","Category2","Two-Year")</f>
        <v>414</v>
      </c>
      <c r="AH117" s="114">
        <f>+GETPIVOTDATA(" Tot # Instr. New",'Counts Pivot Table'!$A$3,"State","VA","Category",12,"Category2","Technical Institutes")</f>
        <v>0</v>
      </c>
      <c r="AI117" s="115">
        <f>+GETPIVOTDATA(" Tot # Instr. New",'Counts Pivot Table'!$A$3,"State","VA","Category",13,"Category2","Technical Institutes")</f>
        <v>0</v>
      </c>
      <c r="AJ117" s="116">
        <f>+GETPIVOTDATA(" Tot # Instr. New",'Counts Pivot Table'!$A$3,"State","VA","Category",14,"Category2","Technical Institutes")</f>
        <v>0</v>
      </c>
      <c r="AK117" s="114">
        <f>+GETPIVOTDATA(" Tot # Instr. New",'Counts Pivot Table'!$A$3,"State","VA","Category2","Technical Institutes")</f>
        <v>0</v>
      </c>
    </row>
    <row r="118" spans="1:39">
      <c r="A118" s="30"/>
      <c r="B118" s="38" t="s">
        <v>414</v>
      </c>
      <c r="C118" s="32">
        <f t="shared" si="30"/>
        <v>2.5952960259529603E-2</v>
      </c>
      <c r="D118" s="34">
        <f t="shared" si="30"/>
        <v>5.4424594931449938E-2</v>
      </c>
      <c r="E118" s="34">
        <f t="shared" si="30"/>
        <v>0</v>
      </c>
      <c r="F118" s="34">
        <f t="shared" si="30"/>
        <v>0</v>
      </c>
      <c r="G118" s="34">
        <f t="shared" si="30"/>
        <v>9.6280087527352301E-2</v>
      </c>
      <c r="H118" s="68">
        <f t="shared" si="30"/>
        <v>1.0638297872340425E-2</v>
      </c>
      <c r="I118" s="32">
        <f t="shared" si="30"/>
        <v>3.119623810069962E-2</v>
      </c>
      <c r="J118" s="32">
        <f t="shared" si="30"/>
        <v>0</v>
      </c>
      <c r="K118" s="34">
        <f t="shared" si="30"/>
        <v>0</v>
      </c>
      <c r="L118" s="34">
        <f t="shared" si="30"/>
        <v>0</v>
      </c>
      <c r="M118" s="34">
        <f t="shared" si="31"/>
        <v>0</v>
      </c>
      <c r="N118" s="266">
        <f t="shared" si="31"/>
        <v>0</v>
      </c>
      <c r="O118" s="198">
        <f t="shared" si="31"/>
        <v>0</v>
      </c>
      <c r="P118" s="32">
        <f t="shared" si="31"/>
        <v>0</v>
      </c>
      <c r="Q118" s="34">
        <f t="shared" si="31"/>
        <v>0</v>
      </c>
      <c r="R118" s="68">
        <f t="shared" si="31"/>
        <v>0</v>
      </c>
      <c r="S118" s="32">
        <f t="shared" si="31"/>
        <v>0</v>
      </c>
      <c r="T118" s="92"/>
      <c r="U118" s="114">
        <f>++GETPIVOTDATA(" Tot # Undes. New",'Counts Pivot Table'!$A$3,"State","VA","Category",1,"Category2","Four-Year")</f>
        <v>96</v>
      </c>
      <c r="V118" s="115">
        <f>+GETPIVOTDATA(" Tot # Undes. New",'Counts Pivot Table'!$A$3,"State","VA","Category",2,"Category2","Four-Year")</f>
        <v>131</v>
      </c>
      <c r="W118" s="115">
        <f>+GETPIVOTDATA(" Tot # Undes. New",'Counts Pivot Table'!$A$3,"State","VA","Category",3,"Category2","Four-Year")</f>
        <v>0</v>
      </c>
      <c r="X118" s="115">
        <f>+GETPIVOTDATA(" Tot # Undes. New",'Counts Pivot Table'!$A$3,"State","VA","Category",4,"Category2","Four-Year")</f>
        <v>0</v>
      </c>
      <c r="Y118" s="115">
        <f>+GETPIVOTDATA(" Tot # Undes. New",'Counts Pivot Table'!$A$3,"State","VA","Category",5,"Category2","Four-Year")</f>
        <v>44</v>
      </c>
      <c r="Z118" s="115">
        <f>+GETPIVOTDATA(" Tot # Undes. New",'Counts Pivot Table'!$A$3,"State","VA","Category",6,"Category2","Four-Year")</f>
        <v>1</v>
      </c>
      <c r="AA118" s="117">
        <f>+GETPIVOTDATA(" Tot # Undes. New",'Counts Pivot Table'!$A$3,"State","VA","Category2","Four-Year")</f>
        <v>272</v>
      </c>
      <c r="AB118" s="114">
        <f>+GETPIVOTDATA(" Tot # Undes. New",'Counts Pivot Table'!$A$3,"State","VA","Category",7,"Category2","Two-Year")</f>
        <v>0</v>
      </c>
      <c r="AC118" s="115">
        <f>+GETPIVOTDATA(" Tot # Undes. New",'Counts Pivot Table'!$A$3,"State","VA","Category",8,"Category2","Two-Year")</f>
        <v>0</v>
      </c>
      <c r="AD118" s="115">
        <f>+GETPIVOTDATA(" Tot # Undes. New",'Counts Pivot Table'!$A$3,"State","VA","Category",9,"Category2","Two-Year")</f>
        <v>0</v>
      </c>
      <c r="AE118" s="115">
        <f>+GETPIVOTDATA(" Tot # Undes. New",'Counts Pivot Table'!$A$3,"State","VA","Category",10,"Category2","Two-Year")</f>
        <v>0</v>
      </c>
      <c r="AF118" s="116">
        <f>+GETPIVOTDATA(" Tot # Undes. New",'Counts Pivot Table'!$A$3,"State","VA","Category",11,"Category2","Two-Year")</f>
        <v>0</v>
      </c>
      <c r="AG118" s="116">
        <f>+GETPIVOTDATA(" Tot # Undes. New",'Counts Pivot Table'!$A$3,"State","VA","Category2","Two-Year")</f>
        <v>0</v>
      </c>
      <c r="AH118" s="114">
        <f>+GETPIVOTDATA(" Tot # Undes. New",'Counts Pivot Table'!$A$3,"State","VA","Category",12,"Category2","Technical Institutes")</f>
        <v>0</v>
      </c>
      <c r="AI118" s="115">
        <f>+GETPIVOTDATA(" Tot # Undes. New",'Counts Pivot Table'!$A$3,"State","VA","Category",13,"Category2","Technical Institutes")</f>
        <v>0</v>
      </c>
      <c r="AJ118" s="116">
        <f>+GETPIVOTDATA(" Tot # Undes. New",'Counts Pivot Table'!$A$3,"State","VA","Category",14,"Category2","Technical Institutes")</f>
        <v>0</v>
      </c>
      <c r="AK118" s="114">
        <f>+GETPIVOTDATA(" Tot # Undes. New",'Counts Pivot Table'!$A$3,"State","VA","Category2","Technical Institutes")</f>
        <v>0</v>
      </c>
    </row>
    <row r="119" spans="1:39">
      <c r="A119" s="30"/>
      <c r="B119" s="38" t="s">
        <v>413</v>
      </c>
      <c r="C119" s="32">
        <f t="shared" si="30"/>
        <v>0</v>
      </c>
      <c r="D119" s="34">
        <f t="shared" si="30"/>
        <v>0</v>
      </c>
      <c r="E119" s="199">
        <f t="shared" si="30"/>
        <v>0</v>
      </c>
      <c r="F119" s="34">
        <f t="shared" si="30"/>
        <v>0</v>
      </c>
      <c r="G119" s="199">
        <f t="shared" si="30"/>
        <v>0</v>
      </c>
      <c r="H119" s="68">
        <f t="shared" si="30"/>
        <v>0</v>
      </c>
      <c r="I119" s="198">
        <f t="shared" si="30"/>
        <v>0</v>
      </c>
      <c r="J119" s="32">
        <f t="shared" si="30"/>
        <v>0</v>
      </c>
      <c r="K119" s="34">
        <f t="shared" si="30"/>
        <v>0</v>
      </c>
      <c r="L119" s="34">
        <f t="shared" si="30"/>
        <v>0</v>
      </c>
      <c r="M119" s="34">
        <f t="shared" si="31"/>
        <v>0</v>
      </c>
      <c r="N119" s="68">
        <f t="shared" si="31"/>
        <v>0</v>
      </c>
      <c r="O119" s="32">
        <f t="shared" si="31"/>
        <v>0</v>
      </c>
      <c r="P119" s="32">
        <f t="shared" si="31"/>
        <v>0</v>
      </c>
      <c r="Q119" s="34">
        <f t="shared" si="31"/>
        <v>0</v>
      </c>
      <c r="R119" s="68">
        <f t="shared" si="31"/>
        <v>0</v>
      </c>
      <c r="S119" s="32">
        <f t="shared" si="31"/>
        <v>0</v>
      </c>
      <c r="T119" s="92"/>
      <c r="U119" s="114">
        <f>+GETPIVOTDATA(" Tot # Single Rnk New",'Counts Pivot Table'!$A$3,"State","VA","Category",1,"Category2","Four-Year")</f>
        <v>0</v>
      </c>
      <c r="V119" s="115">
        <f>+GETPIVOTDATA(" Tot # Single Rnk New",'Counts Pivot Table'!$A$3,"State","VA","Category",2,"Category2","Four-Year")</f>
        <v>0</v>
      </c>
      <c r="W119" s="115">
        <f>+GETPIVOTDATA(" Tot # Single Rnk New",'Counts Pivot Table'!$A$3,"State","VA","Category",3,"Category2","Four-Year")</f>
        <v>0</v>
      </c>
      <c r="X119" s="115">
        <f>+GETPIVOTDATA(" Tot # Single Rnk New",'Counts Pivot Table'!$A$3,"State","VA","Category",4,"Category2","Four-Year")</f>
        <v>0</v>
      </c>
      <c r="Y119" s="115">
        <f>+GETPIVOTDATA(" Tot # Single Rnk New",'Counts Pivot Table'!$A$3,"State","VA","Category",5,"Category2","Four-Year")</f>
        <v>0</v>
      </c>
      <c r="Z119" s="115">
        <f>+GETPIVOTDATA(" Tot # Single Rnk New",'Counts Pivot Table'!$A$3,"State","VA","Category",6,"Category2","Four-Year")</f>
        <v>0</v>
      </c>
      <c r="AA119" s="117">
        <f>+GETPIVOTDATA(" Tot # Single Rnk New",'Counts Pivot Table'!$A$3,"State","VA","Category2","Four-Year")</f>
        <v>0</v>
      </c>
      <c r="AB119" s="114">
        <f>+GETPIVOTDATA(" Tot # Single Rnk New",'Counts Pivot Table'!$A$3,"State","VA","Category",7,"Category2","Two-Year")</f>
        <v>0</v>
      </c>
      <c r="AC119" s="115">
        <f>+GETPIVOTDATA(" Tot # Single Rnk New",'Counts Pivot Table'!$A$3,"State","VA","Category",8,"Category2","Two-Year")</f>
        <v>0</v>
      </c>
      <c r="AD119" s="115">
        <f>+GETPIVOTDATA(" Tot # Single Rnk New",'Counts Pivot Table'!$A$3,"State","VA","Category",9,"Category2","Two-Year")</f>
        <v>0</v>
      </c>
      <c r="AE119" s="115">
        <f>+GETPIVOTDATA(" Tot # Single Rnk New",'Counts Pivot Table'!$A$3,"State","VA","Category",10,"Category2","Two-Year")</f>
        <v>0</v>
      </c>
      <c r="AF119" s="116">
        <f>+GETPIVOTDATA(" Tot # Single Rnk New",'Counts Pivot Table'!$A$3,"State","VA","Category",11,"Category2","Two-Year")</f>
        <v>0</v>
      </c>
      <c r="AG119" s="116">
        <f>+GETPIVOTDATA(" Tot # Single Rnk New",'Counts Pivot Table'!$A$3,"State","VA","Category2","Two-Year")</f>
        <v>0</v>
      </c>
      <c r="AH119" s="114">
        <f>+GETPIVOTDATA(" Tot # Single Rnk New",'Counts Pivot Table'!$A$3,"State","VA","Category",12,"Category2","Technical Institutes")</f>
        <v>0</v>
      </c>
      <c r="AI119" s="115">
        <f>+GETPIVOTDATA(" Tot # Single Rnk New",'Counts Pivot Table'!$A$3,"State","VA","Category",13,"Category2","Technical Institutes")</f>
        <v>0</v>
      </c>
      <c r="AJ119" s="116">
        <f>+GETPIVOTDATA(" Tot # Single Rnk New",'Counts Pivot Table'!$A$3,"State","VA","Category",14,"Category2","Technical Institutes")</f>
        <v>0</v>
      </c>
      <c r="AK119" s="114">
        <f>+GETPIVOTDATA(" Tot # Single Rnk New",'Counts Pivot Table'!$A$3,"State","VA","Category2","Technical Institutes")</f>
        <v>0</v>
      </c>
    </row>
    <row r="120" spans="1:39" s="54" customFormat="1">
      <c r="A120" s="207"/>
      <c r="B120" s="208" t="s">
        <v>415</v>
      </c>
      <c r="C120" s="33">
        <f t="shared" si="30"/>
        <v>1</v>
      </c>
      <c r="D120" s="31">
        <f t="shared" si="30"/>
        <v>1</v>
      </c>
      <c r="E120" s="31">
        <f t="shared" si="30"/>
        <v>1</v>
      </c>
      <c r="F120" s="31">
        <f t="shared" si="30"/>
        <v>1</v>
      </c>
      <c r="G120" s="31">
        <f t="shared" si="30"/>
        <v>1</v>
      </c>
      <c r="H120" s="69">
        <f t="shared" si="30"/>
        <v>1</v>
      </c>
      <c r="I120" s="33">
        <f t="shared" si="30"/>
        <v>1</v>
      </c>
      <c r="J120" s="33">
        <f t="shared" si="30"/>
        <v>0</v>
      </c>
      <c r="K120" s="31">
        <f t="shared" si="30"/>
        <v>0</v>
      </c>
      <c r="L120" s="31">
        <f t="shared" si="30"/>
        <v>0</v>
      </c>
      <c r="M120" s="31">
        <f t="shared" si="31"/>
        <v>1</v>
      </c>
      <c r="N120" s="69">
        <f t="shared" si="31"/>
        <v>1</v>
      </c>
      <c r="O120" s="33">
        <f t="shared" si="31"/>
        <v>1</v>
      </c>
      <c r="P120" s="33">
        <f t="shared" si="31"/>
        <v>0</v>
      </c>
      <c r="Q120" s="31">
        <f t="shared" si="31"/>
        <v>0</v>
      </c>
      <c r="R120" s="69">
        <f t="shared" si="31"/>
        <v>0</v>
      </c>
      <c r="S120" s="33">
        <f t="shared" si="31"/>
        <v>0</v>
      </c>
      <c r="T120" s="93"/>
      <c r="U120" s="118">
        <f>+GETPIVOTDATA(" All Ranks # New",'Counts Pivot Table'!$A$3,"State","VA","Category",1,"Category2","Four-Year")</f>
        <v>3699</v>
      </c>
      <c r="V120" s="119">
        <f>+GETPIVOTDATA(" All Ranks # New",'Counts Pivot Table'!$A$3,"State","VA","Category",2,"Category2","Four-Year")</f>
        <v>2407</v>
      </c>
      <c r="W120" s="119">
        <f>+GETPIVOTDATA(" All Ranks # New",'Counts Pivot Table'!$A$3,"State","VA","Category",3,"Category2","Four-Year")</f>
        <v>1297</v>
      </c>
      <c r="X120" s="119">
        <f>+GETPIVOTDATA(" All Ranks # New",'Counts Pivot Table'!$A$3,"State","VA","Category",4,"Category2","Four-Year")</f>
        <v>765</v>
      </c>
      <c r="Y120" s="119">
        <f>+GETPIVOTDATA(" All Ranks # New",'Counts Pivot Table'!$A$3,"State","VA","Category",5,"Category2","Four-Year")</f>
        <v>457</v>
      </c>
      <c r="Z120" s="119">
        <f>+GETPIVOTDATA(" All Ranks # New",'Counts Pivot Table'!$A$3,"State","VA","Category",6,"Category2","Four-Year")</f>
        <v>94</v>
      </c>
      <c r="AA120" s="121">
        <f>+GETPIVOTDATA(" All Ranks # New",'Counts Pivot Table'!$A$3,"State","VA","Category2","Four-Year")</f>
        <v>8719</v>
      </c>
      <c r="AB120" s="118">
        <f>+GETPIVOTDATA(" All Ranks # New",'Counts Pivot Table'!$A$3,"State","VA","Category",7,"Category2","Two-Year")</f>
        <v>0</v>
      </c>
      <c r="AC120" s="119">
        <f>+GETPIVOTDATA(" All Ranks # New",'Counts Pivot Table'!$A$3,"State","VA","Category",8,"Category2","Two-Year")</f>
        <v>0</v>
      </c>
      <c r="AD120" s="119">
        <f>+GETPIVOTDATA(" All Ranks # New",'Counts Pivot Table'!$A$3,"State","VA","Category",9,"Category2","Two-Year")</f>
        <v>0</v>
      </c>
      <c r="AE120" s="119">
        <f>+GETPIVOTDATA(" All Ranks # New",'Counts Pivot Table'!$A$3,"State","VA","Category",10,"Category2","Two-Year")</f>
        <v>33</v>
      </c>
      <c r="AF120" s="120">
        <f>+GETPIVOTDATA(" All Ranks # New",'Counts Pivot Table'!$A$3,"State","VA","Category",11,"Category2","Two-Year")</f>
        <v>2172</v>
      </c>
      <c r="AG120" s="120">
        <f>+GETPIVOTDATA(" All Ranks # New",'Counts Pivot Table'!$A$3,"State","VA","Category2","Two-Year")</f>
        <v>2205</v>
      </c>
      <c r="AH120" s="118">
        <f>+GETPIVOTDATA(" All Ranks # New",'Counts Pivot Table'!$A$3,"State","VA","Category",12,"Category2","Technical Institutes")</f>
        <v>0</v>
      </c>
      <c r="AI120" s="119">
        <f>+GETPIVOTDATA(" All Ranks # New",'Counts Pivot Table'!$A$3,"State","VA","Category",13,"Category2","Technical Institutes")</f>
        <v>0</v>
      </c>
      <c r="AJ120" s="120">
        <f>+GETPIVOTDATA(" All Ranks # New",'Counts Pivot Table'!$A$3,"State","VA","Category",14,"Category2","Technical Institutes")</f>
        <v>0</v>
      </c>
      <c r="AK120" s="118">
        <f>+GETPIVOTDATA(" All Ranks # New",'Counts Pivot Table'!$A$3,"State","VA","Category2","Technical Institutes")</f>
        <v>0</v>
      </c>
      <c r="AL120" s="122"/>
      <c r="AM120" s="122"/>
    </row>
    <row r="121" spans="1:39">
      <c r="A121" s="38" t="s">
        <v>446</v>
      </c>
      <c r="B121" s="35" t="s">
        <v>435</v>
      </c>
      <c r="C121" s="36">
        <f t="shared" ref="C121:L127" si="32">IF(U$127&gt;0,(U121/U$127),0)</f>
        <v>0.32102908277404923</v>
      </c>
      <c r="D121" s="37">
        <f t="shared" si="32"/>
        <v>0</v>
      </c>
      <c r="E121" s="37">
        <f t="shared" si="32"/>
        <v>0.43073593073593075</v>
      </c>
      <c r="F121" s="37">
        <f t="shared" si="32"/>
        <v>0</v>
      </c>
      <c r="G121" s="37">
        <f t="shared" si="32"/>
        <v>0</v>
      </c>
      <c r="H121" s="67">
        <f t="shared" si="32"/>
        <v>0.24910179640718563</v>
      </c>
      <c r="I121" s="36">
        <f t="shared" si="32"/>
        <v>0.31675034230944776</v>
      </c>
      <c r="J121" s="36">
        <f t="shared" si="32"/>
        <v>0.35632183908045978</v>
      </c>
      <c r="K121" s="37">
        <f t="shared" si="32"/>
        <v>0</v>
      </c>
      <c r="L121" s="37">
        <f t="shared" si="32"/>
        <v>0.15</v>
      </c>
      <c r="M121" s="37">
        <f t="shared" ref="M121:S127" si="33">IF(AE$127&gt;0,(AE121/AE$127),0)</f>
        <v>0.22677595628415301</v>
      </c>
      <c r="N121" s="67">
        <f t="shared" si="33"/>
        <v>0</v>
      </c>
      <c r="O121" s="36">
        <f t="shared" si="33"/>
        <v>0.23976608187134502</v>
      </c>
      <c r="P121" s="164">
        <f t="shared" si="33"/>
        <v>0</v>
      </c>
      <c r="Q121" s="37">
        <f t="shared" si="33"/>
        <v>0</v>
      </c>
      <c r="R121" s="67">
        <f t="shared" si="33"/>
        <v>0</v>
      </c>
      <c r="S121" s="164">
        <f t="shared" si="33"/>
        <v>0</v>
      </c>
      <c r="T121" s="123"/>
      <c r="U121" s="110">
        <f>+GETPIVOTDATA(" Total # Prof New",'Counts Pivot Table'!$A$3,"State","WV","Category",1,"Category2","Four-Year")</f>
        <v>287</v>
      </c>
      <c r="V121" s="111">
        <f>+GETPIVOTDATA(" Total # Prof New",'Counts Pivot Table'!$A$3,"State","WV","Category",2,"Category2","Four-Year")</f>
        <v>0</v>
      </c>
      <c r="W121" s="111">
        <f>+GETPIVOTDATA(" Total # Prof New",'Counts Pivot Table'!$A$3,"State","WV","Category",3,"Category2","Four-Year")</f>
        <v>199</v>
      </c>
      <c r="X121" s="111">
        <f>+GETPIVOTDATA(" Total # Prof New",'Counts Pivot Table'!$A$3,"State","WV","Category",4,"Category2","Four-Year")</f>
        <v>0</v>
      </c>
      <c r="Y121" s="111">
        <f>+GETPIVOTDATA(" Total # Prof New",'Counts Pivot Table'!$A$3,"State","WV","Category",5,"Category2","Four-Year")</f>
        <v>0</v>
      </c>
      <c r="Z121" s="111">
        <f>+GETPIVOTDATA(" Total # Prof New",'Counts Pivot Table'!$A$3,"State","WV","Category",6,"Category2","Four-Year")</f>
        <v>208</v>
      </c>
      <c r="AA121" s="113">
        <f>+GETPIVOTDATA(" Total # Prof New",'Counts Pivot Table'!$A$3,"State","WV","Category2","Four-Year")</f>
        <v>694</v>
      </c>
      <c r="AB121" s="110">
        <f>+GETPIVOTDATA(" Total # Prof New",'Counts Pivot Table'!$A$3,"State","WV","Category",7,"Category2","Two-Year")</f>
        <v>31</v>
      </c>
      <c r="AC121" s="111">
        <f>+GETPIVOTDATA(" Total # Prof New",'Counts Pivot Table'!$A$3,"State","WV","Category",8,"Category2","Two-Year")</f>
        <v>0</v>
      </c>
      <c r="AD121" s="111">
        <f>+GETPIVOTDATA(" Total # Prof New",'Counts Pivot Table'!$A$3,"State","WV","Category",9,"Category2","Two-Year")</f>
        <v>9</v>
      </c>
      <c r="AE121" s="111">
        <f>+GETPIVOTDATA(" Total # Prof New",'Counts Pivot Table'!$A$3,"State","WV","Category",10,"Category2","Two-Year")</f>
        <v>83</v>
      </c>
      <c r="AF121" s="112">
        <f>+GETPIVOTDATA(" Total # Prof New",'Counts Pivot Table'!$A$3,"State","WV","Category",11,"Category2","Two-Year")</f>
        <v>0</v>
      </c>
      <c r="AG121" s="112">
        <f>+GETPIVOTDATA(" Total # Prof New",'Counts Pivot Table'!$A$3,"State","WV","Category2","Two-Year")</f>
        <v>123</v>
      </c>
      <c r="AH121" s="110">
        <f>+GETPIVOTDATA(" Total # Prof New",'Counts Pivot Table'!$A$3,"State","WV","Category",12,"Category2","Technical Institutes")</f>
        <v>0</v>
      </c>
      <c r="AI121" s="111">
        <f>+GETPIVOTDATA(" Total # Prof New",'Counts Pivot Table'!$A$3,"State","WV","Category",13,"Category2","Technical Institutes")</f>
        <v>0</v>
      </c>
      <c r="AJ121" s="112">
        <f>+GETPIVOTDATA(" Total # Prof New",'Counts Pivot Table'!$A$3,"State","WV","Category",14,"Category2","Technical Institutes")</f>
        <v>0</v>
      </c>
      <c r="AK121" s="110">
        <f>+GETPIVOTDATA(" Total # Prof New",'Counts Pivot Table'!$A$3,"State","WV","Category2","Technical Institutes")</f>
        <v>0</v>
      </c>
    </row>
    <row r="122" spans="1:39">
      <c r="A122" s="30"/>
      <c r="B122" s="38" t="s">
        <v>436</v>
      </c>
      <c r="C122" s="32">
        <f t="shared" si="32"/>
        <v>0.26174496644295303</v>
      </c>
      <c r="D122" s="34">
        <f t="shared" si="32"/>
        <v>0</v>
      </c>
      <c r="E122" s="34">
        <f t="shared" si="32"/>
        <v>0.24891774891774893</v>
      </c>
      <c r="F122" s="34">
        <f t="shared" si="32"/>
        <v>0</v>
      </c>
      <c r="G122" s="34">
        <f t="shared" si="32"/>
        <v>0</v>
      </c>
      <c r="H122" s="68">
        <f t="shared" si="32"/>
        <v>0.25748502994011974</v>
      </c>
      <c r="I122" s="32">
        <f t="shared" si="32"/>
        <v>0.25741670470104977</v>
      </c>
      <c r="J122" s="32">
        <f t="shared" si="32"/>
        <v>0.17241379310344829</v>
      </c>
      <c r="K122" s="34">
        <f t="shared" si="32"/>
        <v>0</v>
      </c>
      <c r="L122" s="34">
        <f t="shared" si="32"/>
        <v>8.3333333333333329E-2</v>
      </c>
      <c r="M122" s="34">
        <f t="shared" si="33"/>
        <v>0.13934426229508196</v>
      </c>
      <c r="N122" s="68">
        <f t="shared" si="33"/>
        <v>0</v>
      </c>
      <c r="O122" s="32">
        <f t="shared" si="33"/>
        <v>0.13840155945419103</v>
      </c>
      <c r="P122" s="32">
        <f t="shared" si="33"/>
        <v>0</v>
      </c>
      <c r="Q122" s="34">
        <f t="shared" si="33"/>
        <v>0</v>
      </c>
      <c r="R122" s="68">
        <f t="shared" si="33"/>
        <v>0</v>
      </c>
      <c r="S122" s="32">
        <f t="shared" si="33"/>
        <v>0</v>
      </c>
      <c r="T122" s="92"/>
      <c r="U122" s="114">
        <f>+GETPIVOTDATA(" Tot # Asc. Prof New",'Counts Pivot Table'!$A$3,"State","WV","Category",1,"Category2","Four-Year")</f>
        <v>234</v>
      </c>
      <c r="V122" s="115">
        <f>+GETPIVOTDATA(" Tot # Asc. Prof New",'Counts Pivot Table'!$A$3,"State","WV","Category",2,"Category2","Four-Year")</f>
        <v>0</v>
      </c>
      <c r="W122" s="115">
        <f>+GETPIVOTDATA(" Tot # Asc. Prof New",'Counts Pivot Table'!$A$3,"State","WV","Category",3,"Category2","Four-Year")</f>
        <v>115</v>
      </c>
      <c r="X122" s="115">
        <f>+GETPIVOTDATA(" Tot # Asc. Prof New",'Counts Pivot Table'!$A$3,"State","WV","Category",4,"Category2","Four-Year")</f>
        <v>0</v>
      </c>
      <c r="Y122" s="115">
        <f>+GETPIVOTDATA(" Tot # Asc. Prof New",'Counts Pivot Table'!$A$3,"State","WV","Category",5,"Category2","Four-Year")</f>
        <v>0</v>
      </c>
      <c r="Z122" s="115">
        <f>+GETPIVOTDATA(" Tot # Asc. Prof New",'Counts Pivot Table'!$A$3,"State","WV","Category",6,"Category2","Four-Year")</f>
        <v>215</v>
      </c>
      <c r="AA122" s="117">
        <f>+GETPIVOTDATA(" Tot # Asc. Prof New",'Counts Pivot Table'!$A$3,"State","WV","Category2","Four-Year")</f>
        <v>564</v>
      </c>
      <c r="AB122" s="114">
        <f>+GETPIVOTDATA(" Tot # Asc. Prof New",'Counts Pivot Table'!$A$3,"State","WV","Category",7,"Category2","Two-Year")</f>
        <v>15</v>
      </c>
      <c r="AC122" s="115">
        <f>+GETPIVOTDATA(" Tot # Asc. Prof New",'Counts Pivot Table'!$A$3,"State","WV","Category",8,"Category2","Two-Year")</f>
        <v>0</v>
      </c>
      <c r="AD122" s="115">
        <f>+GETPIVOTDATA(" Tot # Asc. Prof New",'Counts Pivot Table'!$A$3,"State","WV","Category",9,"Category2","Two-Year")</f>
        <v>5</v>
      </c>
      <c r="AE122" s="115">
        <f>+GETPIVOTDATA(" Tot # Asc. Prof New",'Counts Pivot Table'!$A$3,"State","WV","Category",10,"Category2","Two-Year")</f>
        <v>51</v>
      </c>
      <c r="AF122" s="116">
        <f>+GETPIVOTDATA(" Tot # Asc. Prof New",'Counts Pivot Table'!$A$3,"State","WV","Category",11,"Category2","Two-Year")</f>
        <v>0</v>
      </c>
      <c r="AG122" s="116">
        <f>+GETPIVOTDATA(" Tot # Asc. Prof New",'Counts Pivot Table'!$A$3,"State","WV","Category2","Two-Year")</f>
        <v>71</v>
      </c>
      <c r="AH122" s="114">
        <f>+GETPIVOTDATA(" Tot # Asc. Prof New",'Counts Pivot Table'!$A$3,"State","WV","Category",12,"Category2","Technical Institutes")</f>
        <v>0</v>
      </c>
      <c r="AI122" s="115">
        <f>+GETPIVOTDATA(" Tot # Asc. Prof New",'Counts Pivot Table'!$A$3,"State","WV","Category",13,"Category2","Technical Institutes")</f>
        <v>0</v>
      </c>
      <c r="AJ122" s="116">
        <f>+GETPIVOTDATA(" Tot # Asc. Prof New",'Counts Pivot Table'!$A$3,"State","WV","Category",14,"Category2","Technical Institutes")</f>
        <v>0</v>
      </c>
      <c r="AK122" s="114">
        <f>+GETPIVOTDATA(" Tot # Asc. Prof New",'Counts Pivot Table'!$A$3,"State","WV","Category2","Technical Institutes")</f>
        <v>0</v>
      </c>
    </row>
    <row r="123" spans="1:39">
      <c r="A123" s="30"/>
      <c r="B123" s="38" t="s">
        <v>437</v>
      </c>
      <c r="C123" s="32">
        <f t="shared" si="32"/>
        <v>0.34451901565995524</v>
      </c>
      <c r="D123" s="34">
        <f t="shared" si="32"/>
        <v>0</v>
      </c>
      <c r="E123" s="34">
        <f t="shared" si="32"/>
        <v>0.25974025974025972</v>
      </c>
      <c r="F123" s="34">
        <f t="shared" si="32"/>
        <v>0</v>
      </c>
      <c r="G123" s="34">
        <f t="shared" si="32"/>
        <v>0</v>
      </c>
      <c r="H123" s="68">
        <f t="shared" si="32"/>
        <v>0.35209580838323351</v>
      </c>
      <c r="I123" s="32">
        <f t="shared" si="32"/>
        <v>0.32952989502510271</v>
      </c>
      <c r="J123" s="32">
        <f t="shared" si="32"/>
        <v>0.14942528735632185</v>
      </c>
      <c r="K123" s="34">
        <f t="shared" si="32"/>
        <v>0</v>
      </c>
      <c r="L123" s="34">
        <f t="shared" si="32"/>
        <v>0.5</v>
      </c>
      <c r="M123" s="34">
        <f t="shared" si="33"/>
        <v>0.19945355191256831</v>
      </c>
      <c r="N123" s="68">
        <f t="shared" si="33"/>
        <v>0</v>
      </c>
      <c r="O123" s="32">
        <f t="shared" si="33"/>
        <v>0.22612085769980506</v>
      </c>
      <c r="P123" s="32">
        <f t="shared" si="33"/>
        <v>0</v>
      </c>
      <c r="Q123" s="34">
        <f t="shared" si="33"/>
        <v>0</v>
      </c>
      <c r="R123" s="68">
        <f t="shared" si="33"/>
        <v>0</v>
      </c>
      <c r="S123" s="32">
        <f t="shared" si="33"/>
        <v>0</v>
      </c>
      <c r="T123" s="92"/>
      <c r="U123" s="114">
        <f>+GETPIVOTDATA(" Tot # Ast. Prof New",'Counts Pivot Table'!$A$3,"State","WV","Category",1,"Category2","Four-Year")</f>
        <v>308</v>
      </c>
      <c r="V123" s="115">
        <f>+GETPIVOTDATA(" Tot # Ast. Prof New",'Counts Pivot Table'!$A$3,"State","WV","Category",2,"Category2","Four-Year")</f>
        <v>0</v>
      </c>
      <c r="W123" s="115">
        <f>+GETPIVOTDATA(" Tot # Ast. Prof New",'Counts Pivot Table'!$A$3,"State","WV","Category",3,"Category2","Four-Year")</f>
        <v>120</v>
      </c>
      <c r="X123" s="115">
        <f>+GETPIVOTDATA(" Tot # Ast. Prof New",'Counts Pivot Table'!$A$3,"State","WV","Category",4,"Category2","Four-Year")</f>
        <v>0</v>
      </c>
      <c r="Y123" s="115">
        <f>+GETPIVOTDATA(" Tot # Ast. Prof New",'Counts Pivot Table'!$A$3,"State","WV","Category",5,"Category2","Four-Year")</f>
        <v>0</v>
      </c>
      <c r="Z123" s="115">
        <f>+GETPIVOTDATA(" Tot # Ast. Prof New",'Counts Pivot Table'!$A$3,"State","WV","Category",6,"Category2","Four-Year")</f>
        <v>294</v>
      </c>
      <c r="AA123" s="117">
        <f>+GETPIVOTDATA(" Tot # Ast. Prof New",'Counts Pivot Table'!$A$3,"State","WV","Category2","Four-Year")</f>
        <v>722</v>
      </c>
      <c r="AB123" s="114">
        <f>+GETPIVOTDATA(" Tot # Ast. Prof New",'Counts Pivot Table'!$A$3,"State","WV","Category",7,"Category2","Two-Year")</f>
        <v>13</v>
      </c>
      <c r="AC123" s="115">
        <f>+GETPIVOTDATA(" Tot # Ast. Prof New",'Counts Pivot Table'!$A$3,"State","WV","Category",8,"Category2","Two-Year")</f>
        <v>0</v>
      </c>
      <c r="AD123" s="115">
        <f>+GETPIVOTDATA(" Tot # Ast. Prof New",'Counts Pivot Table'!$A$3,"State","WV","Category",9,"Category2","Two-Year")</f>
        <v>30</v>
      </c>
      <c r="AE123" s="115">
        <f>+GETPIVOTDATA(" Tot # Ast. Prof New",'Counts Pivot Table'!$A$3,"State","WV","Category",10,"Category2","Two-Year")</f>
        <v>73</v>
      </c>
      <c r="AF123" s="116">
        <f>+GETPIVOTDATA(" Tot # Ast. Prof New",'Counts Pivot Table'!$A$3,"State","WV","Category",11,"Category2","Two-Year")</f>
        <v>0</v>
      </c>
      <c r="AG123" s="116">
        <f>+GETPIVOTDATA(" Tot # Ast. Prof New",'Counts Pivot Table'!$A$3,"State","WV","Category2","Two-Year")</f>
        <v>116</v>
      </c>
      <c r="AH123" s="114">
        <f>+GETPIVOTDATA(" Tot # Ast. Prof New",'Counts Pivot Table'!$A$3,"State","WV","Category",12,"Category2","Technical Institutes")</f>
        <v>0</v>
      </c>
      <c r="AI123" s="115">
        <f>+GETPIVOTDATA(" Tot # Ast. Prof New",'Counts Pivot Table'!$A$3,"State","WV","Category",13,"Category2","Technical Institutes")</f>
        <v>0</v>
      </c>
      <c r="AJ123" s="116">
        <f>+GETPIVOTDATA(" Tot # Ast. Prof New",'Counts Pivot Table'!$A$3,"State","WV","Category",14,"Category2","Technical Institutes")</f>
        <v>0</v>
      </c>
      <c r="AK123" s="114">
        <f>+GETPIVOTDATA(" Tot # Ast. Prof New",'Counts Pivot Table'!$A$3,"State","WV","Category2","Technical Institutes")</f>
        <v>0</v>
      </c>
    </row>
    <row r="124" spans="1:39">
      <c r="A124" s="30"/>
      <c r="B124" s="38" t="s">
        <v>438</v>
      </c>
      <c r="C124" s="32">
        <f t="shared" si="32"/>
        <v>4.6979865771812082E-2</v>
      </c>
      <c r="D124" s="34">
        <f t="shared" si="32"/>
        <v>0</v>
      </c>
      <c r="E124" s="34">
        <f t="shared" si="32"/>
        <v>6.0606060606060608E-2</v>
      </c>
      <c r="F124" s="34">
        <f t="shared" si="32"/>
        <v>0</v>
      </c>
      <c r="G124" s="34">
        <f t="shared" si="32"/>
        <v>0</v>
      </c>
      <c r="H124" s="68">
        <f t="shared" si="32"/>
        <v>0.10538922155688622</v>
      </c>
      <c r="I124" s="32">
        <f t="shared" si="32"/>
        <v>7.2113190324052945E-2</v>
      </c>
      <c r="J124" s="32">
        <f t="shared" si="32"/>
        <v>0.32183908045977011</v>
      </c>
      <c r="K124" s="34">
        <f t="shared" si="32"/>
        <v>0</v>
      </c>
      <c r="L124" s="34">
        <f t="shared" si="32"/>
        <v>0.16666666666666666</v>
      </c>
      <c r="M124" s="34">
        <f t="shared" si="33"/>
        <v>0.37431693989071041</v>
      </c>
      <c r="N124" s="68">
        <f t="shared" si="33"/>
        <v>0</v>
      </c>
      <c r="O124" s="32">
        <f t="shared" si="33"/>
        <v>0.34113060428849901</v>
      </c>
      <c r="P124" s="32">
        <f t="shared" si="33"/>
        <v>0</v>
      </c>
      <c r="Q124" s="34">
        <f t="shared" si="33"/>
        <v>0</v>
      </c>
      <c r="R124" s="68">
        <f t="shared" si="33"/>
        <v>0</v>
      </c>
      <c r="S124" s="32">
        <f t="shared" si="33"/>
        <v>0</v>
      </c>
      <c r="T124" s="92"/>
      <c r="U124" s="114">
        <f>+GETPIVOTDATA(" Tot # Instr. New",'Counts Pivot Table'!$A$3,"State","WV","Category",1,"Category2","Four-Year")</f>
        <v>42</v>
      </c>
      <c r="V124" s="115">
        <f>+GETPIVOTDATA(" Tot # Instr. New",'Counts Pivot Table'!$A$3,"State","WV","Category",2,"Category2","Four-Year")</f>
        <v>0</v>
      </c>
      <c r="W124" s="115">
        <f>+GETPIVOTDATA(" Tot # Instr. New",'Counts Pivot Table'!$A$3,"State","WV","Category",3,"Category2","Four-Year")</f>
        <v>28</v>
      </c>
      <c r="X124" s="115">
        <f>+GETPIVOTDATA(" Tot # Instr. New",'Counts Pivot Table'!$A$3,"State","WV","Category",4,"Category2","Four-Year")</f>
        <v>0</v>
      </c>
      <c r="Y124" s="115">
        <f>+GETPIVOTDATA(" Tot # Instr. New",'Counts Pivot Table'!$A$3,"State","WV","Category",5,"Category2","Four-Year")</f>
        <v>0</v>
      </c>
      <c r="Z124" s="115">
        <f>+GETPIVOTDATA(" Tot # Instr. New",'Counts Pivot Table'!$A$3,"State","WV","Category",6,"Category2","Four-Year")</f>
        <v>88</v>
      </c>
      <c r="AA124" s="117">
        <f>+GETPIVOTDATA(" Tot # Instr. New",'Counts Pivot Table'!$A$3,"State","WV","Category2","Four-Year")</f>
        <v>158</v>
      </c>
      <c r="AB124" s="114">
        <f>+GETPIVOTDATA(" Tot # Instr. New",'Counts Pivot Table'!$A$3,"State","WV","Category",7,"Category2","Two-Year")</f>
        <v>28</v>
      </c>
      <c r="AC124" s="115">
        <f>+GETPIVOTDATA(" Tot # Instr. New",'Counts Pivot Table'!$A$3,"State","WV","Category",8,"Category2","Two-Year")</f>
        <v>0</v>
      </c>
      <c r="AD124" s="115">
        <f>+GETPIVOTDATA(" Tot # Instr. New",'Counts Pivot Table'!$A$3,"State","WV","Category",9,"Category2","Two-Year")</f>
        <v>10</v>
      </c>
      <c r="AE124" s="115">
        <f>+GETPIVOTDATA(" Tot # Instr. New",'Counts Pivot Table'!$A$3,"State","WV","Category",10,"Category2","Two-Year")</f>
        <v>137</v>
      </c>
      <c r="AF124" s="116">
        <f>+GETPIVOTDATA(" Tot # Instr. New",'Counts Pivot Table'!$A$3,"State","WV","Category",11,"Category2","Two-Year")</f>
        <v>0</v>
      </c>
      <c r="AG124" s="116">
        <f>+GETPIVOTDATA(" Tot # Instr. New",'Counts Pivot Table'!$A$3,"State","WV","Category2","Two-Year")</f>
        <v>175</v>
      </c>
      <c r="AH124" s="114">
        <f>+GETPIVOTDATA(" Tot # Instr. New",'Counts Pivot Table'!$A$3,"State","WV","Category",12,"Category2","Technical Institutes")</f>
        <v>0</v>
      </c>
      <c r="AI124" s="115">
        <f>+GETPIVOTDATA(" Tot # Instr. New",'Counts Pivot Table'!$A$3,"State","WV","Category",13,"Category2","Technical Institutes")</f>
        <v>0</v>
      </c>
      <c r="AJ124" s="116">
        <f>+GETPIVOTDATA(" Tot # Instr. New",'Counts Pivot Table'!$A$3,"State","WV","Category",14,"Category2","Technical Institutes")</f>
        <v>0</v>
      </c>
      <c r="AK124" s="114">
        <f>+GETPIVOTDATA(" Tot # Instr. New",'Counts Pivot Table'!$A$3,"State","WV","Category2","Technical Institutes")</f>
        <v>0</v>
      </c>
    </row>
    <row r="125" spans="1:39">
      <c r="A125" s="30"/>
      <c r="B125" s="38" t="s">
        <v>414</v>
      </c>
      <c r="C125" s="32">
        <f t="shared" si="32"/>
        <v>2.5727069351230425E-2</v>
      </c>
      <c r="D125" s="34">
        <f t="shared" si="32"/>
        <v>0</v>
      </c>
      <c r="E125" s="34">
        <f t="shared" si="32"/>
        <v>0</v>
      </c>
      <c r="F125" s="34">
        <f t="shared" si="32"/>
        <v>0</v>
      </c>
      <c r="G125" s="34">
        <f t="shared" si="32"/>
        <v>0</v>
      </c>
      <c r="H125" s="68">
        <f t="shared" si="32"/>
        <v>3.5928143712574849E-2</v>
      </c>
      <c r="I125" s="32">
        <f t="shared" si="32"/>
        <v>2.4189867640346873E-2</v>
      </c>
      <c r="J125" s="32">
        <f t="shared" si="32"/>
        <v>0</v>
      </c>
      <c r="K125" s="34">
        <f t="shared" si="32"/>
        <v>0</v>
      </c>
      <c r="L125" s="34">
        <f t="shared" si="32"/>
        <v>0.1</v>
      </c>
      <c r="M125" s="34">
        <f t="shared" si="33"/>
        <v>6.0109289617486336E-2</v>
      </c>
      <c r="N125" s="124">
        <f t="shared" si="33"/>
        <v>0</v>
      </c>
      <c r="O125" s="32">
        <f t="shared" si="33"/>
        <v>5.4580896686159841E-2</v>
      </c>
      <c r="P125" s="32">
        <f t="shared" si="33"/>
        <v>0</v>
      </c>
      <c r="Q125" s="34">
        <f t="shared" si="33"/>
        <v>0</v>
      </c>
      <c r="R125" s="68">
        <f t="shared" si="33"/>
        <v>0</v>
      </c>
      <c r="S125" s="32">
        <f t="shared" si="33"/>
        <v>0</v>
      </c>
      <c r="T125" s="92"/>
      <c r="U125" s="114">
        <f>++GETPIVOTDATA(" Tot # Undes. New",'Counts Pivot Table'!$A$3,"State","WV","Category",1,"Category2","Four-Year")</f>
        <v>23</v>
      </c>
      <c r="V125" s="115">
        <f>+GETPIVOTDATA(" Tot # Undes. New",'Counts Pivot Table'!$A$3,"State","WV","Category",2,"Category2","Four-Year")</f>
        <v>0</v>
      </c>
      <c r="W125" s="115">
        <f>+GETPIVOTDATA(" Tot # Undes. New",'Counts Pivot Table'!$A$3,"State","WV","Category",3,"Category2","Four-Year")</f>
        <v>0</v>
      </c>
      <c r="X125" s="115">
        <f>+GETPIVOTDATA(" Tot # Undes. New",'Counts Pivot Table'!$A$3,"State","WV","Category",4,"Category2","Four-Year")</f>
        <v>0</v>
      </c>
      <c r="Y125" s="115">
        <f>+GETPIVOTDATA(" Tot # Undes. New",'Counts Pivot Table'!$A$3,"State","WV","Category",5,"Category2","Four-Year")</f>
        <v>0</v>
      </c>
      <c r="Z125" s="115">
        <f>+GETPIVOTDATA(" Tot # Undes. New",'Counts Pivot Table'!$A$3,"State","WV","Category",6,"Category2","Four-Year")</f>
        <v>30</v>
      </c>
      <c r="AA125" s="117">
        <f>+GETPIVOTDATA(" Tot # Undes. New",'Counts Pivot Table'!$A$3,"State","WV","Category2","Four-Year")</f>
        <v>53</v>
      </c>
      <c r="AB125" s="114">
        <f>+GETPIVOTDATA(" Tot # Undes. New",'Counts Pivot Table'!$A$3,"State","WV","Category",7,"Category2","Two-Year")</f>
        <v>0</v>
      </c>
      <c r="AC125" s="115">
        <f>+GETPIVOTDATA(" Tot # Undes. New",'Counts Pivot Table'!$A$3,"State","WV","Category",8,"Category2","Two-Year")</f>
        <v>0</v>
      </c>
      <c r="AD125" s="115">
        <f>+GETPIVOTDATA(" Tot # Undes. New",'Counts Pivot Table'!$A$3,"State","WV","Category",9,"Category2","Two-Year")</f>
        <v>6</v>
      </c>
      <c r="AE125" s="115">
        <f>+GETPIVOTDATA(" Tot # Undes. New",'Counts Pivot Table'!$A$3,"State","WV","Category",10,"Category2","Two-Year")</f>
        <v>22</v>
      </c>
      <c r="AF125" s="116">
        <f>+GETPIVOTDATA(" Tot # Undes. New",'Counts Pivot Table'!$A$3,"State","WV","Category",11,"Category2","Two-Year")</f>
        <v>0</v>
      </c>
      <c r="AG125" s="116">
        <f>+GETPIVOTDATA(" Tot # Undes. New",'Counts Pivot Table'!$A$3,"State","WV","Category2","Two-Year")</f>
        <v>28</v>
      </c>
      <c r="AH125" s="114">
        <f>+GETPIVOTDATA(" Tot # Undes. New",'Counts Pivot Table'!$A$3,"State","WV","Category",12,"Category2","Technical Institutes")</f>
        <v>0</v>
      </c>
      <c r="AI125" s="115">
        <f>+GETPIVOTDATA(" Tot # Undes. New",'Counts Pivot Table'!$A$3,"State","WV","Category",13,"Category2","Technical Institutes")</f>
        <v>0</v>
      </c>
      <c r="AJ125" s="116">
        <f>+GETPIVOTDATA(" Tot # Undes. New",'Counts Pivot Table'!$A$3,"State","WV","Category",14,"Category2","Technical Institutes")</f>
        <v>0</v>
      </c>
      <c r="AK125" s="114">
        <f>+GETPIVOTDATA(" Tot # Undes. New",'Counts Pivot Table'!$A$3,"State","WV","Category2","Technical Institutes")</f>
        <v>0</v>
      </c>
    </row>
    <row r="126" spans="1:39">
      <c r="A126" s="30"/>
      <c r="B126" s="38" t="s">
        <v>413</v>
      </c>
      <c r="C126" s="32">
        <f t="shared" si="32"/>
        <v>0</v>
      </c>
      <c r="D126" s="34">
        <f t="shared" si="32"/>
        <v>0</v>
      </c>
      <c r="E126" s="199">
        <f t="shared" si="32"/>
        <v>0</v>
      </c>
      <c r="F126" s="34">
        <f t="shared" si="32"/>
        <v>0</v>
      </c>
      <c r="G126" s="199">
        <f t="shared" si="32"/>
        <v>0</v>
      </c>
      <c r="H126" s="68">
        <f t="shared" si="32"/>
        <v>0</v>
      </c>
      <c r="I126" s="198">
        <f t="shared" si="32"/>
        <v>0</v>
      </c>
      <c r="J126" s="32">
        <f t="shared" si="32"/>
        <v>0</v>
      </c>
      <c r="K126" s="34">
        <f t="shared" si="32"/>
        <v>0</v>
      </c>
      <c r="L126" s="34">
        <f t="shared" si="32"/>
        <v>0</v>
      </c>
      <c r="M126" s="34">
        <f t="shared" si="33"/>
        <v>0</v>
      </c>
      <c r="N126" s="68">
        <f t="shared" si="33"/>
        <v>0</v>
      </c>
      <c r="O126" s="32">
        <f t="shared" si="33"/>
        <v>0</v>
      </c>
      <c r="P126" s="32">
        <f t="shared" si="33"/>
        <v>0</v>
      </c>
      <c r="Q126" s="34">
        <f t="shared" si="33"/>
        <v>0</v>
      </c>
      <c r="R126" s="68">
        <f t="shared" si="33"/>
        <v>0</v>
      </c>
      <c r="S126" s="32">
        <f t="shared" si="33"/>
        <v>0</v>
      </c>
      <c r="T126" s="92"/>
      <c r="U126" s="114">
        <f>+GETPIVOTDATA(" Tot # Single Rnk New",'Counts Pivot Table'!$A$3,"State","WV","Category",1,"Category2","Four-Year")</f>
        <v>0</v>
      </c>
      <c r="V126" s="115">
        <f>+GETPIVOTDATA(" Tot # Single Rnk New",'Counts Pivot Table'!$A$3,"State","WV","Category",2,"Category2","Four-Year")</f>
        <v>0</v>
      </c>
      <c r="W126" s="115">
        <f>+GETPIVOTDATA(" Tot # Single Rnk New",'Counts Pivot Table'!$A$3,"State","WV","Category",3,"Category2","Four-Year")</f>
        <v>0</v>
      </c>
      <c r="X126" s="115">
        <f>+GETPIVOTDATA(" Tot # Single Rnk New",'Counts Pivot Table'!$A$3,"State","WV","Category",4,"Category2","Four-Year")</f>
        <v>0</v>
      </c>
      <c r="Y126" s="115">
        <f>+GETPIVOTDATA(" Tot # Single Rnk New",'Counts Pivot Table'!$A$3,"State","WV","Category",5,"Category2","Four-Year")</f>
        <v>0</v>
      </c>
      <c r="Z126" s="115">
        <f>+GETPIVOTDATA(" Tot # Single Rnk New",'Counts Pivot Table'!$A$3,"State","WV","Category",6,"Category2","Four-Year")</f>
        <v>0</v>
      </c>
      <c r="AA126" s="117">
        <f>+GETPIVOTDATA(" Tot # Single Rnk New",'Counts Pivot Table'!$A$3,"State","WV","Category2","Four-Year")</f>
        <v>0</v>
      </c>
      <c r="AB126" s="114">
        <f>+GETPIVOTDATA(" Tot # Single Rnk New",'Counts Pivot Table'!$A$3,"State","WV","Category",7,"Category2","Two-Year")</f>
        <v>0</v>
      </c>
      <c r="AC126" s="115">
        <f>+GETPIVOTDATA(" Tot # Single Rnk New",'Counts Pivot Table'!$A$3,"State","WV","Category",8,"Category2","Two-Year")</f>
        <v>0</v>
      </c>
      <c r="AD126" s="115">
        <f>+GETPIVOTDATA(" Tot # Single Rnk New",'Counts Pivot Table'!$A$3,"State","WV","Category",9,"Category2","Two-Year")</f>
        <v>0</v>
      </c>
      <c r="AE126" s="115">
        <f>+GETPIVOTDATA(" Tot # Single Rnk New",'Counts Pivot Table'!$A$3,"State","WV","Category",10,"Category2","Two-Year")</f>
        <v>0</v>
      </c>
      <c r="AF126" s="116">
        <f>+GETPIVOTDATA(" Tot # Single Rnk New",'Counts Pivot Table'!$A$3,"State","WV","Category",11,"Category2","Two-Year")</f>
        <v>0</v>
      </c>
      <c r="AG126" s="116">
        <f>+GETPIVOTDATA(" Tot # Single Rnk New",'Counts Pivot Table'!$A$3,"State","WV","Category2","Two-Year")</f>
        <v>0</v>
      </c>
      <c r="AH126" s="114">
        <f>+GETPIVOTDATA(" Tot # Single Rnk New",'Counts Pivot Table'!$A$3,"State","WV","Category",12,"Category2","Technical Institutes")</f>
        <v>0</v>
      </c>
      <c r="AI126" s="115">
        <f>+GETPIVOTDATA(" Tot # Single Rnk New",'Counts Pivot Table'!$A$3,"State","WV","Category",13,"Category2","Technical Institutes")</f>
        <v>0</v>
      </c>
      <c r="AJ126" s="116">
        <f>+GETPIVOTDATA(" Tot # Single Rnk New",'Counts Pivot Table'!$A$3,"State","WV","Category",14,"Category2","Technical Institutes")</f>
        <v>0</v>
      </c>
      <c r="AK126" s="114">
        <f>+GETPIVOTDATA(" Tot # Single Rnk New",'Counts Pivot Table'!$A$3,"State","WV","Category2","Technical Institutes")</f>
        <v>0</v>
      </c>
    </row>
    <row r="127" spans="1:39" s="54" customFormat="1">
      <c r="A127" s="207"/>
      <c r="B127" s="208" t="s">
        <v>415</v>
      </c>
      <c r="C127" s="33">
        <f t="shared" si="32"/>
        <v>1</v>
      </c>
      <c r="D127" s="31">
        <f t="shared" si="32"/>
        <v>0</v>
      </c>
      <c r="E127" s="31">
        <f t="shared" si="32"/>
        <v>1</v>
      </c>
      <c r="F127" s="31">
        <f t="shared" si="32"/>
        <v>0</v>
      </c>
      <c r="G127" s="31">
        <f t="shared" si="32"/>
        <v>0</v>
      </c>
      <c r="H127" s="69">
        <f t="shared" si="32"/>
        <v>1</v>
      </c>
      <c r="I127" s="33">
        <f t="shared" si="32"/>
        <v>1</v>
      </c>
      <c r="J127" s="33">
        <f t="shared" si="32"/>
        <v>1</v>
      </c>
      <c r="K127" s="31">
        <f t="shared" si="32"/>
        <v>0</v>
      </c>
      <c r="L127" s="31">
        <f t="shared" si="32"/>
        <v>1</v>
      </c>
      <c r="M127" s="31">
        <f t="shared" si="33"/>
        <v>1</v>
      </c>
      <c r="N127" s="69">
        <f t="shared" si="33"/>
        <v>0</v>
      </c>
      <c r="O127" s="33">
        <f t="shared" si="33"/>
        <v>1</v>
      </c>
      <c r="P127" s="33">
        <f t="shared" si="33"/>
        <v>0</v>
      </c>
      <c r="Q127" s="31">
        <f t="shared" si="33"/>
        <v>0</v>
      </c>
      <c r="R127" s="69">
        <f t="shared" si="33"/>
        <v>0</v>
      </c>
      <c r="S127" s="33">
        <f t="shared" si="33"/>
        <v>0</v>
      </c>
      <c r="T127" s="93"/>
      <c r="U127" s="118">
        <f>+GETPIVOTDATA(" All Ranks # New",'Counts Pivot Table'!$A$3,"State","WV","Category",1,"Category2","Four-Year")</f>
        <v>894</v>
      </c>
      <c r="V127" s="119">
        <f>+GETPIVOTDATA(" All Ranks # New",'Counts Pivot Table'!$A$3,"State","WV","Category",2,"Category2","Four-Year")</f>
        <v>0</v>
      </c>
      <c r="W127" s="119">
        <f>+GETPIVOTDATA(" All Ranks # New",'Counts Pivot Table'!$A$3,"State","WV","Category",3,"Category2","Four-Year")</f>
        <v>462</v>
      </c>
      <c r="X127" s="119">
        <f>+GETPIVOTDATA(" All Ranks # New",'Counts Pivot Table'!$A$3,"State","WV","Category",4,"Category2","Four-Year")</f>
        <v>0</v>
      </c>
      <c r="Y127" s="119">
        <f>+GETPIVOTDATA(" All Ranks # New",'Counts Pivot Table'!$A$3,"State","WV","Category",5,"Category2","Four-Year")</f>
        <v>0</v>
      </c>
      <c r="Z127" s="119">
        <f>+GETPIVOTDATA(" All Ranks # New",'Counts Pivot Table'!$A$3,"State","WV","Category",6,"Category2","Four-Year")</f>
        <v>835</v>
      </c>
      <c r="AA127" s="121">
        <f>+GETPIVOTDATA(" All Ranks # New",'Counts Pivot Table'!$A$3,"State","WV","Category2","Four-Year")</f>
        <v>2191</v>
      </c>
      <c r="AB127" s="118">
        <f>+GETPIVOTDATA(" All Ranks # New",'Counts Pivot Table'!$A$3,"State","WV","Category",7,"Category2","Two-Year")</f>
        <v>87</v>
      </c>
      <c r="AC127" s="119">
        <f>+GETPIVOTDATA(" All Ranks # New",'Counts Pivot Table'!$A$3,"State","WV","Category",8,"Category2","Two-Year")</f>
        <v>0</v>
      </c>
      <c r="AD127" s="119">
        <f>+GETPIVOTDATA(" All Ranks # New",'Counts Pivot Table'!$A$3,"State","WV","Category",9,"Category2","Two-Year")</f>
        <v>60</v>
      </c>
      <c r="AE127" s="119">
        <f>+GETPIVOTDATA(" All Ranks # New",'Counts Pivot Table'!$A$3,"State","WV","Category",10,"Category2","Two-Year")</f>
        <v>366</v>
      </c>
      <c r="AF127" s="120">
        <f>+GETPIVOTDATA(" All Ranks # New",'Counts Pivot Table'!$A$3,"State","WV","Category",11,"Category2","Two-Year")</f>
        <v>0</v>
      </c>
      <c r="AG127" s="120">
        <f>+GETPIVOTDATA(" All Ranks # New",'Counts Pivot Table'!$A$3,"State","WV","Category2","Two-Year")</f>
        <v>513</v>
      </c>
      <c r="AH127" s="118">
        <f>+GETPIVOTDATA(" All Ranks # New",'Counts Pivot Table'!$A$3,"State","WV","Category",12,"Category2","Technical Institutes")</f>
        <v>0</v>
      </c>
      <c r="AI127" s="119">
        <f>+GETPIVOTDATA(" All Ranks # New",'Counts Pivot Table'!$A$3,"State","WV","Category",13,"Category2","Technical Institutes")</f>
        <v>0</v>
      </c>
      <c r="AJ127" s="120">
        <f>+GETPIVOTDATA(" All Ranks # New",'Counts Pivot Table'!$A$3,"State","WV","Category",14,"Category2","Technical Institutes")</f>
        <v>0</v>
      </c>
      <c r="AK127" s="118">
        <f>+GETPIVOTDATA(" All Ranks # New",'Counts Pivot Table'!$A$3,"State","WV","Category2","Technical Institutes")</f>
        <v>0</v>
      </c>
      <c r="AL127" s="122"/>
      <c r="AM127" s="122"/>
    </row>
  </sheetData>
  <phoneticPr fontId="15" type="noConversion"/>
  <printOptions horizontalCentered="1"/>
  <pageMargins left="0.5" right="0.5" top="1" bottom="0.75" header="0.75" footer="0.5"/>
  <pageSetup firstPageNumber="153" orientation="landscape" useFirstPageNumber="1" r:id="rId1"/>
  <headerFooter alignWithMargins="0">
    <oddHeader>&amp;R&amp;"Arial,Regular"&amp;8SREB-State Data Exchange</oddHeader>
    <oddFooter>&amp;C&amp;"Arial,Regular"&amp;10&amp;P&amp;R&amp;"Arial,Regular"&amp;8December 2009</oddFooter>
  </headerFooter>
  <rowBreaks count="5" manualBreakCount="5">
    <brk id="29" max="18" man="1"/>
    <brk id="50" max="18" man="1"/>
    <brk id="71" max="18" man="1"/>
    <brk id="92" max="18" man="1"/>
    <brk id="113" max="18" man="1"/>
  </rowBreaks>
</worksheet>
</file>

<file path=xl/worksheets/sheet5.xml><?xml version="1.0" encoding="utf-8"?>
<worksheet xmlns="http://schemas.openxmlformats.org/spreadsheetml/2006/main" xmlns:r="http://schemas.openxmlformats.org/officeDocument/2006/relationships">
  <sheetPr enableFormatConditionsCalculation="0">
    <tabColor indexed="17"/>
  </sheetPr>
  <dimension ref="A1:S363"/>
  <sheetViews>
    <sheetView showGridLines="0" showZeros="0" zoomScale="80" zoomScaleNormal="80" zoomScaleSheetLayoutView="80" workbookViewId="0">
      <pane xSplit="2" ySplit="5" topLeftCell="C60" activePane="bottomRight" state="frozen"/>
      <selection pane="topRight" activeCell="C1" sqref="C1"/>
      <selection pane="bottomLeft" activeCell="A6" sqref="A6"/>
      <selection pane="bottomRight" sqref="A1:XFD1048576"/>
    </sheetView>
  </sheetViews>
  <sheetFormatPr defaultRowHeight="15.75"/>
  <sheetData>
    <row r="1" spans="1:19">
      <c r="A1" s="468"/>
      <c r="B1" s="74"/>
      <c r="C1" s="159"/>
      <c r="D1" s="159"/>
      <c r="E1" s="155"/>
      <c r="F1" s="155"/>
      <c r="G1" s="155"/>
      <c r="H1" s="155"/>
      <c r="I1" s="155"/>
      <c r="J1" s="155"/>
      <c r="K1" s="155"/>
      <c r="L1" s="155"/>
      <c r="M1" s="155"/>
      <c r="N1" s="155"/>
      <c r="O1" s="155"/>
      <c r="P1" s="155"/>
      <c r="Q1" s="155"/>
      <c r="R1" s="155"/>
      <c r="S1" s="155"/>
    </row>
    <row r="2" spans="1:19">
      <c r="A2" s="472"/>
      <c r="B2" s="74"/>
      <c r="C2" s="159"/>
      <c r="D2" s="159"/>
      <c r="E2" s="155"/>
      <c r="F2" s="155"/>
      <c r="G2" s="155"/>
      <c r="H2" s="155"/>
      <c r="I2" s="155"/>
      <c r="J2" s="155"/>
      <c r="K2" s="155"/>
      <c r="L2" s="155"/>
      <c r="M2" s="155"/>
      <c r="N2" s="155"/>
      <c r="O2" s="155"/>
      <c r="P2" s="155"/>
      <c r="Q2" s="155"/>
      <c r="R2" s="155"/>
      <c r="S2" s="155"/>
    </row>
    <row r="3" spans="1:19">
      <c r="A3" s="469"/>
      <c r="B3" s="78"/>
      <c r="C3" s="77" t="s">
        <v>386</v>
      </c>
      <c r="D3" s="78" t="s">
        <v>430</v>
      </c>
      <c r="E3" s="78"/>
      <c r="F3" s="78"/>
      <c r="G3" s="78"/>
      <c r="H3" s="78"/>
      <c r="I3" s="78"/>
      <c r="J3" s="78"/>
      <c r="K3" s="78"/>
      <c r="L3" s="78"/>
      <c r="M3" s="78"/>
      <c r="N3" s="78"/>
      <c r="O3" s="78"/>
      <c r="P3" s="78"/>
      <c r="Q3" s="78"/>
      <c r="R3" s="78"/>
      <c r="S3" s="202"/>
    </row>
    <row r="4" spans="1:19">
      <c r="A4" s="482"/>
      <c r="B4" s="483"/>
      <c r="C4" s="484" t="s">
        <v>417</v>
      </c>
      <c r="D4" s="483"/>
      <c r="E4" s="483"/>
      <c r="F4" s="483"/>
      <c r="G4" s="483"/>
      <c r="H4" s="483"/>
      <c r="I4" s="484" t="s">
        <v>529</v>
      </c>
      <c r="J4" s="484" t="s">
        <v>418</v>
      </c>
      <c r="K4" s="483"/>
      <c r="L4" s="483"/>
      <c r="M4" s="483"/>
      <c r="N4" s="483"/>
      <c r="O4" s="484" t="s">
        <v>529</v>
      </c>
      <c r="P4" s="484" t="s">
        <v>387</v>
      </c>
      <c r="Q4" s="483"/>
      <c r="R4" s="483"/>
      <c r="S4" s="485" t="s">
        <v>529</v>
      </c>
    </row>
    <row r="5" spans="1:19">
      <c r="A5" s="469" t="s">
        <v>433</v>
      </c>
      <c r="B5" s="77" t="s">
        <v>342</v>
      </c>
      <c r="C5" s="130">
        <v>1</v>
      </c>
      <c r="D5" s="131">
        <v>2</v>
      </c>
      <c r="E5" s="131">
        <v>3</v>
      </c>
      <c r="F5" s="131">
        <v>4</v>
      </c>
      <c r="G5" s="131">
        <v>5</v>
      </c>
      <c r="H5" s="131">
        <v>6</v>
      </c>
      <c r="I5" s="79"/>
      <c r="J5" s="130">
        <v>7</v>
      </c>
      <c r="K5" s="131">
        <v>8</v>
      </c>
      <c r="L5" s="131">
        <v>9</v>
      </c>
      <c r="M5" s="131">
        <v>10</v>
      </c>
      <c r="N5" s="131">
        <v>11</v>
      </c>
      <c r="O5" s="79"/>
      <c r="P5" s="130">
        <v>12</v>
      </c>
      <c r="Q5" s="131">
        <v>13</v>
      </c>
      <c r="R5" s="131">
        <v>14</v>
      </c>
      <c r="S5" s="203"/>
    </row>
    <row r="6" spans="1:19">
      <c r="A6" s="469" t="s">
        <v>432</v>
      </c>
      <c r="B6" s="77" t="s">
        <v>344</v>
      </c>
      <c r="C6" s="127">
        <v>110691.14553083744</v>
      </c>
      <c r="D6" s="129">
        <v>102190.21193783783</v>
      </c>
      <c r="E6" s="129">
        <v>79352.031801223246</v>
      </c>
      <c r="F6" s="129">
        <v>80416.541191249999</v>
      </c>
      <c r="G6" s="129">
        <v>71339.88461538461</v>
      </c>
      <c r="H6" s="129">
        <v>83787.411272727273</v>
      </c>
      <c r="I6" s="127">
        <v>99564.45238472725</v>
      </c>
      <c r="J6" s="127">
        <v>0</v>
      </c>
      <c r="K6" s="129">
        <v>0</v>
      </c>
      <c r="L6" s="129">
        <v>0</v>
      </c>
      <c r="M6" s="129">
        <v>0</v>
      </c>
      <c r="N6" s="129">
        <v>0</v>
      </c>
      <c r="O6" s="127">
        <v>0</v>
      </c>
      <c r="P6" s="127">
        <v>0</v>
      </c>
      <c r="Q6" s="129">
        <v>0</v>
      </c>
      <c r="R6" s="129">
        <v>0</v>
      </c>
      <c r="S6" s="128">
        <v>0</v>
      </c>
    </row>
    <row r="7" spans="1:19">
      <c r="A7" s="470"/>
      <c r="B7" s="80" t="s">
        <v>346</v>
      </c>
      <c r="C7" s="458">
        <v>110668.19201267326</v>
      </c>
      <c r="D7" s="459">
        <v>102532.58434933334</v>
      </c>
      <c r="E7" s="459">
        <v>82714.291445061725</v>
      </c>
      <c r="F7" s="459">
        <v>78626.659158659211</v>
      </c>
      <c r="G7" s="459">
        <v>75028.204081632648</v>
      </c>
      <c r="H7" s="459">
        <v>83970.593695238102</v>
      </c>
      <c r="I7" s="458">
        <v>99986.842366827506</v>
      </c>
      <c r="J7" s="458">
        <v>0</v>
      </c>
      <c r="K7" s="459">
        <v>0</v>
      </c>
      <c r="L7" s="459">
        <v>0</v>
      </c>
      <c r="M7" s="459">
        <v>0</v>
      </c>
      <c r="N7" s="459">
        <v>0</v>
      </c>
      <c r="O7" s="458">
        <v>0</v>
      </c>
      <c r="P7" s="458">
        <v>0</v>
      </c>
      <c r="Q7" s="459">
        <v>0</v>
      </c>
      <c r="R7" s="459">
        <v>0</v>
      </c>
      <c r="S7" s="460">
        <v>0</v>
      </c>
    </row>
    <row r="8" spans="1:19">
      <c r="A8" s="470"/>
      <c r="B8" s="461" t="s">
        <v>348</v>
      </c>
      <c r="C8" s="462">
        <v>-2.0736544060599178E-2</v>
      </c>
      <c r="D8" s="463">
        <v>0.3350344470405599</v>
      </c>
      <c r="E8" s="463">
        <v>4.2371437347199077</v>
      </c>
      <c r="F8" s="463">
        <v>-2.2257635134219642</v>
      </c>
      <c r="G8" s="463">
        <v>5.1700664868367951</v>
      </c>
      <c r="H8" s="463">
        <v>0.21862761926677901</v>
      </c>
      <c r="I8" s="462">
        <v>0.42423773945755039</v>
      </c>
      <c r="J8" s="462">
        <v>0</v>
      </c>
      <c r="K8" s="463">
        <v>0</v>
      </c>
      <c r="L8" s="463">
        <v>0</v>
      </c>
      <c r="M8" s="463">
        <v>0</v>
      </c>
      <c r="N8" s="463">
        <v>0</v>
      </c>
      <c r="O8" s="462">
        <v>0</v>
      </c>
      <c r="P8" s="462">
        <v>0</v>
      </c>
      <c r="Q8" s="463">
        <v>0</v>
      </c>
      <c r="R8" s="463">
        <v>0</v>
      </c>
      <c r="S8" s="464">
        <v>0</v>
      </c>
    </row>
    <row r="9" spans="1:19">
      <c r="A9" s="470"/>
      <c r="B9" s="77" t="s">
        <v>350</v>
      </c>
      <c r="C9" s="127">
        <v>77511.974931683173</v>
      </c>
      <c r="D9" s="129">
        <v>76822.165190804604</v>
      </c>
      <c r="E9" s="129">
        <v>63906.262188023946</v>
      </c>
      <c r="F9" s="129">
        <v>65958.784119018412</v>
      </c>
      <c r="G9" s="129">
        <v>61539.758064516129</v>
      </c>
      <c r="H9" s="129">
        <v>68274.047619047618</v>
      </c>
      <c r="I9" s="127">
        <v>72310.777965152549</v>
      </c>
      <c r="J9" s="127">
        <v>0</v>
      </c>
      <c r="K9" s="129">
        <v>0</v>
      </c>
      <c r="L9" s="129">
        <v>0</v>
      </c>
      <c r="M9" s="129">
        <v>0</v>
      </c>
      <c r="N9" s="129">
        <v>0</v>
      </c>
      <c r="O9" s="127">
        <v>0</v>
      </c>
      <c r="P9" s="127">
        <v>0</v>
      </c>
      <c r="Q9" s="129">
        <v>0</v>
      </c>
      <c r="R9" s="129">
        <v>0</v>
      </c>
      <c r="S9" s="128">
        <v>0</v>
      </c>
    </row>
    <row r="10" spans="1:19">
      <c r="A10" s="470"/>
      <c r="B10" s="80" t="s">
        <v>352</v>
      </c>
      <c r="C10" s="458">
        <v>77154.923227713633</v>
      </c>
      <c r="D10" s="459">
        <v>77420.608582608693</v>
      </c>
      <c r="E10" s="459">
        <v>65011.330828152488</v>
      </c>
      <c r="F10" s="459">
        <v>66282.205999999991</v>
      </c>
      <c r="G10" s="459">
        <v>63191.91525423729</v>
      </c>
      <c r="H10" s="459">
        <v>72068</v>
      </c>
      <c r="I10" s="458">
        <v>72712.041995601554</v>
      </c>
      <c r="J10" s="458">
        <v>0</v>
      </c>
      <c r="K10" s="459">
        <v>0</v>
      </c>
      <c r="L10" s="459">
        <v>0</v>
      </c>
      <c r="M10" s="459">
        <v>0</v>
      </c>
      <c r="N10" s="459">
        <v>0</v>
      </c>
      <c r="O10" s="458">
        <v>0</v>
      </c>
      <c r="P10" s="458">
        <v>0</v>
      </c>
      <c r="Q10" s="459">
        <v>0</v>
      </c>
      <c r="R10" s="459">
        <v>0</v>
      </c>
      <c r="S10" s="460">
        <v>0</v>
      </c>
    </row>
    <row r="11" spans="1:19">
      <c r="A11" s="470"/>
      <c r="B11" s="461" t="s">
        <v>354</v>
      </c>
      <c r="C11" s="462">
        <v>-0.46064070007793723</v>
      </c>
      <c r="D11" s="463">
        <v>0.77899834028073012</v>
      </c>
      <c r="E11" s="463">
        <v>1.7292024322706081</v>
      </c>
      <c r="F11" s="463">
        <v>0.49033936162010683</v>
      </c>
      <c r="G11" s="463">
        <v>2.6846988705888277</v>
      </c>
      <c r="H11" s="463">
        <v>5.5569466191922618</v>
      </c>
      <c r="I11" s="462">
        <v>0.55491593610343837</v>
      </c>
      <c r="J11" s="462">
        <v>0</v>
      </c>
      <c r="K11" s="463">
        <v>0</v>
      </c>
      <c r="L11" s="463">
        <v>0</v>
      </c>
      <c r="M11" s="463">
        <v>0</v>
      </c>
      <c r="N11" s="463">
        <v>0</v>
      </c>
      <c r="O11" s="462">
        <v>0</v>
      </c>
      <c r="P11" s="462">
        <v>0</v>
      </c>
      <c r="Q11" s="463">
        <v>0</v>
      </c>
      <c r="R11" s="463">
        <v>0</v>
      </c>
      <c r="S11" s="464">
        <v>0</v>
      </c>
    </row>
    <row r="12" spans="1:19">
      <c r="A12" s="470"/>
      <c r="B12" s="77" t="s">
        <v>356</v>
      </c>
      <c r="C12" s="127">
        <v>64602.220944293484</v>
      </c>
      <c r="D12" s="129">
        <v>62258.891382926828</v>
      </c>
      <c r="E12" s="129">
        <v>53342.282256870232</v>
      </c>
      <c r="F12" s="129">
        <v>54522.635268656712</v>
      </c>
      <c r="G12" s="129">
        <v>48261.612500000003</v>
      </c>
      <c r="H12" s="129">
        <v>59697.684210526313</v>
      </c>
      <c r="I12" s="127">
        <v>58815.358398555087</v>
      </c>
      <c r="J12" s="127">
        <v>0</v>
      </c>
      <c r="K12" s="129">
        <v>0</v>
      </c>
      <c r="L12" s="129">
        <v>0</v>
      </c>
      <c r="M12" s="129">
        <v>0</v>
      </c>
      <c r="N12" s="129">
        <v>0</v>
      </c>
      <c r="O12" s="127">
        <v>0</v>
      </c>
      <c r="P12" s="127">
        <v>0</v>
      </c>
      <c r="Q12" s="129">
        <v>0</v>
      </c>
      <c r="R12" s="129">
        <v>0</v>
      </c>
      <c r="S12" s="128">
        <v>0</v>
      </c>
    </row>
    <row r="13" spans="1:19">
      <c r="A13" s="470"/>
      <c r="B13" s="80" t="s">
        <v>358</v>
      </c>
      <c r="C13" s="458">
        <v>62722.186162232785</v>
      </c>
      <c r="D13" s="459">
        <v>62333.551661363636</v>
      </c>
      <c r="E13" s="459">
        <v>54845.501409248551</v>
      </c>
      <c r="F13" s="459">
        <v>52975.8541223301</v>
      </c>
      <c r="G13" s="459">
        <v>51298.413043478264</v>
      </c>
      <c r="H13" s="459">
        <v>58922.166666666664</v>
      </c>
      <c r="I13" s="458">
        <v>58618.018213909141</v>
      </c>
      <c r="J13" s="458">
        <v>0</v>
      </c>
      <c r="K13" s="459">
        <v>0</v>
      </c>
      <c r="L13" s="459">
        <v>0</v>
      </c>
      <c r="M13" s="459">
        <v>0</v>
      </c>
      <c r="N13" s="459">
        <v>0</v>
      </c>
      <c r="O13" s="458">
        <v>0</v>
      </c>
      <c r="P13" s="458">
        <v>0</v>
      </c>
      <c r="Q13" s="459">
        <v>0</v>
      </c>
      <c r="R13" s="459">
        <v>0</v>
      </c>
      <c r="S13" s="460">
        <v>0</v>
      </c>
    </row>
    <row r="14" spans="1:19">
      <c r="A14" s="470"/>
      <c r="B14" s="461" t="s">
        <v>360</v>
      </c>
      <c r="C14" s="462">
        <v>-2.9101705089703542</v>
      </c>
      <c r="D14" s="463">
        <v>0.11991906180533411</v>
      </c>
      <c r="E14" s="463">
        <v>2.8180630613807511</v>
      </c>
      <c r="F14" s="463">
        <v>-2.8369522835881811</v>
      </c>
      <c r="G14" s="463">
        <v>6.2923727289017961</v>
      </c>
      <c r="H14" s="463">
        <v>-1.2990747532596987</v>
      </c>
      <c r="I14" s="462">
        <v>-0.33552492073361845</v>
      </c>
      <c r="J14" s="462">
        <v>0</v>
      </c>
      <c r="K14" s="463">
        <v>0</v>
      </c>
      <c r="L14" s="463">
        <v>0</v>
      </c>
      <c r="M14" s="463">
        <v>0</v>
      </c>
      <c r="N14" s="463">
        <v>0</v>
      </c>
      <c r="O14" s="462">
        <v>0</v>
      </c>
      <c r="P14" s="462">
        <v>0</v>
      </c>
      <c r="Q14" s="463">
        <v>0</v>
      </c>
      <c r="R14" s="463">
        <v>0</v>
      </c>
      <c r="S14" s="464">
        <v>0</v>
      </c>
    </row>
    <row r="15" spans="1:19">
      <c r="A15" s="470"/>
      <c r="B15" s="77" t="s">
        <v>362</v>
      </c>
      <c r="C15" s="127">
        <v>41738.604452733118</v>
      </c>
      <c r="D15" s="129">
        <v>49150</v>
      </c>
      <c r="E15" s="129">
        <v>44217.302876655049</v>
      </c>
      <c r="F15" s="129">
        <v>45110.444176699028</v>
      </c>
      <c r="G15" s="129">
        <v>39575.956521739128</v>
      </c>
      <c r="H15" s="129">
        <v>47798.048239999996</v>
      </c>
      <c r="I15" s="127">
        <v>43196.841612278309</v>
      </c>
      <c r="J15" s="127">
        <v>0</v>
      </c>
      <c r="K15" s="129">
        <v>0</v>
      </c>
      <c r="L15" s="129">
        <v>0</v>
      </c>
      <c r="M15" s="129">
        <v>0</v>
      </c>
      <c r="N15" s="129">
        <v>0</v>
      </c>
      <c r="O15" s="127">
        <v>0</v>
      </c>
      <c r="P15" s="127">
        <v>0</v>
      </c>
      <c r="Q15" s="129">
        <v>0</v>
      </c>
      <c r="R15" s="129">
        <v>0</v>
      </c>
      <c r="S15" s="128">
        <v>0</v>
      </c>
    </row>
    <row r="16" spans="1:19">
      <c r="A16" s="470"/>
      <c r="B16" s="80" t="s">
        <v>364</v>
      </c>
      <c r="C16" s="458">
        <v>40466.937310144931</v>
      </c>
      <c r="D16" s="459">
        <v>57942.857142857145</v>
      </c>
      <c r="E16" s="459">
        <v>44049.297821548818</v>
      </c>
      <c r="F16" s="459">
        <v>44533.951310476194</v>
      </c>
      <c r="G16" s="459">
        <v>39325.571428571428</v>
      </c>
      <c r="H16" s="459">
        <v>39342.370266666665</v>
      </c>
      <c r="I16" s="458">
        <v>42477.12461579618</v>
      </c>
      <c r="J16" s="458">
        <v>0</v>
      </c>
      <c r="K16" s="459">
        <v>0</v>
      </c>
      <c r="L16" s="459">
        <v>0</v>
      </c>
      <c r="M16" s="459">
        <v>0</v>
      </c>
      <c r="N16" s="459">
        <v>0</v>
      </c>
      <c r="O16" s="458">
        <v>0</v>
      </c>
      <c r="P16" s="458">
        <v>0</v>
      </c>
      <c r="Q16" s="459">
        <v>0</v>
      </c>
      <c r="R16" s="459">
        <v>0</v>
      </c>
      <c r="S16" s="460">
        <v>0</v>
      </c>
    </row>
    <row r="17" spans="1:19">
      <c r="A17" s="470"/>
      <c r="B17" s="461" t="s">
        <v>366</v>
      </c>
      <c r="C17" s="462">
        <v>-3.0467409230902445</v>
      </c>
      <c r="D17" s="463">
        <v>17.88984159279175</v>
      </c>
      <c r="E17" s="463">
        <v>-0.3799531951889592</v>
      </c>
      <c r="F17" s="463">
        <v>-1.2779587449077054</v>
      </c>
      <c r="G17" s="463">
        <v>-0.63266971963182694</v>
      </c>
      <c r="H17" s="463">
        <v>-17.690425204971366</v>
      </c>
      <c r="I17" s="462">
        <v>-1.6661333783198551</v>
      </c>
      <c r="J17" s="462">
        <v>0</v>
      </c>
      <c r="K17" s="463">
        <v>0</v>
      </c>
      <c r="L17" s="463">
        <v>0</v>
      </c>
      <c r="M17" s="463">
        <v>0</v>
      </c>
      <c r="N17" s="463">
        <v>0</v>
      </c>
      <c r="O17" s="462">
        <v>0</v>
      </c>
      <c r="P17" s="462">
        <v>0</v>
      </c>
      <c r="Q17" s="463">
        <v>0</v>
      </c>
      <c r="R17" s="463">
        <v>0</v>
      </c>
      <c r="S17" s="464">
        <v>0</v>
      </c>
    </row>
    <row r="18" spans="1:19">
      <c r="A18" s="470"/>
      <c r="B18" s="77" t="s">
        <v>368</v>
      </c>
      <c r="C18" s="127">
        <v>51322.765888888884</v>
      </c>
      <c r="D18" s="129">
        <v>41841.75003333333</v>
      </c>
      <c r="E18" s="129">
        <v>37253.88201666667</v>
      </c>
      <c r="F18" s="129">
        <v>45040.926500000001</v>
      </c>
      <c r="G18" s="129">
        <v>32680.909090909092</v>
      </c>
      <c r="H18" s="129">
        <v>0</v>
      </c>
      <c r="I18" s="127">
        <v>41235.830017391301</v>
      </c>
      <c r="J18" s="127">
        <v>0</v>
      </c>
      <c r="K18" s="129">
        <v>0</v>
      </c>
      <c r="L18" s="129">
        <v>0</v>
      </c>
      <c r="M18" s="129">
        <v>0</v>
      </c>
      <c r="N18" s="129">
        <v>0</v>
      </c>
      <c r="O18" s="127">
        <v>0</v>
      </c>
      <c r="P18" s="127">
        <v>0</v>
      </c>
      <c r="Q18" s="129">
        <v>0</v>
      </c>
      <c r="R18" s="129">
        <v>0</v>
      </c>
      <c r="S18" s="128">
        <v>0</v>
      </c>
    </row>
    <row r="19" spans="1:19">
      <c r="A19" s="470"/>
      <c r="B19" s="80" t="s">
        <v>370</v>
      </c>
      <c r="C19" s="458">
        <v>58527.424696551723</v>
      </c>
      <c r="D19" s="459">
        <v>41253.736829999994</v>
      </c>
      <c r="E19" s="459">
        <v>38349.651072222223</v>
      </c>
      <c r="F19" s="459">
        <v>98553.007999999987</v>
      </c>
      <c r="G19" s="459">
        <v>27526.90150769231</v>
      </c>
      <c r="H19" s="459">
        <v>65257.333333333336</v>
      </c>
      <c r="I19" s="458">
        <v>44978.330416129029</v>
      </c>
      <c r="J19" s="458">
        <v>0</v>
      </c>
      <c r="K19" s="459">
        <v>0</v>
      </c>
      <c r="L19" s="459">
        <v>0</v>
      </c>
      <c r="M19" s="459">
        <v>0</v>
      </c>
      <c r="N19" s="459">
        <v>0</v>
      </c>
      <c r="O19" s="458">
        <v>0</v>
      </c>
      <c r="P19" s="458">
        <v>0</v>
      </c>
      <c r="Q19" s="459">
        <v>0</v>
      </c>
      <c r="R19" s="459">
        <v>0</v>
      </c>
      <c r="S19" s="460">
        <v>0</v>
      </c>
    </row>
    <row r="20" spans="1:19">
      <c r="A20" s="470"/>
      <c r="B20" s="461" t="s">
        <v>372</v>
      </c>
      <c r="C20" s="462">
        <v>14.037939465812405</v>
      </c>
      <c r="D20" s="463">
        <v>-1.4053265049021457</v>
      </c>
      <c r="E20" s="463">
        <v>2.9413553601348896</v>
      </c>
      <c r="F20" s="463">
        <v>118.80768371849541</v>
      </c>
      <c r="G20" s="463">
        <v>-15.770698326903279</v>
      </c>
      <c r="H20" s="463">
        <v>0</v>
      </c>
      <c r="I20" s="462">
        <v>9.0758459261261866</v>
      </c>
      <c r="J20" s="462">
        <v>0</v>
      </c>
      <c r="K20" s="463">
        <v>0</v>
      </c>
      <c r="L20" s="463">
        <v>0</v>
      </c>
      <c r="M20" s="463">
        <v>0</v>
      </c>
      <c r="N20" s="463">
        <v>0</v>
      </c>
      <c r="O20" s="462">
        <v>0</v>
      </c>
      <c r="P20" s="462">
        <v>0</v>
      </c>
      <c r="Q20" s="463">
        <v>0</v>
      </c>
      <c r="R20" s="463">
        <v>0</v>
      </c>
      <c r="S20" s="464">
        <v>0</v>
      </c>
    </row>
    <row r="21" spans="1:19">
      <c r="A21" s="470"/>
      <c r="B21" s="77" t="s">
        <v>374</v>
      </c>
      <c r="C21" s="127">
        <v>0</v>
      </c>
      <c r="D21" s="129">
        <v>0</v>
      </c>
      <c r="E21" s="129">
        <v>0</v>
      </c>
      <c r="F21" s="129">
        <v>0</v>
      </c>
      <c r="G21" s="129">
        <v>0</v>
      </c>
      <c r="H21" s="129">
        <v>0</v>
      </c>
      <c r="I21" s="127">
        <v>0</v>
      </c>
      <c r="J21" s="127">
        <v>0</v>
      </c>
      <c r="K21" s="129">
        <v>53734.887211851848</v>
      </c>
      <c r="L21" s="129">
        <v>53048.900608737858</v>
      </c>
      <c r="M21" s="129">
        <v>53174.046150593829</v>
      </c>
      <c r="N21" s="129">
        <v>0</v>
      </c>
      <c r="O21" s="127">
        <v>53187.135737129574</v>
      </c>
      <c r="P21" s="127">
        <v>54299.85067878788</v>
      </c>
      <c r="Q21" s="129">
        <v>53305.882192941172</v>
      </c>
      <c r="R21" s="129">
        <v>0</v>
      </c>
      <c r="S21" s="128">
        <v>53740.331994701985</v>
      </c>
    </row>
    <row r="22" spans="1:19">
      <c r="A22" s="470"/>
      <c r="B22" s="80" t="s">
        <v>376</v>
      </c>
      <c r="C22" s="458">
        <v>0</v>
      </c>
      <c r="D22" s="459">
        <v>0</v>
      </c>
      <c r="E22" s="459">
        <v>0</v>
      </c>
      <c r="F22" s="459">
        <v>0</v>
      </c>
      <c r="G22" s="459">
        <v>0</v>
      </c>
      <c r="H22" s="459">
        <v>0</v>
      </c>
      <c r="I22" s="458">
        <v>0</v>
      </c>
      <c r="J22" s="458">
        <v>0</v>
      </c>
      <c r="K22" s="459">
        <v>53423.575463698631</v>
      </c>
      <c r="L22" s="459">
        <v>53099.714144827587</v>
      </c>
      <c r="M22" s="459">
        <v>52801.227449295773</v>
      </c>
      <c r="N22" s="459">
        <v>0</v>
      </c>
      <c r="O22" s="458">
        <v>53081.219350737803</v>
      </c>
      <c r="P22" s="458">
        <v>54893.849078787876</v>
      </c>
      <c r="Q22" s="459">
        <v>57120.489175280898</v>
      </c>
      <c r="R22" s="459">
        <v>0</v>
      </c>
      <c r="S22" s="460">
        <v>56172.371456774192</v>
      </c>
    </row>
    <row r="23" spans="1:19">
      <c r="A23" s="470"/>
      <c r="B23" s="461" t="s">
        <v>378</v>
      </c>
      <c r="C23" s="462">
        <v>0</v>
      </c>
      <c r="D23" s="463">
        <v>0</v>
      </c>
      <c r="E23" s="463">
        <v>0</v>
      </c>
      <c r="F23" s="463">
        <v>0</v>
      </c>
      <c r="G23" s="463">
        <v>0</v>
      </c>
      <c r="H23" s="463">
        <v>0</v>
      </c>
      <c r="I23" s="462">
        <v>0</v>
      </c>
      <c r="J23" s="462">
        <v>0</v>
      </c>
      <c r="K23" s="463">
        <v>-0.57934754180437509</v>
      </c>
      <c r="L23" s="463">
        <v>9.5786218953911595E-2</v>
      </c>
      <c r="M23" s="463">
        <v>-0.70112908136085594</v>
      </c>
      <c r="N23" s="463">
        <v>0</v>
      </c>
      <c r="O23" s="462">
        <v>-0.19913910558231393</v>
      </c>
      <c r="P23" s="462">
        <v>1.0939227135518459</v>
      </c>
      <c r="Q23" s="463">
        <v>7.1560713853918001</v>
      </c>
      <c r="R23" s="463">
        <v>0</v>
      </c>
      <c r="S23" s="464">
        <v>4.5255385886190114</v>
      </c>
    </row>
    <row r="24" spans="1:19">
      <c r="A24" s="470"/>
      <c r="B24" s="77" t="s">
        <v>380</v>
      </c>
      <c r="C24" s="127">
        <v>81867.361095706365</v>
      </c>
      <c r="D24" s="129">
        <v>73718.984947404839</v>
      </c>
      <c r="E24" s="129">
        <v>59201.371054774529</v>
      </c>
      <c r="F24" s="129">
        <v>62336.505910551183</v>
      </c>
      <c r="G24" s="129">
        <v>55507.916666666664</v>
      </c>
      <c r="H24" s="129">
        <v>67262.561502325581</v>
      </c>
      <c r="I24" s="127">
        <v>71891.632869577559</v>
      </c>
      <c r="J24" s="127">
        <v>0</v>
      </c>
      <c r="K24" s="129">
        <v>53734.887211851848</v>
      </c>
      <c r="L24" s="129">
        <v>53048.900608737858</v>
      </c>
      <c r="M24" s="129">
        <v>53174.046150593829</v>
      </c>
      <c r="N24" s="129">
        <v>0</v>
      </c>
      <c r="O24" s="127">
        <v>53187.135737129574</v>
      </c>
      <c r="P24" s="127">
        <v>54299.85067878788</v>
      </c>
      <c r="Q24" s="129">
        <v>53305.882192941172</v>
      </c>
      <c r="R24" s="129">
        <v>0</v>
      </c>
      <c r="S24" s="128">
        <v>53740.331994701985</v>
      </c>
    </row>
    <row r="25" spans="1:19">
      <c r="A25" s="470"/>
      <c r="B25" s="80" t="s">
        <v>382</v>
      </c>
      <c r="C25" s="458">
        <v>79903.462769987062</v>
      </c>
      <c r="D25" s="459">
        <v>74019.012699337749</v>
      </c>
      <c r="E25" s="459">
        <v>60577.678552142388</v>
      </c>
      <c r="F25" s="459">
        <v>62169.943204538569</v>
      </c>
      <c r="G25" s="459">
        <v>56361.513359336095</v>
      </c>
      <c r="H25" s="459">
        <v>67948.669619277105</v>
      </c>
      <c r="I25" s="458">
        <v>71510.987761160097</v>
      </c>
      <c r="J25" s="458">
        <v>0</v>
      </c>
      <c r="K25" s="459">
        <v>53423.575463698631</v>
      </c>
      <c r="L25" s="459">
        <v>53099.714144827587</v>
      </c>
      <c r="M25" s="459">
        <v>52801.227449295773</v>
      </c>
      <c r="N25" s="459">
        <v>0</v>
      </c>
      <c r="O25" s="458">
        <v>53081.219350737803</v>
      </c>
      <c r="P25" s="458">
        <v>54893.849078787876</v>
      </c>
      <c r="Q25" s="459">
        <v>57120.489175280898</v>
      </c>
      <c r="R25" s="459">
        <v>0</v>
      </c>
      <c r="S25" s="460">
        <v>56172.371456774192</v>
      </c>
    </row>
    <row r="26" spans="1:19">
      <c r="A26" s="475"/>
      <c r="B26" s="476" t="s">
        <v>384</v>
      </c>
      <c r="C26" s="477">
        <v>-2.398878257995178</v>
      </c>
      <c r="D26" s="478">
        <v>0.40698844693394304</v>
      </c>
      <c r="E26" s="478">
        <v>2.3247899040960838</v>
      </c>
      <c r="F26" s="478">
        <v>-0.26719929771428014</v>
      </c>
      <c r="G26" s="478">
        <v>1.5377927040486974</v>
      </c>
      <c r="H26" s="478">
        <v>1.020044585913966</v>
      </c>
      <c r="I26" s="477">
        <v>-0.52947066748088878</v>
      </c>
      <c r="J26" s="477">
        <v>0</v>
      </c>
      <c r="K26" s="478">
        <v>-0.57934754180437509</v>
      </c>
      <c r="L26" s="478">
        <v>9.5786218953911595E-2</v>
      </c>
      <c r="M26" s="478">
        <v>-0.70112908136085594</v>
      </c>
      <c r="N26" s="478">
        <v>0</v>
      </c>
      <c r="O26" s="477">
        <v>-0.19913910558231393</v>
      </c>
      <c r="P26" s="477">
        <v>1.0939227135518459</v>
      </c>
      <c r="Q26" s="478">
        <v>7.1560713853918001</v>
      </c>
      <c r="R26" s="478">
        <v>0</v>
      </c>
      <c r="S26" s="479">
        <v>4.5255385886190114</v>
      </c>
    </row>
    <row r="27" spans="1:19">
      <c r="A27" s="473" t="s">
        <v>441</v>
      </c>
      <c r="B27" s="80" t="s">
        <v>344</v>
      </c>
      <c r="C27" s="458">
        <v>98437.276002865343</v>
      </c>
      <c r="D27" s="474">
        <v>0</v>
      </c>
      <c r="E27" s="474">
        <v>78847.607886503072</v>
      </c>
      <c r="F27" s="474">
        <v>66469.470325233648</v>
      </c>
      <c r="G27" s="474">
        <v>66142.198620408162</v>
      </c>
      <c r="H27" s="474">
        <v>63110.820427906983</v>
      </c>
      <c r="I27" s="458">
        <v>83668.073033867287</v>
      </c>
      <c r="J27" s="458">
        <v>0</v>
      </c>
      <c r="K27" s="474">
        <v>0</v>
      </c>
      <c r="L27" s="474">
        <v>52772.780440000002</v>
      </c>
      <c r="M27" s="474">
        <v>0</v>
      </c>
      <c r="N27" s="474">
        <v>0</v>
      </c>
      <c r="O27" s="458">
        <v>52772.780440000002</v>
      </c>
      <c r="P27" s="458">
        <v>0</v>
      </c>
      <c r="Q27" s="474">
        <v>0</v>
      </c>
      <c r="R27" s="474">
        <v>0</v>
      </c>
      <c r="S27" s="460">
        <v>0</v>
      </c>
    </row>
    <row r="28" spans="1:19">
      <c r="A28" s="470"/>
      <c r="B28" s="80" t="s">
        <v>346</v>
      </c>
      <c r="C28" s="458">
        <v>102041.87711680912</v>
      </c>
      <c r="D28" s="459">
        <v>0</v>
      </c>
      <c r="E28" s="459">
        <v>78837.469713946586</v>
      </c>
      <c r="F28" s="459">
        <v>66667.970143689323</v>
      </c>
      <c r="G28" s="459">
        <v>67135.709972093027</v>
      </c>
      <c r="H28" s="459">
        <v>63479.43297142857</v>
      </c>
      <c r="I28" s="458">
        <v>85393.491780821918</v>
      </c>
      <c r="J28" s="458">
        <v>0</v>
      </c>
      <c r="K28" s="459">
        <v>0</v>
      </c>
      <c r="L28" s="459">
        <v>62645.824399999998</v>
      </c>
      <c r="M28" s="459">
        <v>0</v>
      </c>
      <c r="N28" s="459">
        <v>0</v>
      </c>
      <c r="O28" s="458">
        <v>62645.824399999998</v>
      </c>
      <c r="P28" s="458">
        <v>0</v>
      </c>
      <c r="Q28" s="459">
        <v>0</v>
      </c>
      <c r="R28" s="459">
        <v>0</v>
      </c>
      <c r="S28" s="460">
        <v>0</v>
      </c>
    </row>
    <row r="29" spans="1:19">
      <c r="A29" s="470"/>
      <c r="B29" s="461" t="s">
        <v>348</v>
      </c>
      <c r="C29" s="462">
        <v>3.6618253372216962</v>
      </c>
      <c r="D29" s="463">
        <v>0</v>
      </c>
      <c r="E29" s="463">
        <v>-1.2857932952232941E-2</v>
      </c>
      <c r="F29" s="463">
        <v>0.298633067909854</v>
      </c>
      <c r="G29" s="463">
        <v>1.5020839530700409</v>
      </c>
      <c r="H29" s="463">
        <v>0.58407186124709354</v>
      </c>
      <c r="I29" s="462">
        <v>2.0622188182297601</v>
      </c>
      <c r="J29" s="462">
        <v>0</v>
      </c>
      <c r="K29" s="463">
        <v>0</v>
      </c>
      <c r="L29" s="463">
        <v>18.708591583922985</v>
      </c>
      <c r="M29" s="463">
        <v>0</v>
      </c>
      <c r="N29" s="463">
        <v>0</v>
      </c>
      <c r="O29" s="462">
        <v>18.708591583922985</v>
      </c>
      <c r="P29" s="462">
        <v>0</v>
      </c>
      <c r="Q29" s="463">
        <v>0</v>
      </c>
      <c r="R29" s="463">
        <v>0</v>
      </c>
      <c r="S29" s="464">
        <v>0</v>
      </c>
    </row>
    <row r="30" spans="1:19">
      <c r="A30" s="470"/>
      <c r="B30" s="77" t="s">
        <v>350</v>
      </c>
      <c r="C30" s="127">
        <v>71864.741570776256</v>
      </c>
      <c r="D30" s="129">
        <v>0</v>
      </c>
      <c r="E30" s="129">
        <v>64294.715962420392</v>
      </c>
      <c r="F30" s="129">
        <v>55606.423385454545</v>
      </c>
      <c r="G30" s="129">
        <v>56288.946477419355</v>
      </c>
      <c r="H30" s="129">
        <v>59473.804077611945</v>
      </c>
      <c r="I30" s="127">
        <v>64142.856662435232</v>
      </c>
      <c r="J30" s="127">
        <v>0</v>
      </c>
      <c r="K30" s="129">
        <v>0</v>
      </c>
      <c r="L30" s="129">
        <v>45677.828959999999</v>
      </c>
      <c r="M30" s="129">
        <v>0</v>
      </c>
      <c r="N30" s="129">
        <v>0</v>
      </c>
      <c r="O30" s="127">
        <v>45677.828959999999</v>
      </c>
      <c r="P30" s="127">
        <v>0</v>
      </c>
      <c r="Q30" s="129">
        <v>0</v>
      </c>
      <c r="R30" s="129">
        <v>0</v>
      </c>
      <c r="S30" s="128">
        <v>0</v>
      </c>
    </row>
    <row r="31" spans="1:19">
      <c r="A31" s="470"/>
      <c r="B31" s="80" t="s">
        <v>352</v>
      </c>
      <c r="C31" s="458">
        <v>73266.91635616438</v>
      </c>
      <c r="D31" s="459">
        <v>0</v>
      </c>
      <c r="E31" s="459">
        <v>64669.943252279627</v>
      </c>
      <c r="F31" s="459">
        <v>57118.248761904761</v>
      </c>
      <c r="G31" s="459">
        <v>56838.95250491803</v>
      </c>
      <c r="H31" s="459">
        <v>60350.628899999996</v>
      </c>
      <c r="I31" s="458">
        <v>65053.057907888033</v>
      </c>
      <c r="J31" s="458">
        <v>0</v>
      </c>
      <c r="K31" s="459">
        <v>0</v>
      </c>
      <c r="L31" s="459">
        <v>51673.68736363636</v>
      </c>
      <c r="M31" s="459">
        <v>0</v>
      </c>
      <c r="N31" s="459">
        <v>0</v>
      </c>
      <c r="O31" s="458">
        <v>51673.68736363636</v>
      </c>
      <c r="P31" s="458">
        <v>0</v>
      </c>
      <c r="Q31" s="459">
        <v>0</v>
      </c>
      <c r="R31" s="459">
        <v>0</v>
      </c>
      <c r="S31" s="460">
        <v>0</v>
      </c>
    </row>
    <row r="32" spans="1:19">
      <c r="A32" s="470"/>
      <c r="B32" s="461" t="s">
        <v>354</v>
      </c>
      <c r="C32" s="462">
        <v>1.9511303522982648</v>
      </c>
      <c r="D32" s="463">
        <v>0</v>
      </c>
      <c r="E32" s="463">
        <v>0.58360517539038681</v>
      </c>
      <c r="F32" s="463">
        <v>2.7187962907998795</v>
      </c>
      <c r="G32" s="463">
        <v>0.97711195877384849</v>
      </c>
      <c r="H32" s="463">
        <v>1.4743042520767877</v>
      </c>
      <c r="I32" s="462">
        <v>1.4190219968576072</v>
      </c>
      <c r="J32" s="462">
        <v>0</v>
      </c>
      <c r="K32" s="463">
        <v>0</v>
      </c>
      <c r="L32" s="463">
        <v>13.126408457124624</v>
      </c>
      <c r="M32" s="463">
        <v>0</v>
      </c>
      <c r="N32" s="463">
        <v>0</v>
      </c>
      <c r="O32" s="462">
        <v>13.126408457124624</v>
      </c>
      <c r="P32" s="462">
        <v>0</v>
      </c>
      <c r="Q32" s="463">
        <v>0</v>
      </c>
      <c r="R32" s="463">
        <v>0</v>
      </c>
      <c r="S32" s="464">
        <v>0</v>
      </c>
    </row>
    <row r="33" spans="1:19">
      <c r="A33" s="470"/>
      <c r="B33" s="77" t="s">
        <v>356</v>
      </c>
      <c r="C33" s="127">
        <v>64755.225244444446</v>
      </c>
      <c r="D33" s="129">
        <v>0</v>
      </c>
      <c r="E33" s="129">
        <v>54121.494820215055</v>
      </c>
      <c r="F33" s="129">
        <v>47669.362538235298</v>
      </c>
      <c r="G33" s="129">
        <v>46052.656971428572</v>
      </c>
      <c r="H33" s="129">
        <v>51020.943425563913</v>
      </c>
      <c r="I33" s="127">
        <v>53454.425711892451</v>
      </c>
      <c r="J33" s="127">
        <v>0</v>
      </c>
      <c r="K33" s="129">
        <v>0</v>
      </c>
      <c r="L33" s="129">
        <v>45036.951835897438</v>
      </c>
      <c r="M33" s="129">
        <v>40980.094666666671</v>
      </c>
      <c r="N33" s="129">
        <v>0</v>
      </c>
      <c r="O33" s="127">
        <v>43089.660394666666</v>
      </c>
      <c r="P33" s="127">
        <v>0</v>
      </c>
      <c r="Q33" s="129">
        <v>0</v>
      </c>
      <c r="R33" s="129">
        <v>0</v>
      </c>
      <c r="S33" s="128">
        <v>0</v>
      </c>
    </row>
    <row r="34" spans="1:19">
      <c r="A34" s="470"/>
      <c r="B34" s="80" t="s">
        <v>358</v>
      </c>
      <c r="C34" s="458">
        <v>67787.58265259293</v>
      </c>
      <c r="D34" s="459">
        <v>0</v>
      </c>
      <c r="E34" s="459">
        <v>55406.697952598603</v>
      </c>
      <c r="F34" s="459">
        <v>48567.400139197758</v>
      </c>
      <c r="G34" s="459">
        <v>46647.192229958608</v>
      </c>
      <c r="H34" s="459">
        <v>52018.595604332237</v>
      </c>
      <c r="I34" s="458">
        <v>55049.66007440212</v>
      </c>
      <c r="J34" s="458">
        <v>0</v>
      </c>
      <c r="K34" s="459">
        <v>0</v>
      </c>
      <c r="L34" s="459">
        <v>46290.973819988671</v>
      </c>
      <c r="M34" s="459">
        <v>42351.049574278732</v>
      </c>
      <c r="N34" s="459">
        <v>0</v>
      </c>
      <c r="O34" s="458">
        <v>44378.945150339947</v>
      </c>
      <c r="P34" s="458">
        <v>0</v>
      </c>
      <c r="Q34" s="459">
        <v>0</v>
      </c>
      <c r="R34" s="459">
        <v>0</v>
      </c>
      <c r="S34" s="460">
        <v>0</v>
      </c>
    </row>
    <row r="35" spans="1:19">
      <c r="A35" s="470"/>
      <c r="B35" s="461" t="s">
        <v>360</v>
      </c>
      <c r="C35" s="462">
        <v>4.6827995682227046</v>
      </c>
      <c r="D35" s="463">
        <v>0</v>
      </c>
      <c r="E35" s="463">
        <v>2.3746630366600812</v>
      </c>
      <c r="F35" s="463">
        <v>1.8838884204548558</v>
      </c>
      <c r="G35" s="463">
        <v>1.290990135268177</v>
      </c>
      <c r="H35" s="463">
        <v>1.9553777562420616</v>
      </c>
      <c r="I35" s="462">
        <v>2.9842886557375623</v>
      </c>
      <c r="J35" s="462">
        <v>0</v>
      </c>
      <c r="K35" s="463">
        <v>0</v>
      </c>
      <c r="L35" s="463">
        <v>2.7844290809479109</v>
      </c>
      <c r="M35" s="463">
        <v>3.3454166437716868</v>
      </c>
      <c r="N35" s="463">
        <v>0</v>
      </c>
      <c r="O35" s="462">
        <v>2.9920977419280379</v>
      </c>
      <c r="P35" s="462">
        <v>0</v>
      </c>
      <c r="Q35" s="463">
        <v>0</v>
      </c>
      <c r="R35" s="463">
        <v>0</v>
      </c>
      <c r="S35" s="464">
        <v>0</v>
      </c>
    </row>
    <row r="36" spans="1:19">
      <c r="A36" s="470"/>
      <c r="B36" s="77" t="s">
        <v>362</v>
      </c>
      <c r="C36" s="127">
        <v>41425.17843564356</v>
      </c>
      <c r="D36" s="129">
        <v>0</v>
      </c>
      <c r="E36" s="129">
        <v>39569.722147142864</v>
      </c>
      <c r="F36" s="129">
        <v>38088.647651851847</v>
      </c>
      <c r="G36" s="129">
        <v>38859.707240579708</v>
      </c>
      <c r="H36" s="129">
        <v>40414.523442990649</v>
      </c>
      <c r="I36" s="127">
        <v>39813.299516202947</v>
      </c>
      <c r="J36" s="127">
        <v>0</v>
      </c>
      <c r="K36" s="129">
        <v>0</v>
      </c>
      <c r="L36" s="129">
        <v>38390.867272727279</v>
      </c>
      <c r="M36" s="129">
        <v>36832.00866938776</v>
      </c>
      <c r="N36" s="129">
        <v>0</v>
      </c>
      <c r="O36" s="127">
        <v>37726.657954782611</v>
      </c>
      <c r="P36" s="127">
        <v>0</v>
      </c>
      <c r="Q36" s="129">
        <v>0</v>
      </c>
      <c r="R36" s="129">
        <v>0</v>
      </c>
      <c r="S36" s="128">
        <v>0</v>
      </c>
    </row>
    <row r="37" spans="1:19">
      <c r="A37" s="470"/>
      <c r="B37" s="80" t="s">
        <v>364</v>
      </c>
      <c r="C37" s="458">
        <v>39788.462086956526</v>
      </c>
      <c r="D37" s="459">
        <v>0</v>
      </c>
      <c r="E37" s="459">
        <v>40611.088175438592</v>
      </c>
      <c r="F37" s="459">
        <v>39008.065999999999</v>
      </c>
      <c r="G37" s="459">
        <v>39482.253211111114</v>
      </c>
      <c r="H37" s="459">
        <v>41586.225056363641</v>
      </c>
      <c r="I37" s="458">
        <v>40365.620132670454</v>
      </c>
      <c r="J37" s="458">
        <v>0</v>
      </c>
      <c r="K37" s="459">
        <v>0</v>
      </c>
      <c r="L37" s="459">
        <v>38411.057142857142</v>
      </c>
      <c r="M37" s="459">
        <v>31070.341463414636</v>
      </c>
      <c r="N37" s="459">
        <v>0</v>
      </c>
      <c r="O37" s="458">
        <v>34450.934210526313</v>
      </c>
      <c r="P37" s="458">
        <v>0</v>
      </c>
      <c r="Q37" s="459">
        <v>0</v>
      </c>
      <c r="R37" s="459">
        <v>0</v>
      </c>
      <c r="S37" s="460">
        <v>0</v>
      </c>
    </row>
    <row r="38" spans="1:19">
      <c r="A38" s="470"/>
      <c r="B38" s="461" t="s">
        <v>366</v>
      </c>
      <c r="C38" s="462">
        <v>-3.9510182224797621</v>
      </c>
      <c r="D38" s="463">
        <v>0</v>
      </c>
      <c r="E38" s="463">
        <v>2.6317243887215924</v>
      </c>
      <c r="F38" s="463">
        <v>2.413890764912602</v>
      </c>
      <c r="G38" s="463">
        <v>1.6020346388026956</v>
      </c>
      <c r="H38" s="463">
        <v>2.8992092781344123</v>
      </c>
      <c r="I38" s="462">
        <v>1.387276671813465</v>
      </c>
      <c r="J38" s="462">
        <v>0</v>
      </c>
      <c r="K38" s="463">
        <v>0</v>
      </c>
      <c r="L38" s="463">
        <v>5.2590294421939437E-2</v>
      </c>
      <c r="M38" s="463">
        <v>-15.643097984937832</v>
      </c>
      <c r="N38" s="463">
        <v>0</v>
      </c>
      <c r="O38" s="462">
        <v>-8.6827827372952715</v>
      </c>
      <c r="P38" s="462">
        <v>0</v>
      </c>
      <c r="Q38" s="463">
        <v>0</v>
      </c>
      <c r="R38" s="463">
        <v>0</v>
      </c>
      <c r="S38" s="464">
        <v>0</v>
      </c>
    </row>
    <row r="39" spans="1:19">
      <c r="A39" s="470"/>
      <c r="B39" s="77" t="s">
        <v>368</v>
      </c>
      <c r="C39" s="127">
        <v>41150.054428571428</v>
      </c>
      <c r="D39" s="129">
        <v>0</v>
      </c>
      <c r="E39" s="129">
        <v>39787.524449438199</v>
      </c>
      <c r="F39" s="129">
        <v>36354.31768387097</v>
      </c>
      <c r="G39" s="129">
        <v>33512.664347826088</v>
      </c>
      <c r="H39" s="129">
        <v>41832.615424999996</v>
      </c>
      <c r="I39" s="127">
        <v>39251.923410480347</v>
      </c>
      <c r="J39" s="127">
        <v>0</v>
      </c>
      <c r="K39" s="129">
        <v>0</v>
      </c>
      <c r="L39" s="129">
        <v>0</v>
      </c>
      <c r="M39" s="129">
        <v>0</v>
      </c>
      <c r="N39" s="129">
        <v>0</v>
      </c>
      <c r="O39" s="127">
        <v>0</v>
      </c>
      <c r="P39" s="127">
        <v>0</v>
      </c>
      <c r="Q39" s="129">
        <v>0</v>
      </c>
      <c r="R39" s="129">
        <v>0</v>
      </c>
      <c r="S39" s="128">
        <v>0</v>
      </c>
    </row>
    <row r="40" spans="1:19">
      <c r="A40" s="470"/>
      <c r="B40" s="80" t="s">
        <v>370</v>
      </c>
      <c r="C40" s="458">
        <v>0</v>
      </c>
      <c r="D40" s="459">
        <v>0</v>
      </c>
      <c r="E40" s="459">
        <v>41211.179300000003</v>
      </c>
      <c r="F40" s="459">
        <v>38450.652844444448</v>
      </c>
      <c r="G40" s="459">
        <v>34561.010244444442</v>
      </c>
      <c r="H40" s="459">
        <v>40973.832363636364</v>
      </c>
      <c r="I40" s="458">
        <v>37859.46104761905</v>
      </c>
      <c r="J40" s="458">
        <v>0</v>
      </c>
      <c r="K40" s="459">
        <v>0</v>
      </c>
      <c r="L40" s="459">
        <v>0</v>
      </c>
      <c r="M40" s="459">
        <v>43479.288297560975</v>
      </c>
      <c r="N40" s="459">
        <v>0</v>
      </c>
      <c r="O40" s="458">
        <v>43479.288297560975</v>
      </c>
      <c r="P40" s="458">
        <v>0</v>
      </c>
      <c r="Q40" s="459">
        <v>0</v>
      </c>
      <c r="R40" s="459">
        <v>0</v>
      </c>
      <c r="S40" s="460">
        <v>0</v>
      </c>
    </row>
    <row r="41" spans="1:19">
      <c r="A41" s="470"/>
      <c r="B41" s="461" t="s">
        <v>372</v>
      </c>
      <c r="C41" s="462">
        <v>-100</v>
      </c>
      <c r="D41" s="463">
        <v>0</v>
      </c>
      <c r="E41" s="463">
        <v>3.5781438284027418</v>
      </c>
      <c r="F41" s="463">
        <v>5.7663994103884484</v>
      </c>
      <c r="G41" s="463">
        <v>3.1282081476352621</v>
      </c>
      <c r="H41" s="463">
        <v>-2.0529031059588179</v>
      </c>
      <c r="I41" s="462">
        <v>-3.5475009677857128</v>
      </c>
      <c r="J41" s="462">
        <v>0</v>
      </c>
      <c r="K41" s="463">
        <v>0</v>
      </c>
      <c r="L41" s="463">
        <v>0</v>
      </c>
      <c r="M41" s="463">
        <v>0</v>
      </c>
      <c r="N41" s="463">
        <v>0</v>
      </c>
      <c r="O41" s="462">
        <v>0</v>
      </c>
      <c r="P41" s="462">
        <v>0</v>
      </c>
      <c r="Q41" s="463">
        <v>0</v>
      </c>
      <c r="R41" s="463">
        <v>0</v>
      </c>
      <c r="S41" s="464">
        <v>0</v>
      </c>
    </row>
    <row r="42" spans="1:19">
      <c r="A42" s="470"/>
      <c r="B42" s="77" t="s">
        <v>374</v>
      </c>
      <c r="C42" s="127">
        <v>0</v>
      </c>
      <c r="D42" s="129">
        <v>0</v>
      </c>
      <c r="E42" s="129">
        <v>0</v>
      </c>
      <c r="F42" s="129">
        <v>0</v>
      </c>
      <c r="G42" s="129">
        <v>0</v>
      </c>
      <c r="H42" s="129">
        <v>0</v>
      </c>
      <c r="I42" s="127">
        <v>0</v>
      </c>
      <c r="J42" s="127">
        <v>0</v>
      </c>
      <c r="K42" s="129">
        <v>46119.923200000005</v>
      </c>
      <c r="L42" s="129">
        <v>48671</v>
      </c>
      <c r="M42" s="129">
        <v>41509.354837010673</v>
      </c>
      <c r="N42" s="129">
        <v>0</v>
      </c>
      <c r="O42" s="127">
        <v>42885.887324275362</v>
      </c>
      <c r="P42" s="127">
        <v>0</v>
      </c>
      <c r="Q42" s="129">
        <v>0</v>
      </c>
      <c r="R42" s="129">
        <v>0</v>
      </c>
      <c r="S42" s="128">
        <v>0</v>
      </c>
    </row>
    <row r="43" spans="1:19">
      <c r="A43" s="470"/>
      <c r="B43" s="80" t="s">
        <v>376</v>
      </c>
      <c r="C43" s="458">
        <v>0</v>
      </c>
      <c r="D43" s="459">
        <v>0</v>
      </c>
      <c r="E43" s="459">
        <v>0</v>
      </c>
      <c r="F43" s="459">
        <v>0</v>
      </c>
      <c r="G43" s="459">
        <v>0</v>
      </c>
      <c r="H43" s="459">
        <v>0</v>
      </c>
      <c r="I43" s="458">
        <v>0</v>
      </c>
      <c r="J43" s="458">
        <v>0</v>
      </c>
      <c r="K43" s="459">
        <v>44018.560543046355</v>
      </c>
      <c r="L43" s="459">
        <v>49769</v>
      </c>
      <c r="M43" s="459">
        <v>40811.551264765782</v>
      </c>
      <c r="N43" s="459">
        <v>0</v>
      </c>
      <c r="O43" s="458">
        <v>42964.835029715767</v>
      </c>
      <c r="P43" s="458">
        <v>0</v>
      </c>
      <c r="Q43" s="459">
        <v>0</v>
      </c>
      <c r="R43" s="459">
        <v>0</v>
      </c>
      <c r="S43" s="460">
        <v>0</v>
      </c>
    </row>
    <row r="44" spans="1:19">
      <c r="A44" s="470"/>
      <c r="B44" s="461" t="s">
        <v>378</v>
      </c>
      <c r="C44" s="462">
        <v>0</v>
      </c>
      <c r="D44" s="463">
        <v>0</v>
      </c>
      <c r="E44" s="463">
        <v>0</v>
      </c>
      <c r="F44" s="463">
        <v>0</v>
      </c>
      <c r="G44" s="463">
        <v>0</v>
      </c>
      <c r="H44" s="463">
        <v>0</v>
      </c>
      <c r="I44" s="462">
        <v>0</v>
      </c>
      <c r="J44" s="462">
        <v>0</v>
      </c>
      <c r="K44" s="463">
        <v>-4.5563012926995716</v>
      </c>
      <c r="L44" s="463">
        <v>2.2559635100984159</v>
      </c>
      <c r="M44" s="463">
        <v>-1.6810754466911488</v>
      </c>
      <c r="N44" s="463">
        <v>0</v>
      </c>
      <c r="O44" s="462">
        <v>0.18408784419791432</v>
      </c>
      <c r="P44" s="462">
        <v>0</v>
      </c>
      <c r="Q44" s="463">
        <v>0</v>
      </c>
      <c r="R44" s="463">
        <v>0</v>
      </c>
      <c r="S44" s="464">
        <v>0</v>
      </c>
    </row>
    <row r="45" spans="1:19">
      <c r="A45" s="470"/>
      <c r="B45" s="77" t="s">
        <v>380</v>
      </c>
      <c r="C45" s="127">
        <v>75399.75968993135</v>
      </c>
      <c r="D45" s="129">
        <v>0</v>
      </c>
      <c r="E45" s="129">
        <v>58127.522355359572</v>
      </c>
      <c r="F45" s="129">
        <v>52273.388182191782</v>
      </c>
      <c r="G45" s="129">
        <v>48824.431484385386</v>
      </c>
      <c r="H45" s="129">
        <v>50486.260880874317</v>
      </c>
      <c r="I45" s="127">
        <v>60135.889749145674</v>
      </c>
      <c r="J45" s="127">
        <v>0</v>
      </c>
      <c r="K45" s="129">
        <v>46119.923200000005</v>
      </c>
      <c r="L45" s="129">
        <v>45270.83833360656</v>
      </c>
      <c r="M45" s="129">
        <v>41241.851250431035</v>
      </c>
      <c r="N45" s="129">
        <v>0</v>
      </c>
      <c r="O45" s="127">
        <v>42503.40106355997</v>
      </c>
      <c r="P45" s="127">
        <v>0</v>
      </c>
      <c r="Q45" s="129">
        <v>0</v>
      </c>
      <c r="R45" s="129">
        <v>0</v>
      </c>
      <c r="S45" s="128">
        <v>0</v>
      </c>
    </row>
    <row r="46" spans="1:19">
      <c r="A46" s="470"/>
      <c r="B46" s="80" t="s">
        <v>382</v>
      </c>
      <c r="C46" s="458">
        <v>79570.061831009778</v>
      </c>
      <c r="D46" s="459">
        <v>0</v>
      </c>
      <c r="E46" s="459">
        <v>59366.51009589871</v>
      </c>
      <c r="F46" s="459">
        <v>52446.526155053922</v>
      </c>
      <c r="G46" s="459">
        <v>48834.279676994731</v>
      </c>
      <c r="H46" s="459">
        <v>51526.994595564189</v>
      </c>
      <c r="I46" s="458">
        <v>61635.631712850925</v>
      </c>
      <c r="J46" s="458">
        <v>0</v>
      </c>
      <c r="K46" s="459">
        <v>44018.560543046355</v>
      </c>
      <c r="L46" s="459">
        <v>46482.631571453785</v>
      </c>
      <c r="M46" s="459">
        <v>41054.032659468823</v>
      </c>
      <c r="N46" s="459">
        <v>0</v>
      </c>
      <c r="O46" s="458">
        <v>42374.611796969337</v>
      </c>
      <c r="P46" s="458">
        <v>0</v>
      </c>
      <c r="Q46" s="459">
        <v>0</v>
      </c>
      <c r="R46" s="459">
        <v>0</v>
      </c>
      <c r="S46" s="460">
        <v>0</v>
      </c>
    </row>
    <row r="47" spans="1:19">
      <c r="A47" s="475"/>
      <c r="B47" s="476" t="s">
        <v>384</v>
      </c>
      <c r="C47" s="477">
        <v>5.5309223241931855</v>
      </c>
      <c r="D47" s="478">
        <v>0</v>
      </c>
      <c r="E47" s="478">
        <v>2.1314993144979604</v>
      </c>
      <c r="F47" s="478">
        <v>0.33121628209499399</v>
      </c>
      <c r="G47" s="478">
        <v>2.0170624234496445E-2</v>
      </c>
      <c r="H47" s="478">
        <v>2.0614196744447999</v>
      </c>
      <c r="I47" s="477">
        <v>2.4939216330902592</v>
      </c>
      <c r="J47" s="477">
        <v>0</v>
      </c>
      <c r="K47" s="478">
        <v>-4.5563012926995716</v>
      </c>
      <c r="L47" s="478">
        <v>2.6767634142698369</v>
      </c>
      <c r="M47" s="478">
        <v>-0.45540776000022215</v>
      </c>
      <c r="N47" s="478">
        <v>0</v>
      </c>
      <c r="O47" s="477">
        <v>-0.3030093201201482</v>
      </c>
      <c r="P47" s="477">
        <v>0</v>
      </c>
      <c r="Q47" s="478">
        <v>0</v>
      </c>
      <c r="R47" s="478">
        <v>0</v>
      </c>
      <c r="S47" s="479">
        <v>0</v>
      </c>
    </row>
    <row r="48" spans="1:19">
      <c r="A48" s="473" t="s">
        <v>442</v>
      </c>
      <c r="B48" s="80" t="s">
        <v>344</v>
      </c>
      <c r="C48" s="458">
        <v>123828.34135555555</v>
      </c>
      <c r="D48" s="474">
        <v>0</v>
      </c>
      <c r="E48" s="474">
        <v>0</v>
      </c>
      <c r="F48" s="474">
        <v>80791.982605405399</v>
      </c>
      <c r="G48" s="474">
        <v>0</v>
      </c>
      <c r="H48" s="474">
        <v>0</v>
      </c>
      <c r="I48" s="458">
        <v>119991.36479228917</v>
      </c>
      <c r="J48" s="458">
        <v>0</v>
      </c>
      <c r="K48" s="474">
        <v>0</v>
      </c>
      <c r="L48" s="474">
        <v>0</v>
      </c>
      <c r="M48" s="474">
        <v>0</v>
      </c>
      <c r="N48" s="474">
        <v>0</v>
      </c>
      <c r="O48" s="458">
        <v>0</v>
      </c>
      <c r="P48" s="458">
        <v>0</v>
      </c>
      <c r="Q48" s="474">
        <v>0</v>
      </c>
      <c r="R48" s="474">
        <v>0</v>
      </c>
      <c r="S48" s="460">
        <v>0</v>
      </c>
    </row>
    <row r="49" spans="1:19">
      <c r="A49" s="470"/>
      <c r="B49" s="80" t="s">
        <v>346</v>
      </c>
      <c r="C49" s="458">
        <v>127730.13235968586</v>
      </c>
      <c r="D49" s="459">
        <v>0</v>
      </c>
      <c r="E49" s="459">
        <v>0</v>
      </c>
      <c r="F49" s="459">
        <v>80315.741107692316</v>
      </c>
      <c r="G49" s="459">
        <v>0</v>
      </c>
      <c r="H49" s="459">
        <v>0</v>
      </c>
      <c r="I49" s="458">
        <v>123337.82533159145</v>
      </c>
      <c r="J49" s="458">
        <v>0</v>
      </c>
      <c r="K49" s="459">
        <v>0</v>
      </c>
      <c r="L49" s="459">
        <v>0</v>
      </c>
      <c r="M49" s="459">
        <v>0</v>
      </c>
      <c r="N49" s="459">
        <v>0</v>
      </c>
      <c r="O49" s="458">
        <v>0</v>
      </c>
      <c r="P49" s="458">
        <v>0</v>
      </c>
      <c r="Q49" s="459">
        <v>0</v>
      </c>
      <c r="R49" s="459">
        <v>0</v>
      </c>
      <c r="S49" s="460">
        <v>0</v>
      </c>
    </row>
    <row r="50" spans="1:19">
      <c r="A50" s="470"/>
      <c r="B50" s="461" t="s">
        <v>348</v>
      </c>
      <c r="C50" s="462">
        <v>3.1509676713886292</v>
      </c>
      <c r="D50" s="463">
        <v>0</v>
      </c>
      <c r="E50" s="463">
        <v>0</v>
      </c>
      <c r="F50" s="463">
        <v>-0.58946628409787283</v>
      </c>
      <c r="G50" s="463">
        <v>0</v>
      </c>
      <c r="H50" s="463">
        <v>0</v>
      </c>
      <c r="I50" s="462">
        <v>2.7889178067898168</v>
      </c>
      <c r="J50" s="462">
        <v>0</v>
      </c>
      <c r="K50" s="463">
        <v>0</v>
      </c>
      <c r="L50" s="463">
        <v>0</v>
      </c>
      <c r="M50" s="463">
        <v>0</v>
      </c>
      <c r="N50" s="463">
        <v>0</v>
      </c>
      <c r="O50" s="462">
        <v>0</v>
      </c>
      <c r="P50" s="462">
        <v>0</v>
      </c>
      <c r="Q50" s="463">
        <v>0</v>
      </c>
      <c r="R50" s="463">
        <v>0</v>
      </c>
      <c r="S50" s="464">
        <v>0</v>
      </c>
    </row>
    <row r="51" spans="1:19">
      <c r="A51" s="470"/>
      <c r="B51" s="77" t="s">
        <v>350</v>
      </c>
      <c r="C51" s="127">
        <v>83575.321018633549</v>
      </c>
      <c r="D51" s="129">
        <v>0</v>
      </c>
      <c r="E51" s="129">
        <v>0</v>
      </c>
      <c r="F51" s="129">
        <v>62032.944356097556</v>
      </c>
      <c r="G51" s="129">
        <v>0</v>
      </c>
      <c r="H51" s="129">
        <v>0</v>
      </c>
      <c r="I51" s="127">
        <v>77620.911289438198</v>
      </c>
      <c r="J51" s="127">
        <v>0</v>
      </c>
      <c r="K51" s="129">
        <v>0</v>
      </c>
      <c r="L51" s="129">
        <v>0</v>
      </c>
      <c r="M51" s="129">
        <v>0</v>
      </c>
      <c r="N51" s="129">
        <v>0</v>
      </c>
      <c r="O51" s="127">
        <v>0</v>
      </c>
      <c r="P51" s="127">
        <v>0</v>
      </c>
      <c r="Q51" s="129">
        <v>0</v>
      </c>
      <c r="R51" s="129">
        <v>0</v>
      </c>
      <c r="S51" s="128">
        <v>0</v>
      </c>
    </row>
    <row r="52" spans="1:19">
      <c r="A52" s="470"/>
      <c r="B52" s="80" t="s">
        <v>352</v>
      </c>
      <c r="C52" s="458">
        <v>86780.443393292677</v>
      </c>
      <c r="D52" s="459">
        <v>0</v>
      </c>
      <c r="E52" s="459">
        <v>0</v>
      </c>
      <c r="F52" s="459">
        <v>64013.429039999995</v>
      </c>
      <c r="G52" s="459">
        <v>0</v>
      </c>
      <c r="H52" s="459">
        <v>0</v>
      </c>
      <c r="I52" s="458">
        <v>82094.738260048427</v>
      </c>
      <c r="J52" s="458">
        <v>0</v>
      </c>
      <c r="K52" s="459">
        <v>0</v>
      </c>
      <c r="L52" s="459">
        <v>0</v>
      </c>
      <c r="M52" s="459">
        <v>0</v>
      </c>
      <c r="N52" s="459">
        <v>0</v>
      </c>
      <c r="O52" s="458">
        <v>0</v>
      </c>
      <c r="P52" s="458">
        <v>0</v>
      </c>
      <c r="Q52" s="459">
        <v>0</v>
      </c>
      <c r="R52" s="459">
        <v>0</v>
      </c>
      <c r="S52" s="460">
        <v>0</v>
      </c>
    </row>
    <row r="53" spans="1:19">
      <c r="A53" s="470"/>
      <c r="B53" s="461" t="s">
        <v>354</v>
      </c>
      <c r="C53" s="462">
        <v>3.8350105456903107</v>
      </c>
      <c r="D53" s="463">
        <v>0</v>
      </c>
      <c r="E53" s="463">
        <v>0</v>
      </c>
      <c r="F53" s="463">
        <v>3.1926336956271957</v>
      </c>
      <c r="G53" s="463">
        <v>0</v>
      </c>
      <c r="H53" s="463">
        <v>0</v>
      </c>
      <c r="I53" s="462">
        <v>5.763687769559823</v>
      </c>
      <c r="J53" s="462">
        <v>0</v>
      </c>
      <c r="K53" s="463">
        <v>0</v>
      </c>
      <c r="L53" s="463">
        <v>0</v>
      </c>
      <c r="M53" s="463">
        <v>0</v>
      </c>
      <c r="N53" s="463">
        <v>0</v>
      </c>
      <c r="O53" s="462">
        <v>0</v>
      </c>
      <c r="P53" s="462">
        <v>0</v>
      </c>
      <c r="Q53" s="463">
        <v>0</v>
      </c>
      <c r="R53" s="463">
        <v>0</v>
      </c>
      <c r="S53" s="464">
        <v>0</v>
      </c>
    </row>
    <row r="54" spans="1:19">
      <c r="A54" s="470"/>
      <c r="B54" s="77" t="s">
        <v>356</v>
      </c>
      <c r="C54" s="127">
        <v>69135.215897986578</v>
      </c>
      <c r="D54" s="129">
        <v>0</v>
      </c>
      <c r="E54" s="129">
        <v>0</v>
      </c>
      <c r="F54" s="129">
        <v>56827.976444444444</v>
      </c>
      <c r="G54" s="129">
        <v>0</v>
      </c>
      <c r="H54" s="129">
        <v>0</v>
      </c>
      <c r="I54" s="127">
        <v>68774.417347231269</v>
      </c>
      <c r="J54" s="127">
        <v>0</v>
      </c>
      <c r="K54" s="129">
        <v>0</v>
      </c>
      <c r="L54" s="129">
        <v>0</v>
      </c>
      <c r="M54" s="129">
        <v>0</v>
      </c>
      <c r="N54" s="129">
        <v>0</v>
      </c>
      <c r="O54" s="127">
        <v>0</v>
      </c>
      <c r="P54" s="127">
        <v>0</v>
      </c>
      <c r="Q54" s="129">
        <v>0</v>
      </c>
      <c r="R54" s="129">
        <v>0</v>
      </c>
      <c r="S54" s="128">
        <v>0</v>
      </c>
    </row>
    <row r="55" spans="1:19">
      <c r="A55" s="470"/>
      <c r="B55" s="80" t="s">
        <v>358</v>
      </c>
      <c r="C55" s="458">
        <v>73632.624209271526</v>
      </c>
      <c r="D55" s="459">
        <v>0</v>
      </c>
      <c r="E55" s="459">
        <v>0</v>
      </c>
      <c r="F55" s="459">
        <v>57269.878688524594</v>
      </c>
      <c r="G55" s="459">
        <v>0</v>
      </c>
      <c r="H55" s="459">
        <v>0</v>
      </c>
      <c r="I55" s="458">
        <v>70882.961738842976</v>
      </c>
      <c r="J55" s="458">
        <v>0</v>
      </c>
      <c r="K55" s="459">
        <v>0</v>
      </c>
      <c r="L55" s="459">
        <v>0</v>
      </c>
      <c r="M55" s="459">
        <v>0</v>
      </c>
      <c r="N55" s="459">
        <v>0</v>
      </c>
      <c r="O55" s="458">
        <v>0</v>
      </c>
      <c r="P55" s="458">
        <v>0</v>
      </c>
      <c r="Q55" s="459">
        <v>0</v>
      </c>
      <c r="R55" s="459">
        <v>0</v>
      </c>
      <c r="S55" s="460">
        <v>0</v>
      </c>
    </row>
    <row r="56" spans="1:19">
      <c r="A56" s="470"/>
      <c r="B56" s="461" t="s">
        <v>360</v>
      </c>
      <c r="C56" s="462">
        <v>6.5052350714014704</v>
      </c>
      <c r="D56" s="463">
        <v>0</v>
      </c>
      <c r="E56" s="463">
        <v>0</v>
      </c>
      <c r="F56" s="463">
        <v>0.77761390028053667</v>
      </c>
      <c r="G56" s="463">
        <v>0</v>
      </c>
      <c r="H56" s="463">
        <v>0</v>
      </c>
      <c r="I56" s="462">
        <v>3.0658847765528812</v>
      </c>
      <c r="J56" s="462">
        <v>0</v>
      </c>
      <c r="K56" s="463">
        <v>0</v>
      </c>
      <c r="L56" s="463">
        <v>0</v>
      </c>
      <c r="M56" s="463">
        <v>0</v>
      </c>
      <c r="N56" s="463">
        <v>0</v>
      </c>
      <c r="O56" s="462">
        <v>0</v>
      </c>
      <c r="P56" s="462">
        <v>0</v>
      </c>
      <c r="Q56" s="463">
        <v>0</v>
      </c>
      <c r="R56" s="463">
        <v>0</v>
      </c>
      <c r="S56" s="464">
        <v>0</v>
      </c>
    </row>
    <row r="57" spans="1:19">
      <c r="A57" s="470"/>
      <c r="B57" s="77" t="s">
        <v>362</v>
      </c>
      <c r="C57" s="127">
        <v>54942.473474576269</v>
      </c>
      <c r="D57" s="129">
        <v>0</v>
      </c>
      <c r="E57" s="129">
        <v>0</v>
      </c>
      <c r="F57" s="129">
        <v>43013.042857142857</v>
      </c>
      <c r="G57" s="129">
        <v>0</v>
      </c>
      <c r="H57" s="129">
        <v>0</v>
      </c>
      <c r="I57" s="127">
        <v>53677.230833333335</v>
      </c>
      <c r="J57" s="127">
        <v>0</v>
      </c>
      <c r="K57" s="129">
        <v>0</v>
      </c>
      <c r="L57" s="129">
        <v>0</v>
      </c>
      <c r="M57" s="129">
        <v>0</v>
      </c>
      <c r="N57" s="129">
        <v>0</v>
      </c>
      <c r="O57" s="127">
        <v>0</v>
      </c>
      <c r="P57" s="127">
        <v>0</v>
      </c>
      <c r="Q57" s="129">
        <v>0</v>
      </c>
      <c r="R57" s="129">
        <v>0</v>
      </c>
      <c r="S57" s="128">
        <v>0</v>
      </c>
    </row>
    <row r="58" spans="1:19">
      <c r="A58" s="470"/>
      <c r="B58" s="80" t="s">
        <v>364</v>
      </c>
      <c r="C58" s="458">
        <v>57661.272655238099</v>
      </c>
      <c r="D58" s="459">
        <v>0</v>
      </c>
      <c r="E58" s="459">
        <v>0</v>
      </c>
      <c r="F58" s="459">
        <v>45150.257142857139</v>
      </c>
      <c r="G58" s="459">
        <v>0</v>
      </c>
      <c r="H58" s="459">
        <v>0</v>
      </c>
      <c r="I58" s="458">
        <v>56879.334185714288</v>
      </c>
      <c r="J58" s="458">
        <v>0</v>
      </c>
      <c r="K58" s="459">
        <v>0</v>
      </c>
      <c r="L58" s="459">
        <v>0</v>
      </c>
      <c r="M58" s="459">
        <v>0</v>
      </c>
      <c r="N58" s="459">
        <v>0</v>
      </c>
      <c r="O58" s="458">
        <v>0</v>
      </c>
      <c r="P58" s="458">
        <v>0</v>
      </c>
      <c r="Q58" s="459">
        <v>0</v>
      </c>
      <c r="R58" s="459">
        <v>0</v>
      </c>
      <c r="S58" s="460">
        <v>0</v>
      </c>
    </row>
    <row r="59" spans="1:19">
      <c r="A59" s="470"/>
      <c r="B59" s="461" t="s">
        <v>366</v>
      </c>
      <c r="C59" s="462">
        <v>4.948447000515749</v>
      </c>
      <c r="D59" s="463">
        <v>0</v>
      </c>
      <c r="E59" s="463">
        <v>0</v>
      </c>
      <c r="F59" s="463">
        <v>4.9687586456333932</v>
      </c>
      <c r="G59" s="463">
        <v>0</v>
      </c>
      <c r="H59" s="463">
        <v>0</v>
      </c>
      <c r="I59" s="462">
        <v>5.9654779180457647</v>
      </c>
      <c r="J59" s="462">
        <v>0</v>
      </c>
      <c r="K59" s="463">
        <v>0</v>
      </c>
      <c r="L59" s="463">
        <v>0</v>
      </c>
      <c r="M59" s="463">
        <v>0</v>
      </c>
      <c r="N59" s="463">
        <v>0</v>
      </c>
      <c r="O59" s="462">
        <v>0</v>
      </c>
      <c r="P59" s="462">
        <v>0</v>
      </c>
      <c r="Q59" s="463">
        <v>0</v>
      </c>
      <c r="R59" s="463">
        <v>0</v>
      </c>
      <c r="S59" s="464">
        <v>0</v>
      </c>
    </row>
    <row r="60" spans="1:19">
      <c r="A60" s="470"/>
      <c r="B60" s="77" t="s">
        <v>368</v>
      </c>
      <c r="C60" s="127">
        <v>47379.507400000002</v>
      </c>
      <c r="D60" s="129">
        <v>0</v>
      </c>
      <c r="E60" s="129">
        <v>0</v>
      </c>
      <c r="F60" s="129">
        <v>38786</v>
      </c>
      <c r="G60" s="129">
        <v>0</v>
      </c>
      <c r="H60" s="129">
        <v>0</v>
      </c>
      <c r="I60" s="127">
        <v>43082.753700000001</v>
      </c>
      <c r="J60" s="127">
        <v>0</v>
      </c>
      <c r="K60" s="129">
        <v>0</v>
      </c>
      <c r="L60" s="129">
        <v>0</v>
      </c>
      <c r="M60" s="129">
        <v>0</v>
      </c>
      <c r="N60" s="129">
        <v>0</v>
      </c>
      <c r="O60" s="127">
        <v>0</v>
      </c>
      <c r="P60" s="127">
        <v>0</v>
      </c>
      <c r="Q60" s="129">
        <v>0</v>
      </c>
      <c r="R60" s="129">
        <v>0</v>
      </c>
      <c r="S60" s="128">
        <v>0</v>
      </c>
    </row>
    <row r="61" spans="1:19">
      <c r="A61" s="470"/>
      <c r="B61" s="80" t="s">
        <v>370</v>
      </c>
      <c r="C61" s="458">
        <v>0</v>
      </c>
      <c r="D61" s="459">
        <v>0</v>
      </c>
      <c r="E61" s="459">
        <v>0</v>
      </c>
      <c r="F61" s="459">
        <v>38786</v>
      </c>
      <c r="G61" s="459">
        <v>0</v>
      </c>
      <c r="H61" s="459">
        <v>0</v>
      </c>
      <c r="I61" s="458">
        <v>38786</v>
      </c>
      <c r="J61" s="458">
        <v>0</v>
      </c>
      <c r="K61" s="459">
        <v>0</v>
      </c>
      <c r="L61" s="459">
        <v>0</v>
      </c>
      <c r="M61" s="459">
        <v>0</v>
      </c>
      <c r="N61" s="459">
        <v>0</v>
      </c>
      <c r="O61" s="458">
        <v>0</v>
      </c>
      <c r="P61" s="458">
        <v>0</v>
      </c>
      <c r="Q61" s="459">
        <v>0</v>
      </c>
      <c r="R61" s="459">
        <v>0</v>
      </c>
      <c r="S61" s="460">
        <v>0</v>
      </c>
    </row>
    <row r="62" spans="1:19">
      <c r="A62" s="470"/>
      <c r="B62" s="461" t="s">
        <v>372</v>
      </c>
      <c r="C62" s="462">
        <v>-100</v>
      </c>
      <c r="D62" s="463">
        <v>0</v>
      </c>
      <c r="E62" s="463">
        <v>0</v>
      </c>
      <c r="F62" s="463">
        <v>0</v>
      </c>
      <c r="G62" s="463">
        <v>0</v>
      </c>
      <c r="H62" s="463">
        <v>0</v>
      </c>
      <c r="I62" s="462">
        <v>-9.9732568858522175</v>
      </c>
      <c r="J62" s="462">
        <v>0</v>
      </c>
      <c r="K62" s="463">
        <v>0</v>
      </c>
      <c r="L62" s="463">
        <v>0</v>
      </c>
      <c r="M62" s="463">
        <v>0</v>
      </c>
      <c r="N62" s="463">
        <v>0</v>
      </c>
      <c r="O62" s="462">
        <v>0</v>
      </c>
      <c r="P62" s="462">
        <v>0</v>
      </c>
      <c r="Q62" s="463">
        <v>0</v>
      </c>
      <c r="R62" s="463">
        <v>0</v>
      </c>
      <c r="S62" s="464">
        <v>0</v>
      </c>
    </row>
    <row r="63" spans="1:19">
      <c r="A63" s="470"/>
      <c r="B63" s="77" t="s">
        <v>374</v>
      </c>
      <c r="C63" s="127">
        <v>0</v>
      </c>
      <c r="D63" s="129">
        <v>0</v>
      </c>
      <c r="E63" s="129">
        <v>0</v>
      </c>
      <c r="F63" s="129">
        <v>0</v>
      </c>
      <c r="G63" s="129">
        <v>0</v>
      </c>
      <c r="H63" s="129">
        <v>0</v>
      </c>
      <c r="I63" s="127">
        <v>0</v>
      </c>
      <c r="J63" s="127">
        <v>0</v>
      </c>
      <c r="K63" s="129">
        <v>0</v>
      </c>
      <c r="L63" s="129">
        <v>63941.920042567574</v>
      </c>
      <c r="M63" s="129">
        <v>63104.401948717947</v>
      </c>
      <c r="N63" s="129">
        <v>0</v>
      </c>
      <c r="O63" s="127">
        <v>63767.250493582884</v>
      </c>
      <c r="P63" s="127">
        <v>0</v>
      </c>
      <c r="Q63" s="129">
        <v>0</v>
      </c>
      <c r="R63" s="129">
        <v>0</v>
      </c>
      <c r="S63" s="128">
        <v>0</v>
      </c>
    </row>
    <row r="64" spans="1:19">
      <c r="A64" s="470"/>
      <c r="B64" s="80" t="s">
        <v>376</v>
      </c>
      <c r="C64" s="458">
        <v>0</v>
      </c>
      <c r="D64" s="459">
        <v>0</v>
      </c>
      <c r="E64" s="459">
        <v>0</v>
      </c>
      <c r="F64" s="459">
        <v>0</v>
      </c>
      <c r="G64" s="459">
        <v>0</v>
      </c>
      <c r="H64" s="459">
        <v>0</v>
      </c>
      <c r="I64" s="458">
        <v>0</v>
      </c>
      <c r="J64" s="458">
        <v>0</v>
      </c>
      <c r="K64" s="459">
        <v>0</v>
      </c>
      <c r="L64" s="459">
        <v>63937.778835616446</v>
      </c>
      <c r="M64" s="459">
        <v>63432.220661728403</v>
      </c>
      <c r="N64" s="459">
        <v>0</v>
      </c>
      <c r="O64" s="458">
        <v>63827.992744235926</v>
      </c>
      <c r="P64" s="458">
        <v>0</v>
      </c>
      <c r="Q64" s="459">
        <v>0</v>
      </c>
      <c r="R64" s="459">
        <v>0</v>
      </c>
      <c r="S64" s="460">
        <v>0</v>
      </c>
    </row>
    <row r="65" spans="1:19">
      <c r="A65" s="470"/>
      <c r="B65" s="461" t="s">
        <v>378</v>
      </c>
      <c r="C65" s="462">
        <v>0</v>
      </c>
      <c r="D65" s="463">
        <v>0</v>
      </c>
      <c r="E65" s="463">
        <v>0</v>
      </c>
      <c r="F65" s="463">
        <v>0</v>
      </c>
      <c r="G65" s="463">
        <v>0</v>
      </c>
      <c r="H65" s="463">
        <v>0</v>
      </c>
      <c r="I65" s="462">
        <v>0</v>
      </c>
      <c r="J65" s="462">
        <v>0</v>
      </c>
      <c r="K65" s="463">
        <v>0</v>
      </c>
      <c r="L65" s="463">
        <v>-6.4765132926428784E-3</v>
      </c>
      <c r="M65" s="463">
        <v>0.51948628445422773</v>
      </c>
      <c r="N65" s="463">
        <v>0</v>
      </c>
      <c r="O65" s="462">
        <v>9.5256185867939672E-2</v>
      </c>
      <c r="P65" s="462">
        <v>0</v>
      </c>
      <c r="Q65" s="463">
        <v>0</v>
      </c>
      <c r="R65" s="463">
        <v>0</v>
      </c>
      <c r="S65" s="464">
        <v>0</v>
      </c>
    </row>
    <row r="66" spans="1:19">
      <c r="A66" s="470"/>
      <c r="B66" s="77" t="s">
        <v>380</v>
      </c>
      <c r="C66" s="127">
        <v>90287.602610026865</v>
      </c>
      <c r="D66" s="129">
        <v>0</v>
      </c>
      <c r="E66" s="129">
        <v>0</v>
      </c>
      <c r="F66" s="129">
        <v>63977.042935869562</v>
      </c>
      <c r="G66" s="129">
        <v>0</v>
      </c>
      <c r="H66" s="129">
        <v>0</v>
      </c>
      <c r="I66" s="127">
        <v>86566.508851345119</v>
      </c>
      <c r="J66" s="127">
        <v>0</v>
      </c>
      <c r="K66" s="129">
        <v>0</v>
      </c>
      <c r="L66" s="129">
        <v>63941.920042567574</v>
      </c>
      <c r="M66" s="129">
        <v>63104.401948717947</v>
      </c>
      <c r="N66" s="129">
        <v>0</v>
      </c>
      <c r="O66" s="127">
        <v>63767.250493582884</v>
      </c>
      <c r="P66" s="127">
        <v>0</v>
      </c>
      <c r="Q66" s="129">
        <v>0</v>
      </c>
      <c r="R66" s="129">
        <v>0</v>
      </c>
      <c r="S66" s="128">
        <v>0</v>
      </c>
    </row>
    <row r="67" spans="1:19">
      <c r="A67" s="470"/>
      <c r="B67" s="80" t="s">
        <v>382</v>
      </c>
      <c r="C67" s="458">
        <v>94492.73243903312</v>
      </c>
      <c r="D67" s="459">
        <v>0</v>
      </c>
      <c r="E67" s="459">
        <v>0</v>
      </c>
      <c r="F67" s="459">
        <v>64361.428868393785</v>
      </c>
      <c r="G67" s="459">
        <v>0</v>
      </c>
      <c r="H67" s="459">
        <v>0</v>
      </c>
      <c r="I67" s="458">
        <v>90053.540386259541</v>
      </c>
      <c r="J67" s="458">
        <v>0</v>
      </c>
      <c r="K67" s="459">
        <v>0</v>
      </c>
      <c r="L67" s="459">
        <v>63937.778835616446</v>
      </c>
      <c r="M67" s="459">
        <v>63432.220661728403</v>
      </c>
      <c r="N67" s="459">
        <v>0</v>
      </c>
      <c r="O67" s="458">
        <v>63827.992744235926</v>
      </c>
      <c r="P67" s="458">
        <v>0</v>
      </c>
      <c r="Q67" s="459">
        <v>0</v>
      </c>
      <c r="R67" s="459">
        <v>0</v>
      </c>
      <c r="S67" s="460">
        <v>0</v>
      </c>
    </row>
    <row r="68" spans="1:19">
      <c r="A68" s="475"/>
      <c r="B68" s="476" t="s">
        <v>384</v>
      </c>
      <c r="C68" s="477">
        <v>4.6574830956240891</v>
      </c>
      <c r="D68" s="478">
        <v>0</v>
      </c>
      <c r="E68" s="478">
        <v>0</v>
      </c>
      <c r="F68" s="478">
        <v>0.60081853565743959</v>
      </c>
      <c r="G68" s="478">
        <v>0</v>
      </c>
      <c r="H68" s="478">
        <v>0</v>
      </c>
      <c r="I68" s="477">
        <v>4.0281531289455925</v>
      </c>
      <c r="J68" s="477">
        <v>0</v>
      </c>
      <c r="K68" s="478">
        <v>0</v>
      </c>
      <c r="L68" s="478">
        <v>-6.4765132926428784E-3</v>
      </c>
      <c r="M68" s="478">
        <v>0.51948628445422773</v>
      </c>
      <c r="N68" s="478">
        <v>0</v>
      </c>
      <c r="O68" s="477">
        <v>9.5256185867939672E-2</v>
      </c>
      <c r="P68" s="477">
        <v>0</v>
      </c>
      <c r="Q68" s="478">
        <v>0</v>
      </c>
      <c r="R68" s="478">
        <v>0</v>
      </c>
      <c r="S68" s="479">
        <v>0</v>
      </c>
    </row>
    <row r="69" spans="1:19">
      <c r="A69" s="473" t="s">
        <v>450</v>
      </c>
      <c r="B69" s="80" t="s">
        <v>344</v>
      </c>
      <c r="C69" s="458">
        <v>105875.96951508356</v>
      </c>
      <c r="D69" s="474">
        <v>99380.291081094067</v>
      </c>
      <c r="E69" s="474">
        <v>89537.698574744019</v>
      </c>
      <c r="F69" s="474">
        <v>90197.379309433963</v>
      </c>
      <c r="G69" s="474">
        <v>0</v>
      </c>
      <c r="H69" s="474">
        <v>80762.794629629629</v>
      </c>
      <c r="I69" s="458">
        <v>102467.74924785939</v>
      </c>
      <c r="J69" s="458">
        <v>0</v>
      </c>
      <c r="K69" s="474">
        <v>0</v>
      </c>
      <c r="L69" s="474">
        <v>0</v>
      </c>
      <c r="M69" s="474">
        <v>0</v>
      </c>
      <c r="N69" s="474">
        <v>0</v>
      </c>
      <c r="O69" s="458">
        <v>0</v>
      </c>
      <c r="P69" s="458">
        <v>0</v>
      </c>
      <c r="Q69" s="474">
        <v>0</v>
      </c>
      <c r="R69" s="474">
        <v>0</v>
      </c>
      <c r="S69" s="460">
        <v>0</v>
      </c>
    </row>
    <row r="70" spans="1:19">
      <c r="A70" s="470"/>
      <c r="B70" s="80" t="s">
        <v>346</v>
      </c>
      <c r="C70" s="458">
        <v>109684.57031500294</v>
      </c>
      <c r="D70" s="459">
        <v>98377.786515298154</v>
      </c>
      <c r="E70" s="459">
        <v>88832.691460403628</v>
      </c>
      <c r="F70" s="459">
        <v>87935.656788244902</v>
      </c>
      <c r="G70" s="459">
        <v>0</v>
      </c>
      <c r="H70" s="459">
        <v>83075.095263157898</v>
      </c>
      <c r="I70" s="458">
        <v>104409.96980215638</v>
      </c>
      <c r="J70" s="458">
        <v>0</v>
      </c>
      <c r="K70" s="459">
        <v>0</v>
      </c>
      <c r="L70" s="459">
        <v>0</v>
      </c>
      <c r="M70" s="459">
        <v>0</v>
      </c>
      <c r="N70" s="459">
        <v>0</v>
      </c>
      <c r="O70" s="458">
        <v>0</v>
      </c>
      <c r="P70" s="458">
        <v>0</v>
      </c>
      <c r="Q70" s="459">
        <v>0</v>
      </c>
      <c r="R70" s="459">
        <v>0</v>
      </c>
      <c r="S70" s="460">
        <v>0</v>
      </c>
    </row>
    <row r="71" spans="1:19">
      <c r="A71" s="470"/>
      <c r="B71" s="461" t="s">
        <v>348</v>
      </c>
      <c r="C71" s="462">
        <v>3.5972287360039643</v>
      </c>
      <c r="D71" s="463">
        <v>-1.0087559161784618</v>
      </c>
      <c r="E71" s="463">
        <v>-0.78738578896113498</v>
      </c>
      <c r="F71" s="463">
        <v>-2.5075257601774941</v>
      </c>
      <c r="G71" s="463">
        <v>0</v>
      </c>
      <c r="H71" s="463">
        <v>2.8630765492108798</v>
      </c>
      <c r="I71" s="462">
        <v>1.8954457071160502</v>
      </c>
      <c r="J71" s="462">
        <v>0</v>
      </c>
      <c r="K71" s="463">
        <v>0</v>
      </c>
      <c r="L71" s="463">
        <v>0</v>
      </c>
      <c r="M71" s="463">
        <v>0</v>
      </c>
      <c r="N71" s="463">
        <v>0</v>
      </c>
      <c r="O71" s="462">
        <v>0</v>
      </c>
      <c r="P71" s="462">
        <v>0</v>
      </c>
      <c r="Q71" s="463">
        <v>0</v>
      </c>
      <c r="R71" s="463">
        <v>0</v>
      </c>
      <c r="S71" s="464">
        <v>0</v>
      </c>
    </row>
    <row r="72" spans="1:19">
      <c r="A72" s="470"/>
      <c r="B72" s="77" t="s">
        <v>350</v>
      </c>
      <c r="C72" s="127">
        <v>73362.412032754452</v>
      </c>
      <c r="D72" s="129">
        <v>73660.114376987854</v>
      </c>
      <c r="E72" s="129">
        <v>70680.781117475723</v>
      </c>
      <c r="F72" s="129">
        <v>71225.354827586198</v>
      </c>
      <c r="G72" s="129">
        <v>0</v>
      </c>
      <c r="H72" s="129">
        <v>64604.347666666661</v>
      </c>
      <c r="I72" s="127">
        <v>72809.133949797804</v>
      </c>
      <c r="J72" s="127">
        <v>0</v>
      </c>
      <c r="K72" s="129">
        <v>0</v>
      </c>
      <c r="L72" s="129">
        <v>0</v>
      </c>
      <c r="M72" s="129">
        <v>0</v>
      </c>
      <c r="N72" s="129">
        <v>0</v>
      </c>
      <c r="O72" s="127">
        <v>0</v>
      </c>
      <c r="P72" s="127">
        <v>0</v>
      </c>
      <c r="Q72" s="129">
        <v>0</v>
      </c>
      <c r="R72" s="129">
        <v>0</v>
      </c>
      <c r="S72" s="128">
        <v>0</v>
      </c>
    </row>
    <row r="73" spans="1:19">
      <c r="A73" s="470"/>
      <c r="B73" s="80" t="s">
        <v>352</v>
      </c>
      <c r="C73" s="458">
        <v>74932.408213260933</v>
      </c>
      <c r="D73" s="459">
        <v>73746.377573536753</v>
      </c>
      <c r="E73" s="459">
        <v>70762.896820169204</v>
      </c>
      <c r="F73" s="459">
        <v>71068.007021417725</v>
      </c>
      <c r="G73" s="459">
        <v>0</v>
      </c>
      <c r="H73" s="459">
        <v>66688.202857142853</v>
      </c>
      <c r="I73" s="458">
        <v>73769.188249110943</v>
      </c>
      <c r="J73" s="458">
        <v>0</v>
      </c>
      <c r="K73" s="459">
        <v>0</v>
      </c>
      <c r="L73" s="459">
        <v>0</v>
      </c>
      <c r="M73" s="459">
        <v>0</v>
      </c>
      <c r="N73" s="459">
        <v>0</v>
      </c>
      <c r="O73" s="458">
        <v>0</v>
      </c>
      <c r="P73" s="458">
        <v>0</v>
      </c>
      <c r="Q73" s="459">
        <v>0</v>
      </c>
      <c r="R73" s="459">
        <v>0</v>
      </c>
      <c r="S73" s="460">
        <v>0</v>
      </c>
    </row>
    <row r="74" spans="1:19">
      <c r="A74" s="470"/>
      <c r="B74" s="461" t="s">
        <v>354</v>
      </c>
      <c r="C74" s="462">
        <v>2.1400552912648481</v>
      </c>
      <c r="D74" s="463">
        <v>0.11710977817304014</v>
      </c>
      <c r="E74" s="463">
        <v>0.11617826146686229</v>
      </c>
      <c r="F74" s="463">
        <v>-0.22091544022400655</v>
      </c>
      <c r="G74" s="463">
        <v>0</v>
      </c>
      <c r="H74" s="463">
        <v>3.2255649437528184</v>
      </c>
      <c r="I74" s="462">
        <v>1.3185904669256194</v>
      </c>
      <c r="J74" s="462">
        <v>0</v>
      </c>
      <c r="K74" s="463">
        <v>0</v>
      </c>
      <c r="L74" s="463">
        <v>0</v>
      </c>
      <c r="M74" s="463">
        <v>0</v>
      </c>
      <c r="N74" s="463">
        <v>0</v>
      </c>
      <c r="O74" s="462">
        <v>0</v>
      </c>
      <c r="P74" s="462">
        <v>0</v>
      </c>
      <c r="Q74" s="463">
        <v>0</v>
      </c>
      <c r="R74" s="463">
        <v>0</v>
      </c>
      <c r="S74" s="464">
        <v>0</v>
      </c>
    </row>
    <row r="75" spans="1:19">
      <c r="A75" s="470"/>
      <c r="B75" s="77" t="s">
        <v>356</v>
      </c>
      <c r="C75" s="127">
        <v>63028.977527125491</v>
      </c>
      <c r="D75" s="129">
        <v>66871.509766256291</v>
      </c>
      <c r="E75" s="129">
        <v>56968.861827334855</v>
      </c>
      <c r="F75" s="129">
        <v>57030.775412121213</v>
      </c>
      <c r="G75" s="129">
        <v>0</v>
      </c>
      <c r="H75" s="129">
        <v>51507.022000000004</v>
      </c>
      <c r="I75" s="127">
        <v>62318.444145135785</v>
      </c>
      <c r="J75" s="127">
        <v>0</v>
      </c>
      <c r="K75" s="129">
        <v>0</v>
      </c>
      <c r="L75" s="129">
        <v>0</v>
      </c>
      <c r="M75" s="129">
        <v>0</v>
      </c>
      <c r="N75" s="129">
        <v>0</v>
      </c>
      <c r="O75" s="127">
        <v>0</v>
      </c>
      <c r="P75" s="127">
        <v>0</v>
      </c>
      <c r="Q75" s="129">
        <v>0</v>
      </c>
      <c r="R75" s="129">
        <v>0</v>
      </c>
      <c r="S75" s="128">
        <v>0</v>
      </c>
    </row>
    <row r="76" spans="1:19">
      <c r="A76" s="470"/>
      <c r="B76" s="80" t="s">
        <v>358</v>
      </c>
      <c r="C76" s="458">
        <v>64690.570068995854</v>
      </c>
      <c r="D76" s="459">
        <v>67155.601402759683</v>
      </c>
      <c r="E76" s="459">
        <v>58119.964638399993</v>
      </c>
      <c r="F76" s="459">
        <v>57658.258040382985</v>
      </c>
      <c r="G76" s="459">
        <v>0</v>
      </c>
      <c r="H76" s="459">
        <v>53879.287199999999</v>
      </c>
      <c r="I76" s="458">
        <v>63550.552279801006</v>
      </c>
      <c r="J76" s="458">
        <v>0</v>
      </c>
      <c r="K76" s="459">
        <v>0</v>
      </c>
      <c r="L76" s="459">
        <v>0</v>
      </c>
      <c r="M76" s="459">
        <v>0</v>
      </c>
      <c r="N76" s="459">
        <v>0</v>
      </c>
      <c r="O76" s="458">
        <v>0</v>
      </c>
      <c r="P76" s="458">
        <v>0</v>
      </c>
      <c r="Q76" s="459">
        <v>0</v>
      </c>
      <c r="R76" s="459">
        <v>0</v>
      </c>
      <c r="S76" s="460">
        <v>0</v>
      </c>
    </row>
    <row r="77" spans="1:19">
      <c r="A77" s="470"/>
      <c r="B77" s="461" t="s">
        <v>360</v>
      </c>
      <c r="C77" s="462">
        <v>2.6362359141162823</v>
      </c>
      <c r="D77" s="463">
        <v>0.42483209590513216</v>
      </c>
      <c r="E77" s="463">
        <v>2.0205824272108162</v>
      </c>
      <c r="F77" s="463">
        <v>1.1002526683661544</v>
      </c>
      <c r="G77" s="463">
        <v>0</v>
      </c>
      <c r="H77" s="463">
        <v>4.6057122075510293</v>
      </c>
      <c r="I77" s="462">
        <v>1.9771163281864315</v>
      </c>
      <c r="J77" s="462">
        <v>0</v>
      </c>
      <c r="K77" s="463">
        <v>0</v>
      </c>
      <c r="L77" s="463">
        <v>0</v>
      </c>
      <c r="M77" s="463">
        <v>0</v>
      </c>
      <c r="N77" s="463">
        <v>0</v>
      </c>
      <c r="O77" s="462">
        <v>0</v>
      </c>
      <c r="P77" s="462">
        <v>0</v>
      </c>
      <c r="Q77" s="463">
        <v>0</v>
      </c>
      <c r="R77" s="463">
        <v>0</v>
      </c>
      <c r="S77" s="464">
        <v>0</v>
      </c>
    </row>
    <row r="78" spans="1:19">
      <c r="A78" s="470"/>
      <c r="B78" s="77" t="s">
        <v>362</v>
      </c>
      <c r="C78" s="127">
        <v>46208.029256858848</v>
      </c>
      <c r="D78" s="129">
        <v>47801.690231885499</v>
      </c>
      <c r="E78" s="129">
        <v>44561.254882191781</v>
      </c>
      <c r="F78" s="129">
        <v>42889.423975757578</v>
      </c>
      <c r="G78" s="129">
        <v>0</v>
      </c>
      <c r="H78" s="129">
        <v>39392.949999999997</v>
      </c>
      <c r="I78" s="127">
        <v>46047.28002716841</v>
      </c>
      <c r="J78" s="127">
        <v>0</v>
      </c>
      <c r="K78" s="129">
        <v>0</v>
      </c>
      <c r="L78" s="129">
        <v>0</v>
      </c>
      <c r="M78" s="129">
        <v>0</v>
      </c>
      <c r="N78" s="129">
        <v>0</v>
      </c>
      <c r="O78" s="127">
        <v>0</v>
      </c>
      <c r="P78" s="127">
        <v>0</v>
      </c>
      <c r="Q78" s="129">
        <v>0</v>
      </c>
      <c r="R78" s="129">
        <v>0</v>
      </c>
      <c r="S78" s="128">
        <v>0</v>
      </c>
    </row>
    <row r="79" spans="1:19">
      <c r="A79" s="470"/>
      <c r="B79" s="80" t="s">
        <v>364</v>
      </c>
      <c r="C79" s="458">
        <v>47017.448805371903</v>
      </c>
      <c r="D79" s="459">
        <v>47062.373077976612</v>
      </c>
      <c r="E79" s="459">
        <v>46417.662548406646</v>
      </c>
      <c r="F79" s="459">
        <v>61948.525063288129</v>
      </c>
      <c r="G79" s="459">
        <v>0</v>
      </c>
      <c r="H79" s="459">
        <v>40709.129999999997</v>
      </c>
      <c r="I79" s="458">
        <v>47678.886954186339</v>
      </c>
      <c r="J79" s="458">
        <v>0</v>
      </c>
      <c r="K79" s="459">
        <v>0</v>
      </c>
      <c r="L79" s="459">
        <v>0</v>
      </c>
      <c r="M79" s="459">
        <v>0</v>
      </c>
      <c r="N79" s="459">
        <v>0</v>
      </c>
      <c r="O79" s="458">
        <v>0</v>
      </c>
      <c r="P79" s="458">
        <v>0</v>
      </c>
      <c r="Q79" s="459">
        <v>0</v>
      </c>
      <c r="R79" s="459">
        <v>0</v>
      </c>
      <c r="S79" s="460">
        <v>0</v>
      </c>
    </row>
    <row r="80" spans="1:19">
      <c r="A80" s="470"/>
      <c r="B80" s="461" t="s">
        <v>366</v>
      </c>
      <c r="C80" s="462">
        <v>1.7516859332253591</v>
      </c>
      <c r="D80" s="463">
        <v>-1.5466339167558039</v>
      </c>
      <c r="E80" s="463">
        <v>4.165968106425006</v>
      </c>
      <c r="F80" s="463">
        <v>44.437764187048401</v>
      </c>
      <c r="G80" s="463">
        <v>0</v>
      </c>
      <c r="H80" s="463">
        <v>3.3411562221158873</v>
      </c>
      <c r="I80" s="462">
        <v>3.5433296517302706</v>
      </c>
      <c r="J80" s="462">
        <v>0</v>
      </c>
      <c r="K80" s="463">
        <v>0</v>
      </c>
      <c r="L80" s="463">
        <v>0</v>
      </c>
      <c r="M80" s="463">
        <v>0</v>
      </c>
      <c r="N80" s="463">
        <v>0</v>
      </c>
      <c r="O80" s="462">
        <v>0</v>
      </c>
      <c r="P80" s="462">
        <v>0</v>
      </c>
      <c r="Q80" s="463">
        <v>0</v>
      </c>
      <c r="R80" s="463">
        <v>0</v>
      </c>
      <c r="S80" s="464">
        <v>0</v>
      </c>
    </row>
    <row r="81" spans="1:19">
      <c r="A81" s="470"/>
      <c r="B81" s="77" t="s">
        <v>368</v>
      </c>
      <c r="C81" s="127">
        <v>52591.495670419041</v>
      </c>
      <c r="D81" s="129">
        <v>59352.569233307695</v>
      </c>
      <c r="E81" s="129">
        <v>43818.150580327871</v>
      </c>
      <c r="F81" s="129">
        <v>46460</v>
      </c>
      <c r="G81" s="129">
        <v>0</v>
      </c>
      <c r="H81" s="129">
        <v>0</v>
      </c>
      <c r="I81" s="127">
        <v>52236.196567617983</v>
      </c>
      <c r="J81" s="127">
        <v>0</v>
      </c>
      <c r="K81" s="129">
        <v>0</v>
      </c>
      <c r="L81" s="129">
        <v>0</v>
      </c>
      <c r="M81" s="129">
        <v>0</v>
      </c>
      <c r="N81" s="129">
        <v>0</v>
      </c>
      <c r="O81" s="127">
        <v>0</v>
      </c>
      <c r="P81" s="127">
        <v>0</v>
      </c>
      <c r="Q81" s="129">
        <v>0</v>
      </c>
      <c r="R81" s="129">
        <v>0</v>
      </c>
      <c r="S81" s="128">
        <v>0</v>
      </c>
    </row>
    <row r="82" spans="1:19">
      <c r="A82" s="470"/>
      <c r="B82" s="80" t="s">
        <v>370</v>
      </c>
      <c r="C82" s="458">
        <v>54927.195668490909</v>
      </c>
      <c r="D82" s="459">
        <v>59416.305068982452</v>
      </c>
      <c r="E82" s="459">
        <v>43481.120097937499</v>
      </c>
      <c r="F82" s="459">
        <v>0</v>
      </c>
      <c r="G82" s="459">
        <v>0</v>
      </c>
      <c r="H82" s="459">
        <v>0</v>
      </c>
      <c r="I82" s="458">
        <v>54077.517235893036</v>
      </c>
      <c r="J82" s="458">
        <v>0</v>
      </c>
      <c r="K82" s="459">
        <v>0</v>
      </c>
      <c r="L82" s="459">
        <v>0</v>
      </c>
      <c r="M82" s="459">
        <v>0</v>
      </c>
      <c r="N82" s="459">
        <v>0</v>
      </c>
      <c r="O82" s="458">
        <v>0</v>
      </c>
      <c r="P82" s="458">
        <v>0</v>
      </c>
      <c r="Q82" s="459">
        <v>0</v>
      </c>
      <c r="R82" s="459">
        <v>0</v>
      </c>
      <c r="S82" s="460">
        <v>0</v>
      </c>
    </row>
    <row r="83" spans="1:19">
      <c r="A83" s="470"/>
      <c r="B83" s="461" t="s">
        <v>372</v>
      </c>
      <c r="C83" s="462">
        <v>4.4412123448803564</v>
      </c>
      <c r="D83" s="463">
        <v>0.10738513344589933</v>
      </c>
      <c r="E83" s="463">
        <v>-0.76915725088060027</v>
      </c>
      <c r="F83" s="463">
        <v>-100</v>
      </c>
      <c r="G83" s="463">
        <v>0</v>
      </c>
      <c r="H83" s="463">
        <v>0</v>
      </c>
      <c r="I83" s="462">
        <v>3.5249899289499882</v>
      </c>
      <c r="J83" s="462">
        <v>0</v>
      </c>
      <c r="K83" s="463">
        <v>0</v>
      </c>
      <c r="L83" s="463">
        <v>0</v>
      </c>
      <c r="M83" s="463">
        <v>0</v>
      </c>
      <c r="N83" s="463">
        <v>0</v>
      </c>
      <c r="O83" s="462">
        <v>0</v>
      </c>
      <c r="P83" s="462">
        <v>0</v>
      </c>
      <c r="Q83" s="463">
        <v>0</v>
      </c>
      <c r="R83" s="463">
        <v>0</v>
      </c>
      <c r="S83" s="464">
        <v>0</v>
      </c>
    </row>
    <row r="84" spans="1:19">
      <c r="A84" s="470"/>
      <c r="B84" s="77" t="s">
        <v>374</v>
      </c>
      <c r="C84" s="127">
        <v>0</v>
      </c>
      <c r="D84" s="129">
        <v>0</v>
      </c>
      <c r="E84" s="129">
        <v>0</v>
      </c>
      <c r="F84" s="129">
        <v>0</v>
      </c>
      <c r="G84" s="129">
        <v>0</v>
      </c>
      <c r="H84" s="129">
        <v>0</v>
      </c>
      <c r="I84" s="127">
        <v>0</v>
      </c>
      <c r="J84" s="127">
        <v>57922.527681660897</v>
      </c>
      <c r="K84" s="129">
        <v>52697.438327936412</v>
      </c>
      <c r="L84" s="129">
        <v>47117.777251184831</v>
      </c>
      <c r="M84" s="129">
        <v>42130.275862068964</v>
      </c>
      <c r="N84" s="129">
        <v>0</v>
      </c>
      <c r="O84" s="127">
        <v>53058.876620900075</v>
      </c>
      <c r="P84" s="127">
        <v>0</v>
      </c>
      <c r="Q84" s="129">
        <v>0</v>
      </c>
      <c r="R84" s="129">
        <v>0</v>
      </c>
      <c r="S84" s="128">
        <v>0</v>
      </c>
    </row>
    <row r="85" spans="1:19">
      <c r="A85" s="470"/>
      <c r="B85" s="80" t="s">
        <v>376</v>
      </c>
      <c r="C85" s="458">
        <v>0</v>
      </c>
      <c r="D85" s="459">
        <v>0</v>
      </c>
      <c r="E85" s="459">
        <v>0</v>
      </c>
      <c r="F85" s="459">
        <v>0</v>
      </c>
      <c r="G85" s="459">
        <v>0</v>
      </c>
      <c r="H85" s="459">
        <v>0</v>
      </c>
      <c r="I85" s="458">
        <v>0</v>
      </c>
      <c r="J85" s="458">
        <v>58149.970976253295</v>
      </c>
      <c r="K85" s="459">
        <v>53287.136820925552</v>
      </c>
      <c r="L85" s="459">
        <v>47571.647865853658</v>
      </c>
      <c r="M85" s="459">
        <v>44899.321428571428</v>
      </c>
      <c r="N85" s="459">
        <v>0</v>
      </c>
      <c r="O85" s="458">
        <v>53533.000938438439</v>
      </c>
      <c r="P85" s="458">
        <v>0</v>
      </c>
      <c r="Q85" s="459">
        <v>0</v>
      </c>
      <c r="R85" s="459">
        <v>0</v>
      </c>
      <c r="S85" s="460">
        <v>0</v>
      </c>
    </row>
    <row r="86" spans="1:19">
      <c r="A86" s="470"/>
      <c r="B86" s="461" t="s">
        <v>378</v>
      </c>
      <c r="C86" s="462">
        <v>0</v>
      </c>
      <c r="D86" s="463">
        <v>0</v>
      </c>
      <c r="E86" s="463">
        <v>0</v>
      </c>
      <c r="F86" s="463">
        <v>0</v>
      </c>
      <c r="G86" s="463">
        <v>0</v>
      </c>
      <c r="H86" s="463">
        <v>0</v>
      </c>
      <c r="I86" s="462">
        <v>0</v>
      </c>
      <c r="J86" s="462">
        <v>0.39266810979385136</v>
      </c>
      <c r="K86" s="463">
        <v>1.1190268667699632</v>
      </c>
      <c r="L86" s="463">
        <v>0.96326830582275436</v>
      </c>
      <c r="M86" s="463">
        <v>6.5725787686937762</v>
      </c>
      <c r="N86" s="463">
        <v>0</v>
      </c>
      <c r="O86" s="462">
        <v>0.89358152251494349</v>
      </c>
      <c r="P86" s="462">
        <v>0</v>
      </c>
      <c r="Q86" s="463">
        <v>0</v>
      </c>
      <c r="R86" s="463">
        <v>0</v>
      </c>
      <c r="S86" s="464">
        <v>0</v>
      </c>
    </row>
    <row r="87" spans="1:19">
      <c r="A87" s="470"/>
      <c r="B87" s="77" t="s">
        <v>380</v>
      </c>
      <c r="C87" s="127">
        <v>76761.085371315203</v>
      </c>
      <c r="D87" s="129">
        <v>73602.76549892906</v>
      </c>
      <c r="E87" s="129">
        <v>65165.85663595506</v>
      </c>
      <c r="F87" s="129">
        <v>63726.391247058826</v>
      </c>
      <c r="G87" s="129">
        <v>0</v>
      </c>
      <c r="H87" s="129">
        <v>64657.885845410638</v>
      </c>
      <c r="I87" s="127">
        <v>73881.878043185527</v>
      </c>
      <c r="J87" s="127">
        <v>57922.527681660897</v>
      </c>
      <c r="K87" s="129">
        <v>52697.438327936412</v>
      </c>
      <c r="L87" s="129">
        <v>47117.777251184831</v>
      </c>
      <c r="M87" s="129">
        <v>42130.275862068964</v>
      </c>
      <c r="N87" s="129">
        <v>0</v>
      </c>
      <c r="O87" s="127">
        <v>53058.876620900075</v>
      </c>
      <c r="P87" s="127">
        <v>0</v>
      </c>
      <c r="Q87" s="129">
        <v>0</v>
      </c>
      <c r="R87" s="129">
        <v>0</v>
      </c>
      <c r="S87" s="128">
        <v>0</v>
      </c>
    </row>
    <row r="88" spans="1:19">
      <c r="A88" s="470"/>
      <c r="B88" s="80" t="s">
        <v>382</v>
      </c>
      <c r="C88" s="458">
        <v>78879.211393297155</v>
      </c>
      <c r="D88" s="459">
        <v>72372.082124589957</v>
      </c>
      <c r="E88" s="459">
        <v>65796.983528526922</v>
      </c>
      <c r="F88" s="459">
        <v>67608.750789487531</v>
      </c>
      <c r="G88" s="459">
        <v>0</v>
      </c>
      <c r="H88" s="459">
        <v>66210.791780821921</v>
      </c>
      <c r="I88" s="458">
        <v>74943.29783852234</v>
      </c>
      <c r="J88" s="458">
        <v>58149.970976253295</v>
      </c>
      <c r="K88" s="459">
        <v>53287.136820925552</v>
      </c>
      <c r="L88" s="459">
        <v>47571.647865853658</v>
      </c>
      <c r="M88" s="459">
        <v>44899.321428571428</v>
      </c>
      <c r="N88" s="459">
        <v>0</v>
      </c>
      <c r="O88" s="458">
        <v>53533.000938438439</v>
      </c>
      <c r="P88" s="458">
        <v>0</v>
      </c>
      <c r="Q88" s="459">
        <v>0</v>
      </c>
      <c r="R88" s="459">
        <v>0</v>
      </c>
      <c r="S88" s="460">
        <v>0</v>
      </c>
    </row>
    <row r="89" spans="1:19">
      <c r="A89" s="475"/>
      <c r="B89" s="476" t="s">
        <v>384</v>
      </c>
      <c r="C89" s="477">
        <v>2.7593747687854782</v>
      </c>
      <c r="D89" s="478">
        <v>-1.6720613226917542</v>
      </c>
      <c r="E89" s="478">
        <v>0.96849320357685442</v>
      </c>
      <c r="F89" s="478">
        <v>6.0922319096609572</v>
      </c>
      <c r="G89" s="478">
        <v>0</v>
      </c>
      <c r="H89" s="478">
        <v>2.4017270517073475</v>
      </c>
      <c r="I89" s="477">
        <v>1.4366443077101947</v>
      </c>
      <c r="J89" s="477">
        <v>0.39266810979385136</v>
      </c>
      <c r="K89" s="478">
        <v>1.1190268667699632</v>
      </c>
      <c r="L89" s="478">
        <v>0.96326830582275436</v>
      </c>
      <c r="M89" s="478">
        <v>6.5725787686937762</v>
      </c>
      <c r="N89" s="478">
        <v>0</v>
      </c>
      <c r="O89" s="477">
        <v>0.89358152251494349</v>
      </c>
      <c r="P89" s="477">
        <v>0</v>
      </c>
      <c r="Q89" s="478">
        <v>0</v>
      </c>
      <c r="R89" s="478">
        <v>0</v>
      </c>
      <c r="S89" s="479">
        <v>0</v>
      </c>
    </row>
    <row r="90" spans="1:19">
      <c r="A90" s="473" t="s">
        <v>448</v>
      </c>
      <c r="B90" s="80" t="s">
        <v>344</v>
      </c>
      <c r="C90" s="458">
        <v>101472.3571452381</v>
      </c>
      <c r="D90" s="474">
        <v>144065.3928</v>
      </c>
      <c r="E90" s="474">
        <v>75152.050026703</v>
      </c>
      <c r="F90" s="474">
        <v>73024.971579939214</v>
      </c>
      <c r="G90" s="474">
        <v>71171.354909677422</v>
      </c>
      <c r="H90" s="474">
        <v>71602.881736170209</v>
      </c>
      <c r="I90" s="458">
        <v>98349.427416288381</v>
      </c>
      <c r="J90" s="458">
        <v>65706.333375000002</v>
      </c>
      <c r="K90" s="474">
        <v>59546.402713513518</v>
      </c>
      <c r="L90" s="474">
        <v>60787.309511111111</v>
      </c>
      <c r="M90" s="474">
        <v>61234.229762500006</v>
      </c>
      <c r="N90" s="474">
        <v>0</v>
      </c>
      <c r="O90" s="458">
        <v>61012.96801016949</v>
      </c>
      <c r="P90" s="458">
        <v>0</v>
      </c>
      <c r="Q90" s="474">
        <v>0</v>
      </c>
      <c r="R90" s="474">
        <v>0</v>
      </c>
      <c r="S90" s="460">
        <v>0</v>
      </c>
    </row>
    <row r="91" spans="1:19">
      <c r="A91" s="470"/>
      <c r="B91" s="80" t="s">
        <v>346</v>
      </c>
      <c r="C91" s="458">
        <v>107874.3717068929</v>
      </c>
      <c r="D91" s="459">
        <v>150394.15210795181</v>
      </c>
      <c r="E91" s="459">
        <v>78290.841784487537</v>
      </c>
      <c r="F91" s="459">
        <v>77417.314869026552</v>
      </c>
      <c r="G91" s="459">
        <v>73542.792621656059</v>
      </c>
      <c r="H91" s="459">
        <v>76219.136783333335</v>
      </c>
      <c r="I91" s="458">
        <v>103336.85650746796</v>
      </c>
      <c r="J91" s="458">
        <v>75145.930305882357</v>
      </c>
      <c r="K91" s="459">
        <v>62113.571164999994</v>
      </c>
      <c r="L91" s="459">
        <v>61341.652304999996</v>
      </c>
      <c r="M91" s="459">
        <v>60789.373311111107</v>
      </c>
      <c r="N91" s="459">
        <v>0</v>
      </c>
      <c r="O91" s="458">
        <v>62652.464912820513</v>
      </c>
      <c r="P91" s="458">
        <v>0</v>
      </c>
      <c r="Q91" s="459">
        <v>0</v>
      </c>
      <c r="R91" s="459">
        <v>0</v>
      </c>
      <c r="S91" s="460">
        <v>0</v>
      </c>
    </row>
    <row r="92" spans="1:19">
      <c r="A92" s="470"/>
      <c r="B92" s="461" t="s">
        <v>348</v>
      </c>
      <c r="C92" s="462">
        <v>6.3091217566687137</v>
      </c>
      <c r="D92" s="463">
        <v>4.3929768176440298</v>
      </c>
      <c r="E92" s="463">
        <v>4.1765883388001548</v>
      </c>
      <c r="F92" s="463">
        <v>6.0148510763596983</v>
      </c>
      <c r="G92" s="463">
        <v>3.3320114742626377</v>
      </c>
      <c r="H92" s="463">
        <v>6.4470241074546353</v>
      </c>
      <c r="I92" s="462">
        <v>5.0711318023937757</v>
      </c>
      <c r="J92" s="462">
        <v>14.366342551803294</v>
      </c>
      <c r="K92" s="463">
        <v>4.3112066128284852</v>
      </c>
      <c r="L92" s="463">
        <v>0.91193836073228218</v>
      </c>
      <c r="M92" s="463">
        <v>-0.72648329719226867</v>
      </c>
      <c r="N92" s="463">
        <v>0</v>
      </c>
      <c r="O92" s="462">
        <v>2.6871285828575906</v>
      </c>
      <c r="P92" s="462">
        <v>0</v>
      </c>
      <c r="Q92" s="463">
        <v>0</v>
      </c>
      <c r="R92" s="463">
        <v>0</v>
      </c>
      <c r="S92" s="464">
        <v>0</v>
      </c>
    </row>
    <row r="93" spans="1:19">
      <c r="A93" s="470"/>
      <c r="B93" s="77" t="s">
        <v>350</v>
      </c>
      <c r="C93" s="127">
        <v>69959.485352415461</v>
      </c>
      <c r="D93" s="129">
        <v>99444.147834008094</v>
      </c>
      <c r="E93" s="129">
        <v>59899.330015957443</v>
      </c>
      <c r="F93" s="129">
        <v>59826.91720729167</v>
      </c>
      <c r="G93" s="129">
        <v>59523.694698395724</v>
      </c>
      <c r="H93" s="129">
        <v>62581.402366666669</v>
      </c>
      <c r="I93" s="127">
        <v>68536.032103219695</v>
      </c>
      <c r="J93" s="127">
        <v>56283.047262500004</v>
      </c>
      <c r="K93" s="129">
        <v>54023.94422896552</v>
      </c>
      <c r="L93" s="129">
        <v>50858.772855056181</v>
      </c>
      <c r="M93" s="129">
        <v>51565.922745945943</v>
      </c>
      <c r="N93" s="129">
        <v>0</v>
      </c>
      <c r="O93" s="127">
        <v>52685.928655882359</v>
      </c>
      <c r="P93" s="127">
        <v>0</v>
      </c>
      <c r="Q93" s="129">
        <v>0</v>
      </c>
      <c r="R93" s="129">
        <v>0</v>
      </c>
      <c r="S93" s="128">
        <v>0</v>
      </c>
    </row>
    <row r="94" spans="1:19">
      <c r="A94" s="470"/>
      <c r="B94" s="80" t="s">
        <v>352</v>
      </c>
      <c r="C94" s="458">
        <v>75131.524652934124</v>
      </c>
      <c r="D94" s="459">
        <v>104447.2050962963</v>
      </c>
      <c r="E94" s="459">
        <v>62604.882403655349</v>
      </c>
      <c r="F94" s="459">
        <v>62786.035007216495</v>
      </c>
      <c r="G94" s="459">
        <v>61054.113419487185</v>
      </c>
      <c r="H94" s="459">
        <v>62101.569652525257</v>
      </c>
      <c r="I94" s="458">
        <v>72098.811469622029</v>
      </c>
      <c r="J94" s="458">
        <v>57027.453317647058</v>
      </c>
      <c r="K94" s="459">
        <v>55818.878542253522</v>
      </c>
      <c r="L94" s="459">
        <v>51919.730835754199</v>
      </c>
      <c r="M94" s="459">
        <v>51631.420957142866</v>
      </c>
      <c r="N94" s="459">
        <v>0</v>
      </c>
      <c r="O94" s="458">
        <v>53857.083024154592</v>
      </c>
      <c r="P94" s="458">
        <v>0</v>
      </c>
      <c r="Q94" s="459">
        <v>0</v>
      </c>
      <c r="R94" s="459">
        <v>0</v>
      </c>
      <c r="S94" s="460">
        <v>0</v>
      </c>
    </row>
    <row r="95" spans="1:19">
      <c r="A95" s="470"/>
      <c r="B95" s="461" t="s">
        <v>354</v>
      </c>
      <c r="C95" s="462">
        <v>7.3929064435864822</v>
      </c>
      <c r="D95" s="463">
        <v>5.0310223087629984</v>
      </c>
      <c r="E95" s="463">
        <v>4.5168324703751024</v>
      </c>
      <c r="F95" s="463">
        <v>4.9461311698075754</v>
      </c>
      <c r="G95" s="463">
        <v>2.5711084112739195</v>
      </c>
      <c r="H95" s="463">
        <v>-0.76673371959620695</v>
      </c>
      <c r="I95" s="462">
        <v>5.1984033173040389</v>
      </c>
      <c r="J95" s="462">
        <v>1.3226114991165967</v>
      </c>
      <c r="K95" s="463">
        <v>3.3224792060362538</v>
      </c>
      <c r="L95" s="463">
        <v>2.0860864726753663</v>
      </c>
      <c r="M95" s="463">
        <v>0.12701840228791689</v>
      </c>
      <c r="N95" s="463">
        <v>0</v>
      </c>
      <c r="O95" s="462">
        <v>2.2228978365772325</v>
      </c>
      <c r="P95" s="462">
        <v>0</v>
      </c>
      <c r="Q95" s="463">
        <v>0</v>
      </c>
      <c r="R95" s="463">
        <v>0</v>
      </c>
      <c r="S95" s="464">
        <v>0</v>
      </c>
    </row>
    <row r="96" spans="1:19">
      <c r="A96" s="470"/>
      <c r="B96" s="77" t="s">
        <v>356</v>
      </c>
      <c r="C96" s="127">
        <v>62503.100774672486</v>
      </c>
      <c r="D96" s="129">
        <v>87397.473275862067</v>
      </c>
      <c r="E96" s="129">
        <v>52788.192423484848</v>
      </c>
      <c r="F96" s="129">
        <v>51928.793064406775</v>
      </c>
      <c r="G96" s="129">
        <v>49379.422223606562</v>
      </c>
      <c r="H96" s="129">
        <v>48489.810290821253</v>
      </c>
      <c r="I96" s="127">
        <v>57472.358450536813</v>
      </c>
      <c r="J96" s="127">
        <v>45574</v>
      </c>
      <c r="K96" s="129">
        <v>45085.077525000001</v>
      </c>
      <c r="L96" s="129">
        <v>43402.390612459021</v>
      </c>
      <c r="M96" s="129">
        <v>44547.213792982453</v>
      </c>
      <c r="N96" s="129">
        <v>0</v>
      </c>
      <c r="O96" s="127">
        <v>44007.027886597934</v>
      </c>
      <c r="P96" s="127">
        <v>0</v>
      </c>
      <c r="Q96" s="129">
        <v>0</v>
      </c>
      <c r="R96" s="129">
        <v>0</v>
      </c>
      <c r="S96" s="128">
        <v>0</v>
      </c>
    </row>
    <row r="97" spans="1:19">
      <c r="A97" s="470"/>
      <c r="B97" s="80" t="s">
        <v>358</v>
      </c>
      <c r="C97" s="458">
        <v>67128.310809103452</v>
      </c>
      <c r="D97" s="459">
        <v>91434.707272727275</v>
      </c>
      <c r="E97" s="459">
        <v>54300.52207955801</v>
      </c>
      <c r="F97" s="459">
        <v>53534.593130625006</v>
      </c>
      <c r="G97" s="459">
        <v>51471.190689361705</v>
      </c>
      <c r="H97" s="459">
        <v>49923.209365686271</v>
      </c>
      <c r="I97" s="458">
        <v>60253.784583227731</v>
      </c>
      <c r="J97" s="458">
        <v>47475.903846153844</v>
      </c>
      <c r="K97" s="459">
        <v>45814.313548623846</v>
      </c>
      <c r="L97" s="459">
        <v>43936.765571428572</v>
      </c>
      <c r="M97" s="459">
        <v>45253.882414285719</v>
      </c>
      <c r="N97" s="459">
        <v>0</v>
      </c>
      <c r="O97" s="458">
        <v>44783.737115384618</v>
      </c>
      <c r="P97" s="458">
        <v>0</v>
      </c>
      <c r="Q97" s="459">
        <v>0</v>
      </c>
      <c r="R97" s="459">
        <v>0</v>
      </c>
      <c r="S97" s="460">
        <v>0</v>
      </c>
    </row>
    <row r="98" spans="1:19">
      <c r="A98" s="470"/>
      <c r="B98" s="461" t="s">
        <v>360</v>
      </c>
      <c r="C98" s="462">
        <v>7.3999689249100316</v>
      </c>
      <c r="D98" s="463">
        <v>4.6193944121497106</v>
      </c>
      <c r="E98" s="463">
        <v>2.864901385409711</v>
      </c>
      <c r="F98" s="463">
        <v>3.0923115509859302</v>
      </c>
      <c r="G98" s="463">
        <v>4.2361136918186597</v>
      </c>
      <c r="H98" s="463">
        <v>2.956083074501838</v>
      </c>
      <c r="I98" s="462">
        <v>4.8395893394295513</v>
      </c>
      <c r="J98" s="462">
        <v>4.1732212361299075</v>
      </c>
      <c r="K98" s="463">
        <v>1.6174664959142611</v>
      </c>
      <c r="L98" s="463">
        <v>1.2312108882227191</v>
      </c>
      <c r="M98" s="463">
        <v>1.5863362961087999</v>
      </c>
      <c r="N98" s="463">
        <v>0</v>
      </c>
      <c r="O98" s="462">
        <v>1.7649663385316359</v>
      </c>
      <c r="P98" s="462">
        <v>0</v>
      </c>
      <c r="Q98" s="463">
        <v>0</v>
      </c>
      <c r="R98" s="463">
        <v>0</v>
      </c>
      <c r="S98" s="464">
        <v>0</v>
      </c>
    </row>
    <row r="99" spans="1:19">
      <c r="A99" s="470"/>
      <c r="B99" s="77" t="s">
        <v>362</v>
      </c>
      <c r="C99" s="127">
        <v>45944.037359322036</v>
      </c>
      <c r="D99" s="129">
        <v>43512.466666666667</v>
      </c>
      <c r="E99" s="129">
        <v>37558.105231578942</v>
      </c>
      <c r="F99" s="129">
        <v>42363.392869117648</v>
      </c>
      <c r="G99" s="129">
        <v>40643.288511904757</v>
      </c>
      <c r="H99" s="129">
        <v>41428.090909090912</v>
      </c>
      <c r="I99" s="127">
        <v>40997.346426186581</v>
      </c>
      <c r="J99" s="127">
        <v>40783</v>
      </c>
      <c r="K99" s="129">
        <v>38099.90241826923</v>
      </c>
      <c r="L99" s="129">
        <v>39278.105860000003</v>
      </c>
      <c r="M99" s="129">
        <v>37410.467178723404</v>
      </c>
      <c r="N99" s="129">
        <v>0</v>
      </c>
      <c r="O99" s="127">
        <v>38636.223275105491</v>
      </c>
      <c r="P99" s="127">
        <v>0</v>
      </c>
      <c r="Q99" s="129">
        <v>0</v>
      </c>
      <c r="R99" s="129">
        <v>0</v>
      </c>
      <c r="S99" s="128">
        <v>0</v>
      </c>
    </row>
    <row r="100" spans="1:19">
      <c r="A100" s="470"/>
      <c r="B100" s="80" t="s">
        <v>364</v>
      </c>
      <c r="C100" s="458">
        <v>48672.924036842109</v>
      </c>
      <c r="D100" s="459">
        <v>44248.391042857147</v>
      </c>
      <c r="E100" s="459">
        <v>38327.41848163266</v>
      </c>
      <c r="F100" s="459">
        <v>44019.401204819274</v>
      </c>
      <c r="G100" s="459">
        <v>41129.88574888889</v>
      </c>
      <c r="H100" s="459">
        <v>42435</v>
      </c>
      <c r="I100" s="458">
        <v>41987.011138704023</v>
      </c>
      <c r="J100" s="458">
        <v>42172</v>
      </c>
      <c r="K100" s="459">
        <v>38721.584089947093</v>
      </c>
      <c r="L100" s="459">
        <v>40077.944709947646</v>
      </c>
      <c r="M100" s="459">
        <v>38354.223775510203</v>
      </c>
      <c r="N100" s="459">
        <v>0</v>
      </c>
      <c r="O100" s="458">
        <v>39412.168814253899</v>
      </c>
      <c r="P100" s="458">
        <v>0</v>
      </c>
      <c r="Q100" s="459">
        <v>0</v>
      </c>
      <c r="R100" s="459">
        <v>0</v>
      </c>
      <c r="S100" s="460">
        <v>0</v>
      </c>
    </row>
    <row r="101" spans="1:19">
      <c r="A101" s="470"/>
      <c r="B101" s="461" t="s">
        <v>366</v>
      </c>
      <c r="C101" s="462">
        <v>5.9395883217180572</v>
      </c>
      <c r="D101" s="463">
        <v>1.6912954667179212</v>
      </c>
      <c r="E101" s="463">
        <v>2.0483281712701453</v>
      </c>
      <c r="F101" s="463">
        <v>3.9090550202574419</v>
      </c>
      <c r="G101" s="463">
        <v>1.1972388426236833</v>
      </c>
      <c r="H101" s="463">
        <v>2.4304984101696414</v>
      </c>
      <c r="I101" s="462">
        <v>2.4139726074693102</v>
      </c>
      <c r="J101" s="462">
        <v>3.4058308608979231</v>
      </c>
      <c r="K101" s="463">
        <v>1.6317146034992502</v>
      </c>
      <c r="L101" s="463">
        <v>2.0363478137121205</v>
      </c>
      <c r="M101" s="463">
        <v>2.522707327545874</v>
      </c>
      <c r="N101" s="463">
        <v>0</v>
      </c>
      <c r="O101" s="462">
        <v>2.0083369267833526</v>
      </c>
      <c r="P101" s="462">
        <v>0</v>
      </c>
      <c r="Q101" s="463">
        <v>0</v>
      </c>
      <c r="R101" s="463">
        <v>0</v>
      </c>
      <c r="S101" s="464">
        <v>0</v>
      </c>
    </row>
    <row r="102" spans="1:19">
      <c r="A102" s="470"/>
      <c r="B102" s="77" t="s">
        <v>368</v>
      </c>
      <c r="C102" s="127">
        <v>47651.38697175141</v>
      </c>
      <c r="D102" s="129">
        <v>58943.919888888886</v>
      </c>
      <c r="E102" s="129">
        <v>49313.82608695652</v>
      </c>
      <c r="F102" s="129">
        <v>45326.190919480519</v>
      </c>
      <c r="G102" s="129">
        <v>38813.666666666664</v>
      </c>
      <c r="H102" s="129">
        <v>36457</v>
      </c>
      <c r="I102" s="127">
        <v>47128.249076254178</v>
      </c>
      <c r="J102" s="127">
        <v>0</v>
      </c>
      <c r="K102" s="129">
        <v>0</v>
      </c>
      <c r="L102" s="129">
        <v>0</v>
      </c>
      <c r="M102" s="129">
        <v>0</v>
      </c>
      <c r="N102" s="129">
        <v>0</v>
      </c>
      <c r="O102" s="127">
        <v>0</v>
      </c>
      <c r="P102" s="127">
        <v>0</v>
      </c>
      <c r="Q102" s="129">
        <v>0</v>
      </c>
      <c r="R102" s="129">
        <v>0</v>
      </c>
      <c r="S102" s="128">
        <v>0</v>
      </c>
    </row>
    <row r="103" spans="1:19">
      <c r="A103" s="470"/>
      <c r="B103" s="80" t="s">
        <v>370</v>
      </c>
      <c r="C103" s="458">
        <v>49651.99895909091</v>
      </c>
      <c r="D103" s="459">
        <v>60527.151222222223</v>
      </c>
      <c r="E103" s="459">
        <v>45795.25012222222</v>
      </c>
      <c r="F103" s="459">
        <v>46801.294884210532</v>
      </c>
      <c r="G103" s="459">
        <v>42530.210526315786</v>
      </c>
      <c r="H103" s="459">
        <v>45514</v>
      </c>
      <c r="I103" s="458">
        <v>48308.70633399504</v>
      </c>
      <c r="J103" s="458">
        <v>0</v>
      </c>
      <c r="K103" s="459">
        <v>0</v>
      </c>
      <c r="L103" s="459">
        <v>0</v>
      </c>
      <c r="M103" s="459">
        <v>0</v>
      </c>
      <c r="N103" s="459">
        <v>0</v>
      </c>
      <c r="O103" s="458">
        <v>0</v>
      </c>
      <c r="P103" s="458">
        <v>0</v>
      </c>
      <c r="Q103" s="459">
        <v>0</v>
      </c>
      <c r="R103" s="459">
        <v>0</v>
      </c>
      <c r="S103" s="460">
        <v>0</v>
      </c>
    </row>
    <row r="104" spans="1:19">
      <c r="A104" s="470"/>
      <c r="B104" s="461" t="s">
        <v>372</v>
      </c>
      <c r="C104" s="462">
        <v>4.1984339060802123</v>
      </c>
      <c r="D104" s="463">
        <v>2.6859960048767997</v>
      </c>
      <c r="E104" s="463">
        <v>-7.1350699062163461</v>
      </c>
      <c r="F104" s="463">
        <v>3.2544185487601505</v>
      </c>
      <c r="G104" s="463">
        <v>9.5753485275352901</v>
      </c>
      <c r="H104" s="463">
        <v>24.842965685602216</v>
      </c>
      <c r="I104" s="462">
        <v>2.5047763939433967</v>
      </c>
      <c r="J104" s="462">
        <v>0</v>
      </c>
      <c r="K104" s="463">
        <v>0</v>
      </c>
      <c r="L104" s="463">
        <v>0</v>
      </c>
      <c r="M104" s="463">
        <v>0</v>
      </c>
      <c r="N104" s="463">
        <v>0</v>
      </c>
      <c r="O104" s="462">
        <v>0</v>
      </c>
      <c r="P104" s="462">
        <v>0</v>
      </c>
      <c r="Q104" s="463">
        <v>0</v>
      </c>
      <c r="R104" s="463">
        <v>0</v>
      </c>
      <c r="S104" s="464">
        <v>0</v>
      </c>
    </row>
    <row r="105" spans="1:19">
      <c r="A105" s="470"/>
      <c r="B105" s="77" t="s">
        <v>374</v>
      </c>
      <c r="C105" s="127">
        <v>0</v>
      </c>
      <c r="D105" s="129">
        <v>0</v>
      </c>
      <c r="E105" s="129">
        <v>0</v>
      </c>
      <c r="F105" s="129">
        <v>0</v>
      </c>
      <c r="G105" s="129">
        <v>0</v>
      </c>
      <c r="H105" s="129">
        <v>0</v>
      </c>
      <c r="I105" s="127">
        <v>0</v>
      </c>
      <c r="J105" s="127">
        <v>0</v>
      </c>
      <c r="K105" s="129">
        <v>0</v>
      </c>
      <c r="L105" s="129">
        <v>0</v>
      </c>
      <c r="M105" s="129">
        <v>0</v>
      </c>
      <c r="N105" s="129">
        <v>0</v>
      </c>
      <c r="O105" s="127">
        <v>0</v>
      </c>
      <c r="P105" s="127">
        <v>44402.807042769862</v>
      </c>
      <c r="Q105" s="129">
        <v>38478.070787559809</v>
      </c>
      <c r="R105" s="129">
        <v>0</v>
      </c>
      <c r="S105" s="128">
        <v>43832.963564933278</v>
      </c>
    </row>
    <row r="106" spans="1:19">
      <c r="A106" s="470"/>
      <c r="B106" s="80" t="s">
        <v>376</v>
      </c>
      <c r="C106" s="458">
        <v>0</v>
      </c>
      <c r="D106" s="459">
        <v>0</v>
      </c>
      <c r="E106" s="459">
        <v>0</v>
      </c>
      <c r="F106" s="459">
        <v>0</v>
      </c>
      <c r="G106" s="459">
        <v>0</v>
      </c>
      <c r="H106" s="459">
        <v>0</v>
      </c>
      <c r="I106" s="458">
        <v>0</v>
      </c>
      <c r="J106" s="458">
        <v>0</v>
      </c>
      <c r="K106" s="459">
        <v>0</v>
      </c>
      <c r="L106" s="459">
        <v>0</v>
      </c>
      <c r="M106" s="459">
        <v>0</v>
      </c>
      <c r="N106" s="459">
        <v>0</v>
      </c>
      <c r="O106" s="458">
        <v>0</v>
      </c>
      <c r="P106" s="458">
        <v>44695.738556866629</v>
      </c>
      <c r="Q106" s="459">
        <v>39561.627796135268</v>
      </c>
      <c r="R106" s="459">
        <v>0</v>
      </c>
      <c r="S106" s="460">
        <v>44217.878427607902</v>
      </c>
    </row>
    <row r="107" spans="1:19">
      <c r="A107" s="470"/>
      <c r="B107" s="461" t="s">
        <v>378</v>
      </c>
      <c r="C107" s="462">
        <v>0</v>
      </c>
      <c r="D107" s="463">
        <v>0</v>
      </c>
      <c r="E107" s="463">
        <v>0</v>
      </c>
      <c r="F107" s="463">
        <v>0</v>
      </c>
      <c r="G107" s="463">
        <v>0</v>
      </c>
      <c r="H107" s="463">
        <v>0</v>
      </c>
      <c r="I107" s="462">
        <v>0</v>
      </c>
      <c r="J107" s="462">
        <v>0</v>
      </c>
      <c r="K107" s="463">
        <v>0</v>
      </c>
      <c r="L107" s="463">
        <v>0</v>
      </c>
      <c r="M107" s="463">
        <v>0</v>
      </c>
      <c r="N107" s="463">
        <v>0</v>
      </c>
      <c r="O107" s="462">
        <v>0</v>
      </c>
      <c r="P107" s="462">
        <v>0.65971395415296097</v>
      </c>
      <c r="Q107" s="463">
        <v>2.8160377752768713</v>
      </c>
      <c r="R107" s="463">
        <v>0</v>
      </c>
      <c r="S107" s="464">
        <v>0.87814017435626812</v>
      </c>
    </row>
    <row r="108" spans="1:19">
      <c r="A108" s="470"/>
      <c r="B108" s="77" t="s">
        <v>380</v>
      </c>
      <c r="C108" s="127">
        <v>76255.389176517914</v>
      </c>
      <c r="D108" s="129">
        <v>115804.70825297298</v>
      </c>
      <c r="E108" s="129">
        <v>57603.536161760843</v>
      </c>
      <c r="F108" s="129">
        <v>57112.429642666662</v>
      </c>
      <c r="G108" s="129">
        <v>55320.343112786009</v>
      </c>
      <c r="H108" s="129">
        <v>54070.466626455032</v>
      </c>
      <c r="I108" s="127">
        <v>70428.830669747374</v>
      </c>
      <c r="J108" s="127">
        <v>51487.671449206347</v>
      </c>
      <c r="K108" s="129">
        <v>45889.946209787238</v>
      </c>
      <c r="L108" s="129">
        <v>46411.177375726926</v>
      </c>
      <c r="M108" s="129">
        <v>45765.413766878984</v>
      </c>
      <c r="N108" s="129">
        <v>0</v>
      </c>
      <c r="O108" s="127">
        <v>46601.122141709842</v>
      </c>
      <c r="P108" s="127">
        <v>44402.807042769862</v>
      </c>
      <c r="Q108" s="129">
        <v>38478.070787559809</v>
      </c>
      <c r="R108" s="129">
        <v>0</v>
      </c>
      <c r="S108" s="128">
        <v>43832.963564933278</v>
      </c>
    </row>
    <row r="109" spans="1:19">
      <c r="A109" s="470"/>
      <c r="B109" s="80" t="s">
        <v>382</v>
      </c>
      <c r="C109" s="458">
        <v>80930.748696721901</v>
      </c>
      <c r="D109" s="459">
        <v>120352.83310812568</v>
      </c>
      <c r="E109" s="459">
        <v>59009.463031904168</v>
      </c>
      <c r="F109" s="459">
        <v>60173.025398705497</v>
      </c>
      <c r="G109" s="459">
        <v>56829.817737468358</v>
      </c>
      <c r="H109" s="459">
        <v>55824.260920942404</v>
      </c>
      <c r="I109" s="458">
        <v>73603.243867716752</v>
      </c>
      <c r="J109" s="458">
        <v>53557.628102857139</v>
      </c>
      <c r="K109" s="459">
        <v>47339.506602916663</v>
      </c>
      <c r="L109" s="459">
        <v>47331.762403907211</v>
      </c>
      <c r="M109" s="459">
        <v>46523.047151515151</v>
      </c>
      <c r="N109" s="459">
        <v>0</v>
      </c>
      <c r="O109" s="458">
        <v>47794.293823316701</v>
      </c>
      <c r="P109" s="458">
        <v>44695.738556866629</v>
      </c>
      <c r="Q109" s="459">
        <v>39561.627796135268</v>
      </c>
      <c r="R109" s="459">
        <v>0</v>
      </c>
      <c r="S109" s="460">
        <v>44217.878427607902</v>
      </c>
    </row>
    <row r="110" spans="1:19">
      <c r="A110" s="475"/>
      <c r="B110" s="476" t="s">
        <v>384</v>
      </c>
      <c r="C110" s="477">
        <v>6.1311857046343903</v>
      </c>
      <c r="D110" s="478">
        <v>3.9274092770195583</v>
      </c>
      <c r="E110" s="478">
        <v>2.4406954222310855</v>
      </c>
      <c r="F110" s="478">
        <v>5.3588960847716622</v>
      </c>
      <c r="G110" s="478">
        <v>2.7286067651548405</v>
      </c>
      <c r="H110" s="478">
        <v>3.2435346019915685</v>
      </c>
      <c r="I110" s="477">
        <v>4.5072638119674799</v>
      </c>
      <c r="J110" s="477">
        <v>4.0202957239828701</v>
      </c>
      <c r="K110" s="478">
        <v>3.1587755333220842</v>
      </c>
      <c r="L110" s="478">
        <v>1.9835416385315652</v>
      </c>
      <c r="M110" s="478">
        <v>1.6554715062676342</v>
      </c>
      <c r="N110" s="478">
        <v>0</v>
      </c>
      <c r="O110" s="477">
        <v>2.5603925973682133</v>
      </c>
      <c r="P110" s="477">
        <v>0.65971395415296097</v>
      </c>
      <c r="Q110" s="478">
        <v>2.8160377752768713</v>
      </c>
      <c r="R110" s="478">
        <v>0</v>
      </c>
      <c r="S110" s="479">
        <v>0.87814017435626812</v>
      </c>
    </row>
    <row r="111" spans="1:19">
      <c r="A111" s="473" t="s">
        <v>451</v>
      </c>
      <c r="B111" s="80" t="s">
        <v>344</v>
      </c>
      <c r="C111" s="458">
        <v>102240.34939136302</v>
      </c>
      <c r="D111" s="474">
        <v>0</v>
      </c>
      <c r="E111" s="474">
        <v>81365.450411891899</v>
      </c>
      <c r="F111" s="474">
        <v>83277.826597419364</v>
      </c>
      <c r="G111" s="474">
        <v>69995.126008695646</v>
      </c>
      <c r="H111" s="474">
        <v>0</v>
      </c>
      <c r="I111" s="458">
        <v>93392.759171605896</v>
      </c>
      <c r="J111" s="458">
        <v>0</v>
      </c>
      <c r="K111" s="474">
        <v>59185.257922758625</v>
      </c>
      <c r="L111" s="474">
        <v>59260.312151412429</v>
      </c>
      <c r="M111" s="474">
        <v>58806.680152941175</v>
      </c>
      <c r="N111" s="474">
        <v>0</v>
      </c>
      <c r="O111" s="458">
        <v>59175.65190650685</v>
      </c>
      <c r="P111" s="458">
        <v>62839.218274999999</v>
      </c>
      <c r="Q111" s="474">
        <v>0</v>
      </c>
      <c r="R111" s="474">
        <v>0</v>
      </c>
      <c r="S111" s="460">
        <v>62839.218274999999</v>
      </c>
    </row>
    <row r="112" spans="1:19">
      <c r="A112" s="470"/>
      <c r="B112" s="80" t="s">
        <v>346</v>
      </c>
      <c r="C112" s="458">
        <v>102959.89277937583</v>
      </c>
      <c r="D112" s="459">
        <v>0</v>
      </c>
      <c r="E112" s="459">
        <v>82400.373311716627</v>
      </c>
      <c r="F112" s="459">
        <v>84771.20482483659</v>
      </c>
      <c r="G112" s="459">
        <v>72140.797095999995</v>
      </c>
      <c r="H112" s="459">
        <v>0</v>
      </c>
      <c r="I112" s="458">
        <v>94302.568057254291</v>
      </c>
      <c r="J112" s="458">
        <v>0</v>
      </c>
      <c r="K112" s="459">
        <v>58635.041193055557</v>
      </c>
      <c r="L112" s="459">
        <v>58941.666371671381</v>
      </c>
      <c r="M112" s="459">
        <v>58454.161248275857</v>
      </c>
      <c r="N112" s="459">
        <v>0</v>
      </c>
      <c r="O112" s="458">
        <v>58793.435256164383</v>
      </c>
      <c r="P112" s="458">
        <v>63245.396475000001</v>
      </c>
      <c r="Q112" s="459">
        <v>0</v>
      </c>
      <c r="R112" s="459">
        <v>0</v>
      </c>
      <c r="S112" s="460">
        <v>63245.396475000001</v>
      </c>
    </row>
    <row r="113" spans="1:19">
      <c r="A113" s="470"/>
      <c r="B113" s="461" t="s">
        <v>348</v>
      </c>
      <c r="C113" s="462">
        <v>0.70377633908359494</v>
      </c>
      <c r="D113" s="463">
        <v>0</v>
      </c>
      <c r="E113" s="463">
        <v>1.2719439204056431</v>
      </c>
      <c r="F113" s="463">
        <v>1.7932483212326094</v>
      </c>
      <c r="G113" s="463">
        <v>3.0654578535050958</v>
      </c>
      <c r="H113" s="463">
        <v>0</v>
      </c>
      <c r="I113" s="462">
        <v>0.97417497214816606</v>
      </c>
      <c r="J113" s="462">
        <v>0</v>
      </c>
      <c r="K113" s="463">
        <v>-0.92965165484476553</v>
      </c>
      <c r="L113" s="463">
        <v>-0.53770519960626451</v>
      </c>
      <c r="M113" s="463">
        <v>-0.5994538439315158</v>
      </c>
      <c r="N113" s="463">
        <v>0</v>
      </c>
      <c r="O113" s="462">
        <v>-0.64590188367732881</v>
      </c>
      <c r="P113" s="462">
        <v>0.64637691421058996</v>
      </c>
      <c r="Q113" s="463">
        <v>0</v>
      </c>
      <c r="R113" s="463">
        <v>0</v>
      </c>
      <c r="S113" s="464">
        <v>0.64637691421058996</v>
      </c>
    </row>
    <row r="114" spans="1:19">
      <c r="A114" s="470"/>
      <c r="B114" s="77" t="s">
        <v>350</v>
      </c>
      <c r="C114" s="127">
        <v>74722.645600923075</v>
      </c>
      <c r="D114" s="129">
        <v>0</v>
      </c>
      <c r="E114" s="129">
        <v>64636.574496759255</v>
      </c>
      <c r="F114" s="129">
        <v>64062.234575396826</v>
      </c>
      <c r="G114" s="129">
        <v>58095.915063414635</v>
      </c>
      <c r="H114" s="129">
        <v>0</v>
      </c>
      <c r="I114" s="127">
        <v>69104.243966399998</v>
      </c>
      <c r="J114" s="127">
        <v>0</v>
      </c>
      <c r="K114" s="129">
        <v>50690.152957209306</v>
      </c>
      <c r="L114" s="129">
        <v>48219.802432302407</v>
      </c>
      <c r="M114" s="129">
        <v>48426.569953846156</v>
      </c>
      <c r="N114" s="129">
        <v>0</v>
      </c>
      <c r="O114" s="127">
        <v>49156.879880136992</v>
      </c>
      <c r="P114" s="127">
        <v>50837.041372413798</v>
      </c>
      <c r="Q114" s="129">
        <v>0</v>
      </c>
      <c r="R114" s="129">
        <v>0</v>
      </c>
      <c r="S114" s="128">
        <v>50837.041372413798</v>
      </c>
    </row>
    <row r="115" spans="1:19">
      <c r="A115" s="470"/>
      <c r="B115" s="80" t="s">
        <v>352</v>
      </c>
      <c r="C115" s="458">
        <v>75623.69226028258</v>
      </c>
      <c r="D115" s="459">
        <v>0</v>
      </c>
      <c r="E115" s="459">
        <v>65102.045570388349</v>
      </c>
      <c r="F115" s="459">
        <v>66232.796889843754</v>
      </c>
      <c r="G115" s="459">
        <v>60081.846426315788</v>
      </c>
      <c r="H115" s="459">
        <v>0</v>
      </c>
      <c r="I115" s="458">
        <v>70166.076629039468</v>
      </c>
      <c r="J115" s="458">
        <v>0</v>
      </c>
      <c r="K115" s="459">
        <v>50219.487307906973</v>
      </c>
      <c r="L115" s="459">
        <v>47950.960235135135</v>
      </c>
      <c r="M115" s="459">
        <v>47993.715805405402</v>
      </c>
      <c r="N115" s="459">
        <v>0</v>
      </c>
      <c r="O115" s="458">
        <v>48790.100804102571</v>
      </c>
      <c r="P115" s="458">
        <v>50188.768854545458</v>
      </c>
      <c r="Q115" s="459">
        <v>0</v>
      </c>
      <c r="R115" s="459">
        <v>0</v>
      </c>
      <c r="S115" s="460">
        <v>50188.768854545458</v>
      </c>
    </row>
    <row r="116" spans="1:19">
      <c r="A116" s="470"/>
      <c r="B116" s="461" t="s">
        <v>354</v>
      </c>
      <c r="C116" s="462">
        <v>1.2058548678425991</v>
      </c>
      <c r="D116" s="463">
        <v>0</v>
      </c>
      <c r="E116" s="463">
        <v>0.72013573932887209</v>
      </c>
      <c r="F116" s="463">
        <v>3.3882088703795152</v>
      </c>
      <c r="G116" s="463">
        <v>3.4183666110317867</v>
      </c>
      <c r="H116" s="463">
        <v>0</v>
      </c>
      <c r="I116" s="462">
        <v>1.5365664996722292</v>
      </c>
      <c r="J116" s="462">
        <v>0</v>
      </c>
      <c r="K116" s="463">
        <v>-0.92851495180859067</v>
      </c>
      <c r="L116" s="463">
        <v>-0.55753483756950284</v>
      </c>
      <c r="M116" s="463">
        <v>-0.89383606737642973</v>
      </c>
      <c r="N116" s="463">
        <v>0</v>
      </c>
      <c r="O116" s="462">
        <v>-0.74613986267795507</v>
      </c>
      <c r="P116" s="462">
        <v>-1.2751971797873312</v>
      </c>
      <c r="Q116" s="463">
        <v>0</v>
      </c>
      <c r="R116" s="463">
        <v>0</v>
      </c>
      <c r="S116" s="464">
        <v>-1.2751971797873312</v>
      </c>
    </row>
    <row r="117" spans="1:19">
      <c r="A117" s="470"/>
      <c r="B117" s="77" t="s">
        <v>356</v>
      </c>
      <c r="C117" s="127">
        <v>61773.885583268486</v>
      </c>
      <c r="D117" s="129">
        <v>0</v>
      </c>
      <c r="E117" s="129">
        <v>53761.058629850748</v>
      </c>
      <c r="F117" s="129">
        <v>55190.237118146717</v>
      </c>
      <c r="G117" s="129">
        <v>48268.811477192983</v>
      </c>
      <c r="H117" s="129">
        <v>0</v>
      </c>
      <c r="I117" s="127">
        <v>56817.934321522691</v>
      </c>
      <c r="J117" s="127">
        <v>0</v>
      </c>
      <c r="K117" s="129">
        <v>42798.075505454552</v>
      </c>
      <c r="L117" s="129">
        <v>41690.855636082473</v>
      </c>
      <c r="M117" s="129">
        <v>41122.41568125</v>
      </c>
      <c r="N117" s="129">
        <v>0</v>
      </c>
      <c r="O117" s="127">
        <v>41999.201192857145</v>
      </c>
      <c r="P117" s="127">
        <v>45347.684432432434</v>
      </c>
      <c r="Q117" s="129">
        <v>0</v>
      </c>
      <c r="R117" s="129">
        <v>0</v>
      </c>
      <c r="S117" s="128">
        <v>45347.684432432434</v>
      </c>
    </row>
    <row r="118" spans="1:19">
      <c r="A118" s="470"/>
      <c r="B118" s="80" t="s">
        <v>358</v>
      </c>
      <c r="C118" s="458">
        <v>63539.729976735463</v>
      </c>
      <c r="D118" s="459">
        <v>0</v>
      </c>
      <c r="E118" s="459">
        <v>54491.024404313721</v>
      </c>
      <c r="F118" s="459">
        <v>57470.341595999998</v>
      </c>
      <c r="G118" s="459">
        <v>49795.379569230769</v>
      </c>
      <c r="H118" s="459">
        <v>0</v>
      </c>
      <c r="I118" s="458">
        <v>58449.103093234204</v>
      </c>
      <c r="J118" s="458">
        <v>0</v>
      </c>
      <c r="K118" s="459">
        <v>42460.38564504504</v>
      </c>
      <c r="L118" s="459">
        <v>41544.732180606057</v>
      </c>
      <c r="M118" s="459">
        <v>40833.592327272723</v>
      </c>
      <c r="N118" s="459">
        <v>0</v>
      </c>
      <c r="O118" s="458">
        <v>41833.297475167783</v>
      </c>
      <c r="P118" s="458">
        <v>44668.492733333333</v>
      </c>
      <c r="Q118" s="459">
        <v>0</v>
      </c>
      <c r="R118" s="459">
        <v>0</v>
      </c>
      <c r="S118" s="460">
        <v>44668.492733333333</v>
      </c>
    </row>
    <row r="119" spans="1:19">
      <c r="A119" s="470"/>
      <c r="B119" s="461" t="s">
        <v>360</v>
      </c>
      <c r="C119" s="462">
        <v>2.8585613108093986</v>
      </c>
      <c r="D119" s="463">
        <v>0</v>
      </c>
      <c r="E119" s="463">
        <v>1.3577965037646424</v>
      </c>
      <c r="F119" s="463">
        <v>4.1313547411876881</v>
      </c>
      <c r="G119" s="463">
        <v>3.1626386590419546</v>
      </c>
      <c r="H119" s="463">
        <v>0</v>
      </c>
      <c r="I119" s="462">
        <v>2.8708695435511888</v>
      </c>
      <c r="J119" s="462">
        <v>0</v>
      </c>
      <c r="K119" s="463">
        <v>-0.78903047957488948</v>
      </c>
      <c r="L119" s="463">
        <v>-0.35049281970108931</v>
      </c>
      <c r="M119" s="463">
        <v>-0.70235016399819128</v>
      </c>
      <c r="N119" s="463">
        <v>0</v>
      </c>
      <c r="O119" s="462">
        <v>-0.39501636454356448</v>
      </c>
      <c r="P119" s="462">
        <v>-1.4977428453068857</v>
      </c>
      <c r="Q119" s="463">
        <v>0</v>
      </c>
      <c r="R119" s="463">
        <v>0</v>
      </c>
      <c r="S119" s="464">
        <v>-1.4977428453068857</v>
      </c>
    </row>
    <row r="120" spans="1:19">
      <c r="A120" s="470"/>
      <c r="B120" s="77" t="s">
        <v>362</v>
      </c>
      <c r="C120" s="127">
        <v>45983.886801941742</v>
      </c>
      <c r="D120" s="129">
        <v>0</v>
      </c>
      <c r="E120" s="129">
        <v>42505.876508333335</v>
      </c>
      <c r="F120" s="129">
        <v>36607.685005714287</v>
      </c>
      <c r="G120" s="129">
        <v>37519.583288888884</v>
      </c>
      <c r="H120" s="129">
        <v>0</v>
      </c>
      <c r="I120" s="127">
        <v>42128.874881984339</v>
      </c>
      <c r="J120" s="127">
        <v>0</v>
      </c>
      <c r="K120" s="129">
        <v>40062.587719047617</v>
      </c>
      <c r="L120" s="129">
        <v>36795.439032369948</v>
      </c>
      <c r="M120" s="129">
        <v>37913.427218604651</v>
      </c>
      <c r="N120" s="129">
        <v>0</v>
      </c>
      <c r="O120" s="127">
        <v>37870.485638000006</v>
      </c>
      <c r="P120" s="127">
        <v>37948.085912727271</v>
      </c>
      <c r="Q120" s="129">
        <v>0</v>
      </c>
      <c r="R120" s="129">
        <v>0</v>
      </c>
      <c r="S120" s="128">
        <v>37948.085912727271</v>
      </c>
    </row>
    <row r="121" spans="1:19">
      <c r="A121" s="470"/>
      <c r="B121" s="80" t="s">
        <v>364</v>
      </c>
      <c r="C121" s="458">
        <v>47820.040156989249</v>
      </c>
      <c r="D121" s="459">
        <v>0</v>
      </c>
      <c r="E121" s="459">
        <v>43232.019809708741</v>
      </c>
      <c r="F121" s="459">
        <v>38298.313411111107</v>
      </c>
      <c r="G121" s="459">
        <v>40702.520649999999</v>
      </c>
      <c r="H121" s="459">
        <v>0</v>
      </c>
      <c r="I121" s="458">
        <v>43312.089693540052</v>
      </c>
      <c r="J121" s="458">
        <v>0</v>
      </c>
      <c r="K121" s="459">
        <v>39964.456938461539</v>
      </c>
      <c r="L121" s="459">
        <v>36296.545364324324</v>
      </c>
      <c r="M121" s="459">
        <v>37636.223345454542</v>
      </c>
      <c r="N121" s="459">
        <v>0</v>
      </c>
      <c r="O121" s="458">
        <v>37295.215419787986</v>
      </c>
      <c r="P121" s="458">
        <v>37759.07741818182</v>
      </c>
      <c r="Q121" s="459">
        <v>0</v>
      </c>
      <c r="R121" s="459">
        <v>0</v>
      </c>
      <c r="S121" s="460">
        <v>37759.07741818182</v>
      </c>
    </row>
    <row r="122" spans="1:19">
      <c r="A122" s="470"/>
      <c r="B122" s="461" t="s">
        <v>366</v>
      </c>
      <c r="C122" s="462">
        <v>3.9930364367763107</v>
      </c>
      <c r="D122" s="463">
        <v>0</v>
      </c>
      <c r="E122" s="463">
        <v>1.7083362608298298</v>
      </c>
      <c r="F122" s="463">
        <v>4.6182335898402762</v>
      </c>
      <c r="G122" s="463">
        <v>8.4834027515804422</v>
      </c>
      <c r="H122" s="463">
        <v>0</v>
      </c>
      <c r="I122" s="462">
        <v>2.8085601974186463</v>
      </c>
      <c r="J122" s="462">
        <v>0</v>
      </c>
      <c r="K122" s="463">
        <v>-0.24494368979421158</v>
      </c>
      <c r="L122" s="463">
        <v>-1.3558573594046104</v>
      </c>
      <c r="M122" s="463">
        <v>-0.73114960447068478</v>
      </c>
      <c r="N122" s="463">
        <v>0</v>
      </c>
      <c r="O122" s="462">
        <v>-1.5190463193711505</v>
      </c>
      <c r="P122" s="462">
        <v>-0.49807122019311151</v>
      </c>
      <c r="Q122" s="463">
        <v>0</v>
      </c>
      <c r="R122" s="463">
        <v>0</v>
      </c>
      <c r="S122" s="464">
        <v>-0.49807122019311151</v>
      </c>
    </row>
    <row r="123" spans="1:19">
      <c r="A123" s="470"/>
      <c r="B123" s="77" t="s">
        <v>368</v>
      </c>
      <c r="C123" s="127">
        <v>46629.847975000004</v>
      </c>
      <c r="D123" s="129">
        <v>0</v>
      </c>
      <c r="E123" s="129">
        <v>46003.006263999996</v>
      </c>
      <c r="F123" s="129">
        <v>41669.034223225812</v>
      </c>
      <c r="G123" s="129">
        <v>0</v>
      </c>
      <c r="H123" s="129">
        <v>0</v>
      </c>
      <c r="I123" s="127">
        <v>44749.753932644628</v>
      </c>
      <c r="J123" s="127">
        <v>0</v>
      </c>
      <c r="K123" s="129">
        <v>0</v>
      </c>
      <c r="L123" s="129">
        <v>0</v>
      </c>
      <c r="M123" s="129">
        <v>0</v>
      </c>
      <c r="N123" s="129">
        <v>0</v>
      </c>
      <c r="O123" s="127">
        <v>0</v>
      </c>
      <c r="P123" s="127">
        <v>0</v>
      </c>
      <c r="Q123" s="129">
        <v>0</v>
      </c>
      <c r="R123" s="129">
        <v>0</v>
      </c>
      <c r="S123" s="128">
        <v>0</v>
      </c>
    </row>
    <row r="124" spans="1:19">
      <c r="A124" s="470"/>
      <c r="B124" s="80" t="s">
        <v>370</v>
      </c>
      <c r="C124" s="458">
        <v>47238.22564672897</v>
      </c>
      <c r="D124" s="459">
        <v>0</v>
      </c>
      <c r="E124" s="459">
        <v>48266.769122957201</v>
      </c>
      <c r="F124" s="459">
        <v>42766.947632369942</v>
      </c>
      <c r="G124" s="459">
        <v>0</v>
      </c>
      <c r="H124" s="459">
        <v>0</v>
      </c>
      <c r="I124" s="458">
        <v>46290.003257355682</v>
      </c>
      <c r="J124" s="458">
        <v>0</v>
      </c>
      <c r="K124" s="459">
        <v>0</v>
      </c>
      <c r="L124" s="459">
        <v>0</v>
      </c>
      <c r="M124" s="459">
        <v>0</v>
      </c>
      <c r="N124" s="459">
        <v>0</v>
      </c>
      <c r="O124" s="458">
        <v>0</v>
      </c>
      <c r="P124" s="458">
        <v>0</v>
      </c>
      <c r="Q124" s="459">
        <v>0</v>
      </c>
      <c r="R124" s="459">
        <v>0</v>
      </c>
      <c r="S124" s="460">
        <v>0</v>
      </c>
    </row>
    <row r="125" spans="1:19">
      <c r="A125" s="470"/>
      <c r="B125" s="461" t="s">
        <v>372</v>
      </c>
      <c r="C125" s="462">
        <v>1.3046958078335138</v>
      </c>
      <c r="D125" s="463">
        <v>0</v>
      </c>
      <c r="E125" s="463">
        <v>4.9209020079384027</v>
      </c>
      <c r="F125" s="463">
        <v>2.6348424666203725</v>
      </c>
      <c r="G125" s="463">
        <v>0</v>
      </c>
      <c r="H125" s="463">
        <v>0</v>
      </c>
      <c r="I125" s="462">
        <v>3.4419168584242281</v>
      </c>
      <c r="J125" s="462">
        <v>0</v>
      </c>
      <c r="K125" s="463">
        <v>0</v>
      </c>
      <c r="L125" s="463">
        <v>0</v>
      </c>
      <c r="M125" s="463">
        <v>0</v>
      </c>
      <c r="N125" s="463">
        <v>0</v>
      </c>
      <c r="O125" s="462">
        <v>0</v>
      </c>
      <c r="P125" s="462">
        <v>0</v>
      </c>
      <c r="Q125" s="463">
        <v>0</v>
      </c>
      <c r="R125" s="463">
        <v>0</v>
      </c>
      <c r="S125" s="464">
        <v>0</v>
      </c>
    </row>
    <row r="126" spans="1:19">
      <c r="A126" s="470"/>
      <c r="B126" s="77" t="s">
        <v>374</v>
      </c>
      <c r="C126" s="127">
        <v>0</v>
      </c>
      <c r="D126" s="129">
        <v>0</v>
      </c>
      <c r="E126" s="129">
        <v>0</v>
      </c>
      <c r="F126" s="129">
        <v>0</v>
      </c>
      <c r="G126" s="129">
        <v>0</v>
      </c>
      <c r="H126" s="129">
        <v>0</v>
      </c>
      <c r="I126" s="127">
        <v>0</v>
      </c>
      <c r="J126" s="127">
        <v>0</v>
      </c>
      <c r="K126" s="129">
        <v>0</v>
      </c>
      <c r="L126" s="129">
        <v>0</v>
      </c>
      <c r="M126" s="129">
        <v>0</v>
      </c>
      <c r="N126" s="129">
        <v>0</v>
      </c>
      <c r="O126" s="127">
        <v>0</v>
      </c>
      <c r="P126" s="127">
        <v>0</v>
      </c>
      <c r="Q126" s="129">
        <v>0</v>
      </c>
      <c r="R126" s="129">
        <v>0</v>
      </c>
      <c r="S126" s="128">
        <v>0</v>
      </c>
    </row>
    <row r="127" spans="1:19">
      <c r="A127" s="470"/>
      <c r="B127" s="80" t="s">
        <v>376</v>
      </c>
      <c r="C127" s="458">
        <v>0</v>
      </c>
      <c r="D127" s="459">
        <v>0</v>
      </c>
      <c r="E127" s="459">
        <v>0</v>
      </c>
      <c r="F127" s="459">
        <v>0</v>
      </c>
      <c r="G127" s="459">
        <v>0</v>
      </c>
      <c r="H127" s="459">
        <v>0</v>
      </c>
      <c r="I127" s="458">
        <v>0</v>
      </c>
      <c r="J127" s="458">
        <v>0</v>
      </c>
      <c r="K127" s="459">
        <v>0</v>
      </c>
      <c r="L127" s="459">
        <v>0</v>
      </c>
      <c r="M127" s="459">
        <v>0</v>
      </c>
      <c r="N127" s="459">
        <v>0</v>
      </c>
      <c r="O127" s="458">
        <v>0</v>
      </c>
      <c r="P127" s="458">
        <v>0</v>
      </c>
      <c r="Q127" s="459">
        <v>0</v>
      </c>
      <c r="R127" s="459">
        <v>0</v>
      </c>
      <c r="S127" s="460">
        <v>0</v>
      </c>
    </row>
    <row r="128" spans="1:19">
      <c r="A128" s="470"/>
      <c r="B128" s="461" t="s">
        <v>378</v>
      </c>
      <c r="C128" s="462">
        <v>0</v>
      </c>
      <c r="D128" s="463">
        <v>0</v>
      </c>
      <c r="E128" s="463">
        <v>0</v>
      </c>
      <c r="F128" s="463">
        <v>0</v>
      </c>
      <c r="G128" s="463">
        <v>0</v>
      </c>
      <c r="H128" s="463">
        <v>0</v>
      </c>
      <c r="I128" s="462">
        <v>0</v>
      </c>
      <c r="J128" s="462">
        <v>0</v>
      </c>
      <c r="K128" s="463">
        <v>0</v>
      </c>
      <c r="L128" s="463">
        <v>0</v>
      </c>
      <c r="M128" s="463">
        <v>0</v>
      </c>
      <c r="N128" s="463">
        <v>0</v>
      </c>
      <c r="O128" s="462">
        <v>0</v>
      </c>
      <c r="P128" s="462">
        <v>0</v>
      </c>
      <c r="Q128" s="463">
        <v>0</v>
      </c>
      <c r="R128" s="463">
        <v>0</v>
      </c>
      <c r="S128" s="464">
        <v>0</v>
      </c>
    </row>
    <row r="129" spans="1:19">
      <c r="A129" s="470"/>
      <c r="B129" s="77" t="s">
        <v>380</v>
      </c>
      <c r="C129" s="127">
        <v>78441.022850094698</v>
      </c>
      <c r="D129" s="129">
        <v>0</v>
      </c>
      <c r="E129" s="129">
        <v>60031.87974905983</v>
      </c>
      <c r="F129" s="129">
        <v>58773.575650056118</v>
      </c>
      <c r="G129" s="129">
        <v>53370.468843165472</v>
      </c>
      <c r="H129" s="129">
        <v>0</v>
      </c>
      <c r="I129" s="127">
        <v>67553.428689483364</v>
      </c>
      <c r="J129" s="127">
        <v>0</v>
      </c>
      <c r="K129" s="129">
        <v>49735.182235740074</v>
      </c>
      <c r="L129" s="129">
        <v>48877.223276086952</v>
      </c>
      <c r="M129" s="129">
        <v>49252.247653781516</v>
      </c>
      <c r="N129" s="129">
        <v>0</v>
      </c>
      <c r="O129" s="127">
        <v>49190.17508625277</v>
      </c>
      <c r="P129" s="127">
        <v>44511.604613953488</v>
      </c>
      <c r="Q129" s="129">
        <v>0</v>
      </c>
      <c r="R129" s="129">
        <v>0</v>
      </c>
      <c r="S129" s="128">
        <v>44511.604613953488</v>
      </c>
    </row>
    <row r="130" spans="1:19">
      <c r="A130" s="470"/>
      <c r="B130" s="80" t="s">
        <v>382</v>
      </c>
      <c r="C130" s="458">
        <v>79459.972902040812</v>
      </c>
      <c r="D130" s="459">
        <v>0</v>
      </c>
      <c r="E130" s="459">
        <v>60595.752267123287</v>
      </c>
      <c r="F130" s="459">
        <v>60231.566644911494</v>
      </c>
      <c r="G130" s="459">
        <v>55933.054653435123</v>
      </c>
      <c r="H130" s="459">
        <v>0</v>
      </c>
      <c r="I130" s="458">
        <v>68525.232383163049</v>
      </c>
      <c r="J130" s="458">
        <v>0</v>
      </c>
      <c r="K130" s="459">
        <v>49628.837776822438</v>
      </c>
      <c r="L130" s="459">
        <v>48618.252413413407</v>
      </c>
      <c r="M130" s="459">
        <v>49895.284258333326</v>
      </c>
      <c r="N130" s="459">
        <v>0</v>
      </c>
      <c r="O130" s="458">
        <v>49084.825012228575</v>
      </c>
      <c r="P130" s="458">
        <v>44303.800137777776</v>
      </c>
      <c r="Q130" s="459">
        <v>0</v>
      </c>
      <c r="R130" s="459">
        <v>0</v>
      </c>
      <c r="S130" s="460">
        <v>44303.800137777776</v>
      </c>
    </row>
    <row r="131" spans="1:19">
      <c r="A131" s="475"/>
      <c r="B131" s="476" t="s">
        <v>384</v>
      </c>
      <c r="C131" s="477">
        <v>1.2990014853495555</v>
      </c>
      <c r="D131" s="478">
        <v>0</v>
      </c>
      <c r="E131" s="478">
        <v>0.93928845876642464</v>
      </c>
      <c r="F131" s="478">
        <v>2.4806913289339474</v>
      </c>
      <c r="G131" s="478">
        <v>4.8015051503483495</v>
      </c>
      <c r="H131" s="478">
        <v>0</v>
      </c>
      <c r="I131" s="477">
        <v>1.4385704952840896</v>
      </c>
      <c r="J131" s="477">
        <v>0</v>
      </c>
      <c r="K131" s="478">
        <v>-0.21382139189432015</v>
      </c>
      <c r="L131" s="478">
        <v>-0.52983955575939068</v>
      </c>
      <c r="M131" s="478">
        <v>1.3055984958737978</v>
      </c>
      <c r="N131" s="478">
        <v>0</v>
      </c>
      <c r="O131" s="477">
        <v>-0.21416893483194088</v>
      </c>
      <c r="P131" s="477">
        <v>-0.46685460562023728</v>
      </c>
      <c r="Q131" s="478">
        <v>0</v>
      </c>
      <c r="R131" s="478">
        <v>0</v>
      </c>
      <c r="S131" s="479">
        <v>-0.46685460562023728</v>
      </c>
    </row>
    <row r="132" spans="1:19">
      <c r="A132" s="473" t="s">
        <v>407</v>
      </c>
      <c r="B132" s="80" t="s">
        <v>344</v>
      </c>
      <c r="C132" s="458">
        <v>106290.28653915094</v>
      </c>
      <c r="D132" s="474">
        <v>90191.487029629629</v>
      </c>
      <c r="E132" s="474">
        <v>74748.112777528091</v>
      </c>
      <c r="F132" s="474">
        <v>73348.553072243347</v>
      </c>
      <c r="G132" s="474">
        <v>55014.527114285716</v>
      </c>
      <c r="H132" s="474">
        <v>0</v>
      </c>
      <c r="I132" s="458">
        <v>88542.409018573555</v>
      </c>
      <c r="J132" s="458">
        <v>63835.305913043485</v>
      </c>
      <c r="K132" s="474">
        <v>79302.222622222223</v>
      </c>
      <c r="L132" s="474">
        <v>57483.356436363632</v>
      </c>
      <c r="M132" s="474">
        <v>68127</v>
      </c>
      <c r="N132" s="474">
        <v>0</v>
      </c>
      <c r="O132" s="458">
        <v>71501.271843636365</v>
      </c>
      <c r="P132" s="458">
        <v>0</v>
      </c>
      <c r="Q132" s="474">
        <v>0</v>
      </c>
      <c r="R132" s="474">
        <v>0</v>
      </c>
      <c r="S132" s="460">
        <v>0</v>
      </c>
    </row>
    <row r="133" spans="1:19">
      <c r="A133" s="470"/>
      <c r="B133" s="80" t="s">
        <v>346</v>
      </c>
      <c r="C133" s="458">
        <v>110633.6827853211</v>
      </c>
      <c r="D133" s="459">
        <v>94722.180491666659</v>
      </c>
      <c r="E133" s="459">
        <v>77760.3353032491</v>
      </c>
      <c r="F133" s="459">
        <v>74262.908658267712</v>
      </c>
      <c r="G133" s="459">
        <v>67678.065569230763</v>
      </c>
      <c r="H133" s="459">
        <v>0</v>
      </c>
      <c r="I133" s="458">
        <v>92252.59492686567</v>
      </c>
      <c r="J133" s="458">
        <v>61868.72267826087</v>
      </c>
      <c r="K133" s="459">
        <v>81771.863298701297</v>
      </c>
      <c r="L133" s="459">
        <v>57101.887179999998</v>
      </c>
      <c r="M133" s="459">
        <v>58751.333333333336</v>
      </c>
      <c r="N133" s="459">
        <v>0</v>
      </c>
      <c r="O133" s="458">
        <v>72246.050458646612</v>
      </c>
      <c r="P133" s="458">
        <v>0</v>
      </c>
      <c r="Q133" s="459">
        <v>0</v>
      </c>
      <c r="R133" s="459">
        <v>0</v>
      </c>
      <c r="S133" s="460">
        <v>0</v>
      </c>
    </row>
    <row r="134" spans="1:19">
      <c r="A134" s="470"/>
      <c r="B134" s="461" t="s">
        <v>348</v>
      </c>
      <c r="C134" s="462">
        <v>4.0863529374062919</v>
      </c>
      <c r="D134" s="463">
        <v>5.0234158580272785</v>
      </c>
      <c r="E134" s="463">
        <v>4.0298308730365546</v>
      </c>
      <c r="F134" s="463">
        <v>1.2465898067870362</v>
      </c>
      <c r="G134" s="463">
        <v>23.018535501792371</v>
      </c>
      <c r="H134" s="463">
        <v>0</v>
      </c>
      <c r="I134" s="462">
        <v>4.1902924817799212</v>
      </c>
      <c r="J134" s="462">
        <v>-3.080714044766224</v>
      </c>
      <c r="K134" s="463">
        <v>3.1142136939135754</v>
      </c>
      <c r="L134" s="463">
        <v>-0.66361687975881534</v>
      </c>
      <c r="M134" s="463">
        <v>-13.762042459915547</v>
      </c>
      <c r="N134" s="463">
        <v>0</v>
      </c>
      <c r="O134" s="462">
        <v>1.0416298840655278</v>
      </c>
      <c r="P134" s="462">
        <v>0</v>
      </c>
      <c r="Q134" s="463">
        <v>0</v>
      </c>
      <c r="R134" s="463">
        <v>0</v>
      </c>
      <c r="S134" s="464">
        <v>0</v>
      </c>
    </row>
    <row r="135" spans="1:19">
      <c r="A135" s="470"/>
      <c r="B135" s="77" t="s">
        <v>350</v>
      </c>
      <c r="C135" s="127">
        <v>76331.016525373139</v>
      </c>
      <c r="D135" s="129">
        <v>69414.418865384621</v>
      </c>
      <c r="E135" s="129">
        <v>63653.463935943058</v>
      </c>
      <c r="F135" s="129">
        <v>60811.74998181819</v>
      </c>
      <c r="G135" s="129">
        <v>52759.959214285715</v>
      </c>
      <c r="H135" s="129">
        <v>0</v>
      </c>
      <c r="I135" s="127">
        <v>67123.467092425533</v>
      </c>
      <c r="J135" s="127">
        <v>50282.409684210528</v>
      </c>
      <c r="K135" s="129">
        <v>70511.833245901638</v>
      </c>
      <c r="L135" s="129">
        <v>49959.265740909097</v>
      </c>
      <c r="M135" s="129">
        <v>48302.952500000007</v>
      </c>
      <c r="N135" s="129">
        <v>0</v>
      </c>
      <c r="O135" s="127">
        <v>58203.149760810811</v>
      </c>
      <c r="P135" s="127">
        <v>0</v>
      </c>
      <c r="Q135" s="129">
        <v>0</v>
      </c>
      <c r="R135" s="129">
        <v>0</v>
      </c>
      <c r="S135" s="128">
        <v>0</v>
      </c>
    </row>
    <row r="136" spans="1:19">
      <c r="A136" s="470"/>
      <c r="B136" s="80" t="s">
        <v>352</v>
      </c>
      <c r="C136" s="458">
        <v>79996.352155555564</v>
      </c>
      <c r="D136" s="459">
        <v>71637.236832075476</v>
      </c>
      <c r="E136" s="459">
        <v>66047.269265942028</v>
      </c>
      <c r="F136" s="459">
        <v>61359.649771111115</v>
      </c>
      <c r="G136" s="459">
        <v>54696.039999999994</v>
      </c>
      <c r="H136" s="459">
        <v>0</v>
      </c>
      <c r="I136" s="458">
        <v>69603.664393734129</v>
      </c>
      <c r="J136" s="458">
        <v>50339.084639999994</v>
      </c>
      <c r="K136" s="459">
        <v>75235.140060377365</v>
      </c>
      <c r="L136" s="459">
        <v>49943.566942528734</v>
      </c>
      <c r="M136" s="459">
        <v>48953.595333333338</v>
      </c>
      <c r="N136" s="459">
        <v>0</v>
      </c>
      <c r="O136" s="458">
        <v>56716.09088820513</v>
      </c>
      <c r="P136" s="458">
        <v>0</v>
      </c>
      <c r="Q136" s="459">
        <v>0</v>
      </c>
      <c r="R136" s="459">
        <v>0</v>
      </c>
      <c r="S136" s="460">
        <v>0</v>
      </c>
    </row>
    <row r="137" spans="1:19">
      <c r="A137" s="470"/>
      <c r="B137" s="461" t="s">
        <v>354</v>
      </c>
      <c r="C137" s="462">
        <v>4.8018954771341642</v>
      </c>
      <c r="D137" s="463">
        <v>3.2022424202694335</v>
      </c>
      <c r="E137" s="463">
        <v>3.7606835229076436</v>
      </c>
      <c r="F137" s="463">
        <v>0.90097684979751369</v>
      </c>
      <c r="G137" s="463">
        <v>3.66960250642129</v>
      </c>
      <c r="H137" s="463">
        <v>0</v>
      </c>
      <c r="I137" s="462">
        <v>3.6949779395237323</v>
      </c>
      <c r="J137" s="462">
        <v>0.11271328511382439</v>
      </c>
      <c r="K137" s="463">
        <v>6.6986016347125119</v>
      </c>
      <c r="L137" s="463">
        <v>-3.1423196773502443E-2</v>
      </c>
      <c r="M137" s="463">
        <v>1.3470042712882435</v>
      </c>
      <c r="N137" s="463">
        <v>0</v>
      </c>
      <c r="O137" s="462">
        <v>-2.5549457009059395</v>
      </c>
      <c r="P137" s="462">
        <v>0</v>
      </c>
      <c r="Q137" s="463">
        <v>0</v>
      </c>
      <c r="R137" s="463">
        <v>0</v>
      </c>
      <c r="S137" s="464">
        <v>0</v>
      </c>
    </row>
    <row r="138" spans="1:19">
      <c r="A138" s="470"/>
      <c r="B138" s="77" t="s">
        <v>356</v>
      </c>
      <c r="C138" s="127">
        <v>66291.330608695658</v>
      </c>
      <c r="D138" s="129">
        <v>58362.210510941477</v>
      </c>
      <c r="E138" s="129">
        <v>55431.934620853084</v>
      </c>
      <c r="F138" s="129">
        <v>51162.51608757396</v>
      </c>
      <c r="G138" s="129">
        <v>44573.431963636365</v>
      </c>
      <c r="H138" s="129">
        <v>0</v>
      </c>
      <c r="I138" s="127">
        <v>56486.702495855854</v>
      </c>
      <c r="J138" s="127">
        <v>44514.077945454541</v>
      </c>
      <c r="K138" s="129">
        <v>64087.016509374997</v>
      </c>
      <c r="L138" s="129">
        <v>46606.461538461539</v>
      </c>
      <c r="M138" s="129">
        <v>43849.832824489793</v>
      </c>
      <c r="N138" s="129">
        <v>0</v>
      </c>
      <c r="O138" s="127">
        <v>50400.571466382979</v>
      </c>
      <c r="P138" s="127">
        <v>0</v>
      </c>
      <c r="Q138" s="129">
        <v>0</v>
      </c>
      <c r="R138" s="129">
        <v>0</v>
      </c>
      <c r="S138" s="128">
        <v>0</v>
      </c>
    </row>
    <row r="139" spans="1:19">
      <c r="A139" s="470"/>
      <c r="B139" s="80" t="s">
        <v>358</v>
      </c>
      <c r="C139" s="458">
        <v>68672.996631192669</v>
      </c>
      <c r="D139" s="459">
        <v>60928.018737349397</v>
      </c>
      <c r="E139" s="459">
        <v>56517.383002267568</v>
      </c>
      <c r="F139" s="459">
        <v>52156.509433766238</v>
      </c>
      <c r="G139" s="459">
        <v>46978.299909433968</v>
      </c>
      <c r="H139" s="459">
        <v>0</v>
      </c>
      <c r="I139" s="458">
        <v>58178.913835718311</v>
      </c>
      <c r="J139" s="458">
        <v>44066.346417391302</v>
      </c>
      <c r="K139" s="459">
        <v>63693.675035294124</v>
      </c>
      <c r="L139" s="459">
        <v>45582.010958904109</v>
      </c>
      <c r="M139" s="459">
        <v>45919.855711111108</v>
      </c>
      <c r="N139" s="459">
        <v>0</v>
      </c>
      <c r="O139" s="458">
        <v>51349.508998449608</v>
      </c>
      <c r="P139" s="458">
        <v>0</v>
      </c>
      <c r="Q139" s="459">
        <v>0</v>
      </c>
      <c r="R139" s="459">
        <v>0</v>
      </c>
      <c r="S139" s="460">
        <v>0</v>
      </c>
    </row>
    <row r="140" spans="1:19">
      <c r="A140" s="470"/>
      <c r="B140" s="461" t="s">
        <v>360</v>
      </c>
      <c r="C140" s="462">
        <v>3.5927262292493491</v>
      </c>
      <c r="D140" s="463">
        <v>4.3963520297554428</v>
      </c>
      <c r="E140" s="463">
        <v>1.958164348473139</v>
      </c>
      <c r="F140" s="463">
        <v>1.9428156044766776</v>
      </c>
      <c r="G140" s="463">
        <v>5.395294550707983</v>
      </c>
      <c r="H140" s="463">
        <v>0</v>
      </c>
      <c r="I140" s="462">
        <v>2.9957693848151359</v>
      </c>
      <c r="J140" s="462">
        <v>-1.0058200657595748</v>
      </c>
      <c r="K140" s="463">
        <v>-0.61376156280162131</v>
      </c>
      <c r="L140" s="463">
        <v>-2.1980870157070633</v>
      </c>
      <c r="M140" s="463">
        <v>4.7207087308784974</v>
      </c>
      <c r="N140" s="463">
        <v>0</v>
      </c>
      <c r="O140" s="462">
        <v>1.8827912153725634</v>
      </c>
      <c r="P140" s="462">
        <v>0</v>
      </c>
      <c r="Q140" s="463">
        <v>0</v>
      </c>
      <c r="R140" s="463">
        <v>0</v>
      </c>
      <c r="S140" s="464">
        <v>0</v>
      </c>
    </row>
    <row r="141" spans="1:19">
      <c r="A141" s="470"/>
      <c r="B141" s="77" t="s">
        <v>362</v>
      </c>
      <c r="C141" s="127">
        <v>41613.421486381325</v>
      </c>
      <c r="D141" s="129">
        <v>40947.748228228229</v>
      </c>
      <c r="E141" s="129">
        <v>40651.713936413042</v>
      </c>
      <c r="F141" s="129">
        <v>39475.709492369475</v>
      </c>
      <c r="G141" s="129">
        <v>23932.15</v>
      </c>
      <c r="H141" s="129">
        <v>0</v>
      </c>
      <c r="I141" s="127">
        <v>40667.821484036394</v>
      </c>
      <c r="J141" s="127">
        <v>36912.79391578948</v>
      </c>
      <c r="K141" s="129">
        <v>52047.51517908497</v>
      </c>
      <c r="L141" s="129">
        <v>39427.655341353384</v>
      </c>
      <c r="M141" s="129">
        <v>38995.107626168225</v>
      </c>
      <c r="N141" s="129">
        <v>0</v>
      </c>
      <c r="O141" s="127">
        <v>43885.843648543691</v>
      </c>
      <c r="P141" s="127">
        <v>42530.870645161289</v>
      </c>
      <c r="Q141" s="129">
        <v>38573.095888888885</v>
      </c>
      <c r="R141" s="129">
        <v>0</v>
      </c>
      <c r="S141" s="128">
        <v>40866.385934579441</v>
      </c>
    </row>
    <row r="142" spans="1:19">
      <c r="A142" s="470"/>
      <c r="B142" s="80" t="s">
        <v>364</v>
      </c>
      <c r="C142" s="458">
        <v>43428.83519757085</v>
      </c>
      <c r="D142" s="459">
        <v>42618.876101162794</v>
      </c>
      <c r="E142" s="459">
        <v>43209.883222811673</v>
      </c>
      <c r="F142" s="459">
        <v>39987.554593357934</v>
      </c>
      <c r="G142" s="459">
        <v>35021.074999999997</v>
      </c>
      <c r="H142" s="459">
        <v>0</v>
      </c>
      <c r="I142" s="458">
        <v>42360.943879646016</v>
      </c>
      <c r="J142" s="458">
        <v>35273</v>
      </c>
      <c r="K142" s="459">
        <v>55172.84739568345</v>
      </c>
      <c r="L142" s="459">
        <v>38309.592960000002</v>
      </c>
      <c r="M142" s="459">
        <v>39131.495148148148</v>
      </c>
      <c r="N142" s="459">
        <v>0</v>
      </c>
      <c r="O142" s="458">
        <v>44430.764483290484</v>
      </c>
      <c r="P142" s="458">
        <v>42381.866177464792</v>
      </c>
      <c r="Q142" s="459">
        <v>37892.874413636368</v>
      </c>
      <c r="R142" s="459">
        <v>0</v>
      </c>
      <c r="S142" s="460">
        <v>40664.338893913038</v>
      </c>
    </row>
    <row r="143" spans="1:19">
      <c r="A143" s="470"/>
      <c r="B143" s="461" t="s">
        <v>366</v>
      </c>
      <c r="C143" s="462">
        <v>4.3625677638250657</v>
      </c>
      <c r="D143" s="463">
        <v>4.0811227606956333</v>
      </c>
      <c r="E143" s="463">
        <v>6.2928940472229327</v>
      </c>
      <c r="F143" s="463">
        <v>1.2966077306030366</v>
      </c>
      <c r="G143" s="463">
        <v>46.334846639353316</v>
      </c>
      <c r="H143" s="463">
        <v>0</v>
      </c>
      <c r="I143" s="462">
        <v>4.1632975011317841</v>
      </c>
      <c r="J143" s="462">
        <v>-4.4423457068310848</v>
      </c>
      <c r="K143" s="463">
        <v>6.0047673858105295</v>
      </c>
      <c r="L143" s="463">
        <v>-2.8357313456088553</v>
      </c>
      <c r="M143" s="463">
        <v>0.34975547006414232</v>
      </c>
      <c r="N143" s="463">
        <v>0</v>
      </c>
      <c r="O143" s="462">
        <v>1.2416779294725409</v>
      </c>
      <c r="P143" s="462">
        <v>-0.3503442686129194</v>
      </c>
      <c r="Q143" s="463">
        <v>-1.7634609293791688</v>
      </c>
      <c r="R143" s="463">
        <v>0</v>
      </c>
      <c r="S143" s="464">
        <v>-0.4944088791943767</v>
      </c>
    </row>
    <row r="144" spans="1:19">
      <c r="A144" s="470"/>
      <c r="B144" s="77" t="s">
        <v>368</v>
      </c>
      <c r="C144" s="127">
        <v>50789.787736842103</v>
      </c>
      <c r="D144" s="129">
        <v>48183.351108108109</v>
      </c>
      <c r="E144" s="129">
        <v>0</v>
      </c>
      <c r="F144" s="129">
        <v>29323.25</v>
      </c>
      <c r="G144" s="129">
        <v>0</v>
      </c>
      <c r="H144" s="129">
        <v>0</v>
      </c>
      <c r="I144" s="127">
        <v>47751.382633333335</v>
      </c>
      <c r="J144" s="127">
        <v>41446.739199999996</v>
      </c>
      <c r="K144" s="129">
        <v>32475.176200000002</v>
      </c>
      <c r="L144" s="129">
        <v>0</v>
      </c>
      <c r="M144" s="129">
        <v>0</v>
      </c>
      <c r="N144" s="129">
        <v>0</v>
      </c>
      <c r="O144" s="127">
        <v>37459.377866666669</v>
      </c>
      <c r="P144" s="127">
        <v>0</v>
      </c>
      <c r="Q144" s="129">
        <v>24947</v>
      </c>
      <c r="R144" s="129">
        <v>0</v>
      </c>
      <c r="S144" s="128">
        <v>24947</v>
      </c>
    </row>
    <row r="145" spans="1:19">
      <c r="A145" s="470"/>
      <c r="B145" s="80" t="s">
        <v>370</v>
      </c>
      <c r="C145" s="458">
        <v>54337.640228571428</v>
      </c>
      <c r="D145" s="459">
        <v>46937.274842553197</v>
      </c>
      <c r="E145" s="459">
        <v>28968</v>
      </c>
      <c r="F145" s="459">
        <v>38448.831676190472</v>
      </c>
      <c r="G145" s="459">
        <v>0</v>
      </c>
      <c r="H145" s="459">
        <v>0</v>
      </c>
      <c r="I145" s="458">
        <v>42327.4561661017</v>
      </c>
      <c r="J145" s="458">
        <v>0</v>
      </c>
      <c r="K145" s="459">
        <v>39985.902249180333</v>
      </c>
      <c r="L145" s="459">
        <v>0</v>
      </c>
      <c r="M145" s="459">
        <v>37888.3874</v>
      </c>
      <c r="N145" s="459">
        <v>0</v>
      </c>
      <c r="O145" s="458">
        <v>39935.561892800004</v>
      </c>
      <c r="P145" s="458">
        <v>0</v>
      </c>
      <c r="Q145" s="459">
        <v>25000</v>
      </c>
      <c r="R145" s="459">
        <v>0</v>
      </c>
      <c r="S145" s="460">
        <v>25000</v>
      </c>
    </row>
    <row r="146" spans="1:19">
      <c r="A146" s="470"/>
      <c r="B146" s="461" t="s">
        <v>372</v>
      </c>
      <c r="C146" s="462">
        <v>6.9853658576245037</v>
      </c>
      <c r="D146" s="463">
        <v>-2.5861137444739217</v>
      </c>
      <c r="E146" s="463">
        <v>0</v>
      </c>
      <c r="F146" s="463">
        <v>31.120635250834994</v>
      </c>
      <c r="G146" s="463">
        <v>0</v>
      </c>
      <c r="H146" s="463">
        <v>0</v>
      </c>
      <c r="I146" s="462">
        <v>-11.35867941014426</v>
      </c>
      <c r="J146" s="462">
        <v>-100</v>
      </c>
      <c r="K146" s="463">
        <v>23.127591372946366</v>
      </c>
      <c r="L146" s="463">
        <v>0</v>
      </c>
      <c r="M146" s="463">
        <v>0</v>
      </c>
      <c r="N146" s="463">
        <v>0</v>
      </c>
      <c r="O146" s="462">
        <v>6.6103180756153819</v>
      </c>
      <c r="P146" s="462">
        <v>0</v>
      </c>
      <c r="Q146" s="463">
        <v>0.21245039483705455</v>
      </c>
      <c r="R146" s="463">
        <v>0</v>
      </c>
      <c r="S146" s="464">
        <v>0.21245039483705455</v>
      </c>
    </row>
    <row r="147" spans="1:19">
      <c r="A147" s="470"/>
      <c r="B147" s="77" t="s">
        <v>374</v>
      </c>
      <c r="C147" s="127">
        <v>0</v>
      </c>
      <c r="D147" s="129">
        <v>0</v>
      </c>
      <c r="E147" s="129">
        <v>0</v>
      </c>
      <c r="F147" s="129">
        <v>0</v>
      </c>
      <c r="G147" s="129">
        <v>0</v>
      </c>
      <c r="H147" s="129">
        <v>0</v>
      </c>
      <c r="I147" s="127">
        <v>0</v>
      </c>
      <c r="J147" s="127">
        <v>0</v>
      </c>
      <c r="K147" s="129">
        <v>0</v>
      </c>
      <c r="L147" s="129">
        <v>0</v>
      </c>
      <c r="M147" s="129">
        <v>0</v>
      </c>
      <c r="N147" s="129">
        <v>0</v>
      </c>
      <c r="O147" s="127">
        <v>0</v>
      </c>
      <c r="P147" s="127">
        <v>0</v>
      </c>
      <c r="Q147" s="129">
        <v>0</v>
      </c>
      <c r="R147" s="129">
        <v>33423.37775639008</v>
      </c>
      <c r="S147" s="128">
        <v>33423.37775639008</v>
      </c>
    </row>
    <row r="148" spans="1:19">
      <c r="A148" s="470"/>
      <c r="B148" s="80" t="s">
        <v>376</v>
      </c>
      <c r="C148" s="458">
        <v>0</v>
      </c>
      <c r="D148" s="459">
        <v>0</v>
      </c>
      <c r="E148" s="459">
        <v>0</v>
      </c>
      <c r="F148" s="459">
        <v>0</v>
      </c>
      <c r="G148" s="459">
        <v>0</v>
      </c>
      <c r="H148" s="459">
        <v>0</v>
      </c>
      <c r="I148" s="458">
        <v>0</v>
      </c>
      <c r="J148" s="458">
        <v>0</v>
      </c>
      <c r="K148" s="459">
        <v>0</v>
      </c>
      <c r="L148" s="459">
        <v>0</v>
      </c>
      <c r="M148" s="459">
        <v>0</v>
      </c>
      <c r="N148" s="459">
        <v>0</v>
      </c>
      <c r="O148" s="458">
        <v>0</v>
      </c>
      <c r="P148" s="458">
        <v>0</v>
      </c>
      <c r="Q148" s="459">
        <v>0</v>
      </c>
      <c r="R148" s="459">
        <v>34482.075575237992</v>
      </c>
      <c r="S148" s="460">
        <v>34482.075575237992</v>
      </c>
    </row>
    <row r="149" spans="1:19">
      <c r="A149" s="470"/>
      <c r="B149" s="461" t="s">
        <v>378</v>
      </c>
      <c r="C149" s="462">
        <v>0</v>
      </c>
      <c r="D149" s="463">
        <v>0</v>
      </c>
      <c r="E149" s="463">
        <v>0</v>
      </c>
      <c r="F149" s="463">
        <v>0</v>
      </c>
      <c r="G149" s="463">
        <v>0</v>
      </c>
      <c r="H149" s="463">
        <v>0</v>
      </c>
      <c r="I149" s="462">
        <v>0</v>
      </c>
      <c r="J149" s="462">
        <v>0</v>
      </c>
      <c r="K149" s="463">
        <v>0</v>
      </c>
      <c r="L149" s="463">
        <v>0</v>
      </c>
      <c r="M149" s="463">
        <v>0</v>
      </c>
      <c r="N149" s="463">
        <v>0</v>
      </c>
      <c r="O149" s="462">
        <v>0</v>
      </c>
      <c r="P149" s="462">
        <v>0</v>
      </c>
      <c r="Q149" s="463">
        <v>0</v>
      </c>
      <c r="R149" s="463">
        <v>3.1675368856024835</v>
      </c>
      <c r="S149" s="464">
        <v>3.1675368856024835</v>
      </c>
    </row>
    <row r="150" spans="1:19">
      <c r="A150" s="470"/>
      <c r="B150" s="77" t="s">
        <v>380</v>
      </c>
      <c r="C150" s="127">
        <v>76562.397050039464</v>
      </c>
      <c r="D150" s="129">
        <v>64765.597842395051</v>
      </c>
      <c r="E150" s="129">
        <v>56948.039324514197</v>
      </c>
      <c r="F150" s="129">
        <v>55438.479963941936</v>
      </c>
      <c r="G150" s="129">
        <v>48370.199363636362</v>
      </c>
      <c r="H150" s="129">
        <v>0</v>
      </c>
      <c r="I150" s="127">
        <v>63085.425327296056</v>
      </c>
      <c r="J150" s="127">
        <v>48097.94572727273</v>
      </c>
      <c r="K150" s="129">
        <v>62295.65633913043</v>
      </c>
      <c r="L150" s="129">
        <v>44556.042218772564</v>
      </c>
      <c r="M150" s="129">
        <v>41849.687826373622</v>
      </c>
      <c r="N150" s="129">
        <v>0</v>
      </c>
      <c r="O150" s="127">
        <v>51139.433638949675</v>
      </c>
      <c r="P150" s="127">
        <v>42530.870645161289</v>
      </c>
      <c r="Q150" s="129">
        <v>38276.876413043479</v>
      </c>
      <c r="R150" s="129">
        <v>33423.37775639008</v>
      </c>
      <c r="S150" s="128">
        <v>34727.890169154765</v>
      </c>
    </row>
    <row r="151" spans="1:19">
      <c r="A151" s="470"/>
      <c r="B151" s="80" t="s">
        <v>382</v>
      </c>
      <c r="C151" s="458">
        <v>80060.134762850634</v>
      </c>
      <c r="D151" s="459">
        <v>66733.624907008096</v>
      </c>
      <c r="E151" s="459">
        <v>58445.01648242856</v>
      </c>
      <c r="F151" s="459">
        <v>55488.041020073804</v>
      </c>
      <c r="G151" s="459">
        <v>51474.082905050505</v>
      </c>
      <c r="H151" s="459">
        <v>0</v>
      </c>
      <c r="I151" s="458">
        <v>64828.932292628597</v>
      </c>
      <c r="J151" s="458">
        <v>47821.177232432441</v>
      </c>
      <c r="K151" s="459">
        <v>59338.580121008396</v>
      </c>
      <c r="L151" s="459">
        <v>44997.882093333326</v>
      </c>
      <c r="M151" s="459">
        <v>42749.498518181812</v>
      </c>
      <c r="N151" s="459">
        <v>0</v>
      </c>
      <c r="O151" s="458">
        <v>51083.680342181819</v>
      </c>
      <c r="P151" s="458">
        <v>42381.866177464792</v>
      </c>
      <c r="Q151" s="459">
        <v>37606.366093333338</v>
      </c>
      <c r="R151" s="459">
        <v>34482.075575237992</v>
      </c>
      <c r="S151" s="460">
        <v>35588.508076929458</v>
      </c>
    </row>
    <row r="152" spans="1:19">
      <c r="A152" s="475"/>
      <c r="B152" s="476" t="s">
        <v>384</v>
      </c>
      <c r="C152" s="477">
        <v>4.5684798903633155</v>
      </c>
      <c r="D152" s="478">
        <v>3.0386920374025945</v>
      </c>
      <c r="E152" s="478">
        <v>2.6286719888352077</v>
      </c>
      <c r="F152" s="478">
        <v>8.939829548736436E-2</v>
      </c>
      <c r="G152" s="478">
        <v>6.4169335298369132</v>
      </c>
      <c r="H152" s="478">
        <v>0</v>
      </c>
      <c r="I152" s="477">
        <v>2.7637238812086653</v>
      </c>
      <c r="J152" s="477">
        <v>-0.57542685171968733</v>
      </c>
      <c r="K152" s="478">
        <v>-4.7468417412990229</v>
      </c>
      <c r="L152" s="478">
        <v>0.99164973493674613</v>
      </c>
      <c r="M152" s="478">
        <v>2.1501013234347965</v>
      </c>
      <c r="N152" s="478">
        <v>0</v>
      </c>
      <c r="O152" s="477">
        <v>-0.10902212402562172</v>
      </c>
      <c r="P152" s="477">
        <v>-0.3503442686129194</v>
      </c>
      <c r="Q152" s="478">
        <v>-1.7517372955794641</v>
      </c>
      <c r="R152" s="478">
        <v>3.1675368856024835</v>
      </c>
      <c r="S152" s="479">
        <v>2.4781750448493751</v>
      </c>
    </row>
    <row r="153" spans="1:19">
      <c r="A153" s="473" t="s">
        <v>443</v>
      </c>
      <c r="B153" s="80" t="s">
        <v>344</v>
      </c>
      <c r="C153" s="458">
        <v>125319.13734553846</v>
      </c>
      <c r="D153" s="474">
        <v>111936.09081142857</v>
      </c>
      <c r="E153" s="474">
        <v>89203.86562190477</v>
      </c>
      <c r="F153" s="474">
        <v>89543.075488963208</v>
      </c>
      <c r="G153" s="474">
        <v>0</v>
      </c>
      <c r="H153" s="474">
        <v>86541.309523809527</v>
      </c>
      <c r="I153" s="458">
        <v>109074.88317673378</v>
      </c>
      <c r="J153" s="458">
        <v>0</v>
      </c>
      <c r="K153" s="474">
        <v>79536.302063346608</v>
      </c>
      <c r="L153" s="474">
        <v>76165.181996047439</v>
      </c>
      <c r="M153" s="474">
        <v>69999.659892592594</v>
      </c>
      <c r="N153" s="474">
        <v>0</v>
      </c>
      <c r="O153" s="458">
        <v>77845.483702101352</v>
      </c>
      <c r="P153" s="458">
        <v>0</v>
      </c>
      <c r="Q153" s="474">
        <v>0</v>
      </c>
      <c r="R153" s="474">
        <v>0</v>
      </c>
      <c r="S153" s="460">
        <v>0</v>
      </c>
    </row>
    <row r="154" spans="1:19">
      <c r="A154" s="470"/>
      <c r="B154" s="80" t="s">
        <v>346</v>
      </c>
      <c r="C154" s="458">
        <v>133415.93212608696</v>
      </c>
      <c r="D154" s="459">
        <v>115899.9748463768</v>
      </c>
      <c r="E154" s="459">
        <v>92067.299267256632</v>
      </c>
      <c r="F154" s="459">
        <v>93661.234535810814</v>
      </c>
      <c r="G154" s="459">
        <v>0</v>
      </c>
      <c r="H154" s="459">
        <v>85009</v>
      </c>
      <c r="I154" s="458">
        <v>114446.36496282528</v>
      </c>
      <c r="J154" s="458">
        <v>0</v>
      </c>
      <c r="K154" s="459">
        <v>81177.373264670648</v>
      </c>
      <c r="L154" s="459">
        <v>78064.535998387102</v>
      </c>
      <c r="M154" s="459">
        <v>72691.190957894738</v>
      </c>
      <c r="N154" s="459">
        <v>0</v>
      </c>
      <c r="O154" s="458">
        <v>79619.437739205954</v>
      </c>
      <c r="P154" s="458">
        <v>0</v>
      </c>
      <c r="Q154" s="459">
        <v>0</v>
      </c>
      <c r="R154" s="459">
        <v>0</v>
      </c>
      <c r="S154" s="460">
        <v>0</v>
      </c>
    </row>
    <row r="155" spans="1:19">
      <c r="A155" s="470"/>
      <c r="B155" s="461" t="s">
        <v>348</v>
      </c>
      <c r="C155" s="462">
        <v>6.4609404054733215</v>
      </c>
      <c r="D155" s="463">
        <v>3.5412028472799992</v>
      </c>
      <c r="E155" s="463">
        <v>3.2099882952255401</v>
      </c>
      <c r="F155" s="463">
        <v>4.5990815307155684</v>
      </c>
      <c r="G155" s="463">
        <v>0</v>
      </c>
      <c r="H155" s="463">
        <v>-1.7706105121831472</v>
      </c>
      <c r="I155" s="462">
        <v>4.9245817457242582</v>
      </c>
      <c r="J155" s="462">
        <v>0</v>
      </c>
      <c r="K155" s="463">
        <v>2.0632983414504378</v>
      </c>
      <c r="L155" s="463">
        <v>2.4937300122754644</v>
      </c>
      <c r="M155" s="463">
        <v>3.8450630609234775</v>
      </c>
      <c r="N155" s="463">
        <v>0</v>
      </c>
      <c r="O155" s="462">
        <v>2.278814329027949</v>
      </c>
      <c r="P155" s="462">
        <v>0</v>
      </c>
      <c r="Q155" s="463">
        <v>0</v>
      </c>
      <c r="R155" s="463">
        <v>0</v>
      </c>
      <c r="S155" s="464">
        <v>0</v>
      </c>
    </row>
    <row r="156" spans="1:19">
      <c r="A156" s="470"/>
      <c r="B156" s="77" t="s">
        <v>350</v>
      </c>
      <c r="C156" s="127">
        <v>89490.357935922322</v>
      </c>
      <c r="D156" s="129">
        <v>73997.557572222227</v>
      </c>
      <c r="E156" s="129">
        <v>73908.645925196863</v>
      </c>
      <c r="F156" s="129">
        <v>70017.267886173635</v>
      </c>
      <c r="G156" s="129">
        <v>0</v>
      </c>
      <c r="H156" s="129">
        <v>63715.57894736842</v>
      </c>
      <c r="I156" s="127">
        <v>78080.271041932705</v>
      </c>
      <c r="J156" s="127">
        <v>0</v>
      </c>
      <c r="K156" s="129">
        <v>62241.04979656863</v>
      </c>
      <c r="L156" s="129">
        <v>61522.041723178809</v>
      </c>
      <c r="M156" s="129">
        <v>61409.54319130435</v>
      </c>
      <c r="N156" s="129">
        <v>0</v>
      </c>
      <c r="O156" s="127">
        <v>61976.807479936309</v>
      </c>
      <c r="P156" s="127">
        <v>0</v>
      </c>
      <c r="Q156" s="129">
        <v>0</v>
      </c>
      <c r="R156" s="129">
        <v>0</v>
      </c>
      <c r="S156" s="128">
        <v>0</v>
      </c>
    </row>
    <row r="157" spans="1:19">
      <c r="A157" s="470"/>
      <c r="B157" s="80" t="s">
        <v>352</v>
      </c>
      <c r="C157" s="458">
        <v>94881.170984869983</v>
      </c>
      <c r="D157" s="459">
        <v>79460.209350649355</v>
      </c>
      <c r="E157" s="459">
        <v>76682.729505185183</v>
      </c>
      <c r="F157" s="459">
        <v>73803.185263291147</v>
      </c>
      <c r="G157" s="459">
        <v>0</v>
      </c>
      <c r="H157" s="459">
        <v>65083.325581395351</v>
      </c>
      <c r="I157" s="458">
        <v>82252.349980265353</v>
      </c>
      <c r="J157" s="458">
        <v>0</v>
      </c>
      <c r="K157" s="459">
        <v>64498.348136077482</v>
      </c>
      <c r="L157" s="459">
        <v>62795.253558974357</v>
      </c>
      <c r="M157" s="459">
        <v>63932.416260317463</v>
      </c>
      <c r="N157" s="459">
        <v>0</v>
      </c>
      <c r="O157" s="458">
        <v>64021.549936392403</v>
      </c>
      <c r="P157" s="458">
        <v>0</v>
      </c>
      <c r="Q157" s="459">
        <v>0</v>
      </c>
      <c r="R157" s="459">
        <v>0</v>
      </c>
      <c r="S157" s="460">
        <v>0</v>
      </c>
    </row>
    <row r="158" spans="1:19">
      <c r="A158" s="470"/>
      <c r="B158" s="461" t="s">
        <v>354</v>
      </c>
      <c r="C158" s="462">
        <v>6.0239037738653796</v>
      </c>
      <c r="D158" s="463">
        <v>7.3822055181963737</v>
      </c>
      <c r="E158" s="463">
        <v>3.7533952154880201</v>
      </c>
      <c r="F158" s="463">
        <v>5.4071195455273111</v>
      </c>
      <c r="G158" s="463">
        <v>0</v>
      </c>
      <c r="H158" s="463">
        <v>2.1466439709458558</v>
      </c>
      <c r="I158" s="462">
        <v>5.3433202557558355</v>
      </c>
      <c r="J158" s="462">
        <v>0</v>
      </c>
      <c r="K158" s="463">
        <v>3.6267035130138465</v>
      </c>
      <c r="L158" s="463">
        <v>2.0695214270105367</v>
      </c>
      <c r="M158" s="463">
        <v>4.1082752580552562</v>
      </c>
      <c r="N158" s="463">
        <v>0</v>
      </c>
      <c r="O158" s="462">
        <v>3.2992058474745347</v>
      </c>
      <c r="P158" s="462">
        <v>0</v>
      </c>
      <c r="Q158" s="463">
        <v>0</v>
      </c>
      <c r="R158" s="463">
        <v>0</v>
      </c>
      <c r="S158" s="464">
        <v>0</v>
      </c>
    </row>
    <row r="159" spans="1:19">
      <c r="A159" s="470"/>
      <c r="B159" s="77" t="s">
        <v>356</v>
      </c>
      <c r="C159" s="127">
        <v>75828.742130103812</v>
      </c>
      <c r="D159" s="129">
        <v>64907.989801769909</v>
      </c>
      <c r="E159" s="129">
        <v>61156.44317820164</v>
      </c>
      <c r="F159" s="129">
        <v>60987.49528987654</v>
      </c>
      <c r="G159" s="129">
        <v>0</v>
      </c>
      <c r="H159" s="129">
        <v>51404.086206896551</v>
      </c>
      <c r="I159" s="127">
        <v>64427.675780844162</v>
      </c>
      <c r="J159" s="127">
        <v>0</v>
      </c>
      <c r="K159" s="129">
        <v>53616.706705641031</v>
      </c>
      <c r="L159" s="129">
        <v>53005.34950957854</v>
      </c>
      <c r="M159" s="129">
        <v>52182.421988732392</v>
      </c>
      <c r="N159" s="129">
        <v>0</v>
      </c>
      <c r="O159" s="127">
        <v>53254.659000554013</v>
      </c>
      <c r="P159" s="127">
        <v>0</v>
      </c>
      <c r="Q159" s="129">
        <v>0</v>
      </c>
      <c r="R159" s="129">
        <v>0</v>
      </c>
      <c r="S159" s="128">
        <v>0</v>
      </c>
    </row>
    <row r="160" spans="1:19">
      <c r="A160" s="470"/>
      <c r="B160" s="80" t="s">
        <v>358</v>
      </c>
      <c r="C160" s="458">
        <v>83432.648755414019</v>
      </c>
      <c r="D160" s="459">
        <v>66620.921390654199</v>
      </c>
      <c r="E160" s="459">
        <v>62835.523037500003</v>
      </c>
      <c r="F160" s="459">
        <v>64034.58174717833</v>
      </c>
      <c r="G160" s="459">
        <v>0</v>
      </c>
      <c r="H160" s="459">
        <v>52263.245901639348</v>
      </c>
      <c r="I160" s="458">
        <v>67998.860854392668</v>
      </c>
      <c r="J160" s="458">
        <v>0</v>
      </c>
      <c r="K160" s="459">
        <v>55483.224453164563</v>
      </c>
      <c r="L160" s="459">
        <v>53347.244218390806</v>
      </c>
      <c r="M160" s="459">
        <v>53899.681900000003</v>
      </c>
      <c r="N160" s="459">
        <v>0</v>
      </c>
      <c r="O160" s="458">
        <v>54553.639880434785</v>
      </c>
      <c r="P160" s="458">
        <v>0</v>
      </c>
      <c r="Q160" s="459">
        <v>0</v>
      </c>
      <c r="R160" s="459">
        <v>0</v>
      </c>
      <c r="S160" s="460">
        <v>0</v>
      </c>
    </row>
    <row r="161" spans="1:19">
      <c r="A161" s="470"/>
      <c r="B161" s="461" t="s">
        <v>360</v>
      </c>
      <c r="C161" s="462">
        <v>10.027736728460743</v>
      </c>
      <c r="D161" s="463">
        <v>2.6390150027995198</v>
      </c>
      <c r="E161" s="463">
        <v>2.7455485833369186</v>
      </c>
      <c r="F161" s="463">
        <v>4.996247907573248</v>
      </c>
      <c r="G161" s="463">
        <v>0</v>
      </c>
      <c r="H161" s="463">
        <v>1.6713840438379959</v>
      </c>
      <c r="I161" s="462">
        <v>5.542936370537678</v>
      </c>
      <c r="J161" s="462">
        <v>0</v>
      </c>
      <c r="K161" s="463">
        <v>3.4812241597956173</v>
      </c>
      <c r="L161" s="463">
        <v>0.64501925178416664</v>
      </c>
      <c r="M161" s="463">
        <v>3.2908781268113882</v>
      </c>
      <c r="N161" s="463">
        <v>0</v>
      </c>
      <c r="O161" s="462">
        <v>2.4391873016542238</v>
      </c>
      <c r="P161" s="462">
        <v>0</v>
      </c>
      <c r="Q161" s="463">
        <v>0</v>
      </c>
      <c r="R161" s="463">
        <v>0</v>
      </c>
      <c r="S161" s="464">
        <v>0</v>
      </c>
    </row>
    <row r="162" spans="1:19">
      <c r="A162" s="470"/>
      <c r="B162" s="77" t="s">
        <v>362</v>
      </c>
      <c r="C162" s="127">
        <v>55644.513942857142</v>
      </c>
      <c r="D162" s="129">
        <v>48304.292529411767</v>
      </c>
      <c r="E162" s="129">
        <v>54044.884999999995</v>
      </c>
      <c r="F162" s="129">
        <v>53623.354325714288</v>
      </c>
      <c r="G162" s="129">
        <v>0</v>
      </c>
      <c r="H162" s="129">
        <v>43761.428571428572</v>
      </c>
      <c r="I162" s="127">
        <v>52291.185568503934</v>
      </c>
      <c r="J162" s="127">
        <v>0</v>
      </c>
      <c r="K162" s="129">
        <v>45957.887993939388</v>
      </c>
      <c r="L162" s="129">
        <v>44989.891030630635</v>
      </c>
      <c r="M162" s="129">
        <v>44736.485727272724</v>
      </c>
      <c r="N162" s="129">
        <v>0</v>
      </c>
      <c r="O162" s="127">
        <v>45228.524361990945</v>
      </c>
      <c r="P162" s="127">
        <v>0</v>
      </c>
      <c r="Q162" s="129">
        <v>0</v>
      </c>
      <c r="R162" s="129">
        <v>0</v>
      </c>
      <c r="S162" s="128">
        <v>0</v>
      </c>
    </row>
    <row r="163" spans="1:19">
      <c r="A163" s="470"/>
      <c r="B163" s="80" t="s">
        <v>364</v>
      </c>
      <c r="C163" s="458">
        <v>59407.881209090912</v>
      </c>
      <c r="D163" s="459">
        <v>52252.721583333332</v>
      </c>
      <c r="E163" s="459">
        <v>49737.666666666664</v>
      </c>
      <c r="F163" s="459">
        <v>54450.272872222224</v>
      </c>
      <c r="G163" s="459">
        <v>0</v>
      </c>
      <c r="H163" s="459">
        <v>29489.444444444445</v>
      </c>
      <c r="I163" s="458">
        <v>51910.734613207547</v>
      </c>
      <c r="J163" s="458">
        <v>0</v>
      </c>
      <c r="K163" s="459">
        <v>47884.428615789475</v>
      </c>
      <c r="L163" s="459">
        <v>47164.697232835824</v>
      </c>
      <c r="M163" s="459">
        <v>46224.565667924522</v>
      </c>
      <c r="N163" s="459">
        <v>0</v>
      </c>
      <c r="O163" s="458">
        <v>47189.557498979593</v>
      </c>
      <c r="P163" s="458">
        <v>0</v>
      </c>
      <c r="Q163" s="459">
        <v>0</v>
      </c>
      <c r="R163" s="459">
        <v>0</v>
      </c>
      <c r="S163" s="460">
        <v>0</v>
      </c>
    </row>
    <row r="164" spans="1:19">
      <c r="A164" s="470"/>
      <c r="B164" s="461" t="s">
        <v>366</v>
      </c>
      <c r="C164" s="462">
        <v>6.7632314482942091</v>
      </c>
      <c r="D164" s="463">
        <v>8.1740749054909045</v>
      </c>
      <c r="E164" s="463">
        <v>-7.9697057979369017</v>
      </c>
      <c r="F164" s="463">
        <v>1.5420865719908887</v>
      </c>
      <c r="G164" s="463">
        <v>0</v>
      </c>
      <c r="H164" s="463">
        <v>-32.613158648806476</v>
      </c>
      <c r="I164" s="462">
        <v>-0.7275623055017133</v>
      </c>
      <c r="J164" s="462">
        <v>0</v>
      </c>
      <c r="K164" s="463">
        <v>4.1919694440792092</v>
      </c>
      <c r="L164" s="463">
        <v>4.8339885969594985</v>
      </c>
      <c r="M164" s="463">
        <v>3.3263228357354393</v>
      </c>
      <c r="N164" s="463">
        <v>0</v>
      </c>
      <c r="O164" s="462">
        <v>4.335832673410537</v>
      </c>
      <c r="P164" s="462">
        <v>0</v>
      </c>
      <c r="Q164" s="463">
        <v>0</v>
      </c>
      <c r="R164" s="463">
        <v>0</v>
      </c>
      <c r="S164" s="464">
        <v>0</v>
      </c>
    </row>
    <row r="165" spans="1:19">
      <c r="A165" s="470"/>
      <c r="B165" s="77" t="s">
        <v>368</v>
      </c>
      <c r="C165" s="127">
        <v>55622.60557777778</v>
      </c>
      <c r="D165" s="129">
        <v>45315.002762711869</v>
      </c>
      <c r="E165" s="129">
        <v>39815.056959574467</v>
      </c>
      <c r="F165" s="129">
        <v>46529.192587500002</v>
      </c>
      <c r="G165" s="129">
        <v>0</v>
      </c>
      <c r="H165" s="129">
        <v>0</v>
      </c>
      <c r="I165" s="127">
        <v>46629.682011910671</v>
      </c>
      <c r="J165" s="127">
        <v>0</v>
      </c>
      <c r="K165" s="129">
        <v>0</v>
      </c>
      <c r="L165" s="129">
        <v>45260.322200000002</v>
      </c>
      <c r="M165" s="129">
        <v>42323</v>
      </c>
      <c r="N165" s="129">
        <v>0</v>
      </c>
      <c r="O165" s="127">
        <v>43791.661099999998</v>
      </c>
      <c r="P165" s="127">
        <v>0</v>
      </c>
      <c r="Q165" s="129">
        <v>0</v>
      </c>
      <c r="R165" s="129">
        <v>0</v>
      </c>
      <c r="S165" s="128">
        <v>0</v>
      </c>
    </row>
    <row r="166" spans="1:19">
      <c r="A166" s="470"/>
      <c r="B166" s="80" t="s">
        <v>370</v>
      </c>
      <c r="C166" s="458">
        <v>58593.487279497916</v>
      </c>
      <c r="D166" s="459">
        <v>53345.856763888885</v>
      </c>
      <c r="E166" s="459">
        <v>41784.463878233437</v>
      </c>
      <c r="F166" s="459">
        <v>47973.41789527559</v>
      </c>
      <c r="G166" s="459">
        <v>0</v>
      </c>
      <c r="H166" s="459">
        <v>0</v>
      </c>
      <c r="I166" s="458">
        <v>49065.383607256234</v>
      </c>
      <c r="J166" s="458">
        <v>0</v>
      </c>
      <c r="K166" s="459">
        <v>0</v>
      </c>
      <c r="L166" s="459">
        <v>54309.229200000002</v>
      </c>
      <c r="M166" s="459">
        <v>35849</v>
      </c>
      <c r="N166" s="459">
        <v>0</v>
      </c>
      <c r="O166" s="458">
        <v>50617.183360000003</v>
      </c>
      <c r="P166" s="458">
        <v>0</v>
      </c>
      <c r="Q166" s="459">
        <v>0</v>
      </c>
      <c r="R166" s="459">
        <v>0</v>
      </c>
      <c r="S166" s="460">
        <v>0</v>
      </c>
    </row>
    <row r="167" spans="1:19">
      <c r="A167" s="470"/>
      <c r="B167" s="461" t="s">
        <v>372</v>
      </c>
      <c r="C167" s="462">
        <v>5.3411408380823078</v>
      </c>
      <c r="D167" s="463">
        <v>17.722285140817259</v>
      </c>
      <c r="E167" s="463">
        <v>4.9463872942805862</v>
      </c>
      <c r="F167" s="463">
        <v>3.1039122483367088</v>
      </c>
      <c r="G167" s="463">
        <v>0</v>
      </c>
      <c r="H167" s="463">
        <v>0</v>
      </c>
      <c r="I167" s="462">
        <v>5.2235003333786594</v>
      </c>
      <c r="J167" s="462">
        <v>0</v>
      </c>
      <c r="K167" s="463">
        <v>0</v>
      </c>
      <c r="L167" s="463">
        <v>19.993023823414141</v>
      </c>
      <c r="M167" s="463">
        <v>-15.296647213099259</v>
      </c>
      <c r="N167" s="463">
        <v>0</v>
      </c>
      <c r="O167" s="462">
        <v>15.586351575962496</v>
      </c>
      <c r="P167" s="462">
        <v>0</v>
      </c>
      <c r="Q167" s="463">
        <v>0</v>
      </c>
      <c r="R167" s="463">
        <v>0</v>
      </c>
      <c r="S167" s="464">
        <v>0</v>
      </c>
    </row>
    <row r="168" spans="1:19">
      <c r="A168" s="470"/>
      <c r="B168" s="77" t="s">
        <v>374</v>
      </c>
      <c r="C168" s="127">
        <v>0</v>
      </c>
      <c r="D168" s="129">
        <v>0</v>
      </c>
      <c r="E168" s="129">
        <v>0</v>
      </c>
      <c r="F168" s="129">
        <v>0</v>
      </c>
      <c r="G168" s="129">
        <v>0</v>
      </c>
      <c r="H168" s="129">
        <v>0</v>
      </c>
      <c r="I168" s="127">
        <v>0</v>
      </c>
      <c r="J168" s="127">
        <v>0</v>
      </c>
      <c r="K168" s="129">
        <v>0</v>
      </c>
      <c r="L168" s="129">
        <v>0</v>
      </c>
      <c r="M168" s="129">
        <v>0</v>
      </c>
      <c r="N168" s="129">
        <v>0</v>
      </c>
      <c r="O168" s="127">
        <v>0</v>
      </c>
      <c r="P168" s="127">
        <v>0</v>
      </c>
      <c r="Q168" s="129">
        <v>0</v>
      </c>
      <c r="R168" s="129">
        <v>0</v>
      </c>
      <c r="S168" s="128">
        <v>0</v>
      </c>
    </row>
    <row r="169" spans="1:19">
      <c r="A169" s="470"/>
      <c r="B169" s="80" t="s">
        <v>376</v>
      </c>
      <c r="C169" s="458">
        <v>0</v>
      </c>
      <c r="D169" s="459">
        <v>0</v>
      </c>
      <c r="E169" s="459">
        <v>0</v>
      </c>
      <c r="F169" s="459">
        <v>0</v>
      </c>
      <c r="G169" s="459">
        <v>0</v>
      </c>
      <c r="H169" s="459">
        <v>0</v>
      </c>
      <c r="I169" s="458">
        <v>0</v>
      </c>
      <c r="J169" s="458">
        <v>0</v>
      </c>
      <c r="K169" s="459">
        <v>0</v>
      </c>
      <c r="L169" s="459">
        <v>0</v>
      </c>
      <c r="M169" s="459">
        <v>0</v>
      </c>
      <c r="N169" s="459">
        <v>0</v>
      </c>
      <c r="O169" s="458">
        <v>0</v>
      </c>
      <c r="P169" s="458">
        <v>0</v>
      </c>
      <c r="Q169" s="459">
        <v>0</v>
      </c>
      <c r="R169" s="459">
        <v>0</v>
      </c>
      <c r="S169" s="460">
        <v>0</v>
      </c>
    </row>
    <row r="170" spans="1:19">
      <c r="A170" s="470"/>
      <c r="B170" s="461" t="s">
        <v>378</v>
      </c>
      <c r="C170" s="462">
        <v>0</v>
      </c>
      <c r="D170" s="463">
        <v>0</v>
      </c>
      <c r="E170" s="463">
        <v>0</v>
      </c>
      <c r="F170" s="463">
        <v>0</v>
      </c>
      <c r="G170" s="463">
        <v>0</v>
      </c>
      <c r="H170" s="463">
        <v>0</v>
      </c>
      <c r="I170" s="462">
        <v>0</v>
      </c>
      <c r="J170" s="462">
        <v>0</v>
      </c>
      <c r="K170" s="463">
        <v>0</v>
      </c>
      <c r="L170" s="463">
        <v>0</v>
      </c>
      <c r="M170" s="463">
        <v>0</v>
      </c>
      <c r="N170" s="463">
        <v>0</v>
      </c>
      <c r="O170" s="462">
        <v>0</v>
      </c>
      <c r="P170" s="462">
        <v>0</v>
      </c>
      <c r="Q170" s="463">
        <v>0</v>
      </c>
      <c r="R170" s="463">
        <v>0</v>
      </c>
      <c r="S170" s="464">
        <v>0</v>
      </c>
    </row>
    <row r="171" spans="1:19">
      <c r="A171" s="470"/>
      <c r="B171" s="77" t="s">
        <v>380</v>
      </c>
      <c r="C171" s="127">
        <v>96384.216823794617</v>
      </c>
      <c r="D171" s="129">
        <v>78554.042257082445</v>
      </c>
      <c r="E171" s="129">
        <v>63607.687731656551</v>
      </c>
      <c r="F171" s="129">
        <v>66893.417905891474</v>
      </c>
      <c r="G171" s="129">
        <v>0</v>
      </c>
      <c r="H171" s="129">
        <v>63487</v>
      </c>
      <c r="I171" s="127">
        <v>77248.414428381569</v>
      </c>
      <c r="J171" s="127">
        <v>0</v>
      </c>
      <c r="K171" s="129">
        <v>65347.956204685208</v>
      </c>
      <c r="L171" s="129">
        <v>61026.23922365038</v>
      </c>
      <c r="M171" s="129">
        <v>57396.847698333331</v>
      </c>
      <c r="N171" s="129">
        <v>0</v>
      </c>
      <c r="O171" s="127">
        <v>63137.150058389263</v>
      </c>
      <c r="P171" s="127">
        <v>0</v>
      </c>
      <c r="Q171" s="129">
        <v>0</v>
      </c>
      <c r="R171" s="129">
        <v>0</v>
      </c>
      <c r="S171" s="128">
        <v>0</v>
      </c>
    </row>
    <row r="172" spans="1:19">
      <c r="A172" s="470"/>
      <c r="B172" s="80" t="s">
        <v>382</v>
      </c>
      <c r="C172" s="458">
        <v>102048.27294238734</v>
      </c>
      <c r="D172" s="459">
        <v>82458.471436024847</v>
      </c>
      <c r="E172" s="459">
        <v>65546.551876307174</v>
      </c>
      <c r="F172" s="459">
        <v>69560.081523122688</v>
      </c>
      <c r="G172" s="459">
        <v>0</v>
      </c>
      <c r="H172" s="459">
        <v>63229.967532467534</v>
      </c>
      <c r="I172" s="458">
        <v>80634.366753341586</v>
      </c>
      <c r="J172" s="458">
        <v>0</v>
      </c>
      <c r="K172" s="459">
        <v>67048.932866137184</v>
      </c>
      <c r="L172" s="459">
        <v>63120.878879347816</v>
      </c>
      <c r="M172" s="459">
        <v>58932.541895275594</v>
      </c>
      <c r="N172" s="459">
        <v>0</v>
      </c>
      <c r="O172" s="458">
        <v>64963.622954189465</v>
      </c>
      <c r="P172" s="458">
        <v>0</v>
      </c>
      <c r="Q172" s="459">
        <v>0</v>
      </c>
      <c r="R172" s="459">
        <v>0</v>
      </c>
      <c r="S172" s="460">
        <v>0</v>
      </c>
    </row>
    <row r="173" spans="1:19">
      <c r="A173" s="475"/>
      <c r="B173" s="476" t="s">
        <v>384</v>
      </c>
      <c r="C173" s="477">
        <v>5.8765390281144265</v>
      </c>
      <c r="D173" s="478">
        <v>4.9703733464974915</v>
      </c>
      <c r="E173" s="478">
        <v>3.0481600790617644</v>
      </c>
      <c r="F173" s="478">
        <v>3.986436484652033</v>
      </c>
      <c r="G173" s="478">
        <v>0</v>
      </c>
      <c r="H173" s="478">
        <v>-0.40485842382293441</v>
      </c>
      <c r="I173" s="477">
        <v>4.3831997718208129</v>
      </c>
      <c r="J173" s="477">
        <v>0</v>
      </c>
      <c r="K173" s="478">
        <v>2.6029531147448832</v>
      </c>
      <c r="L173" s="478">
        <v>3.4323590677461735</v>
      </c>
      <c r="M173" s="478">
        <v>2.6755723676909442</v>
      </c>
      <c r="N173" s="478">
        <v>0</v>
      </c>
      <c r="O173" s="477">
        <v>2.892865601489897</v>
      </c>
      <c r="P173" s="477">
        <v>0</v>
      </c>
      <c r="Q173" s="478">
        <v>0</v>
      </c>
      <c r="R173" s="478">
        <v>0</v>
      </c>
      <c r="S173" s="479">
        <v>0</v>
      </c>
    </row>
    <row r="174" spans="1:19">
      <c r="A174" s="473" t="s">
        <v>444</v>
      </c>
      <c r="B174" s="80" t="s">
        <v>344</v>
      </c>
      <c r="C174" s="458">
        <v>89471.182220147413</v>
      </c>
      <c r="D174" s="474">
        <v>92082.667915981743</v>
      </c>
      <c r="E174" s="474">
        <v>0</v>
      </c>
      <c r="F174" s="474">
        <v>65129.410916049375</v>
      </c>
      <c r="G174" s="474">
        <v>59359.385059574473</v>
      </c>
      <c r="H174" s="474">
        <v>0</v>
      </c>
      <c r="I174" s="458">
        <v>85737.730529442968</v>
      </c>
      <c r="J174" s="458">
        <v>0</v>
      </c>
      <c r="K174" s="474">
        <v>0</v>
      </c>
      <c r="L174" s="474">
        <v>0</v>
      </c>
      <c r="M174" s="474">
        <v>0</v>
      </c>
      <c r="N174" s="474">
        <v>0</v>
      </c>
      <c r="O174" s="458">
        <v>0</v>
      </c>
      <c r="P174" s="458">
        <v>0</v>
      </c>
      <c r="Q174" s="474">
        <v>0</v>
      </c>
      <c r="R174" s="474">
        <v>0</v>
      </c>
      <c r="S174" s="460">
        <v>0</v>
      </c>
    </row>
    <row r="175" spans="1:19">
      <c r="A175" s="470"/>
      <c r="B175" s="80" t="s">
        <v>346</v>
      </c>
      <c r="C175" s="458">
        <v>89337.828184143218</v>
      </c>
      <c r="D175" s="459">
        <v>95953.991100465108</v>
      </c>
      <c r="E175" s="459">
        <v>0</v>
      </c>
      <c r="F175" s="459">
        <v>65021.727989473686</v>
      </c>
      <c r="G175" s="459">
        <v>58333.702468085103</v>
      </c>
      <c r="H175" s="459">
        <v>0</v>
      </c>
      <c r="I175" s="458">
        <v>86755.191014814816</v>
      </c>
      <c r="J175" s="458">
        <v>0</v>
      </c>
      <c r="K175" s="459">
        <v>0</v>
      </c>
      <c r="L175" s="459">
        <v>0</v>
      </c>
      <c r="M175" s="459">
        <v>0</v>
      </c>
      <c r="N175" s="459">
        <v>0</v>
      </c>
      <c r="O175" s="458">
        <v>0</v>
      </c>
      <c r="P175" s="458">
        <v>0</v>
      </c>
      <c r="Q175" s="459">
        <v>0</v>
      </c>
      <c r="R175" s="459">
        <v>0</v>
      </c>
      <c r="S175" s="460">
        <v>0</v>
      </c>
    </row>
    <row r="176" spans="1:19">
      <c r="A176" s="470"/>
      <c r="B176" s="461" t="s">
        <v>348</v>
      </c>
      <c r="C176" s="462">
        <v>-0.14904691398407177</v>
      </c>
      <c r="D176" s="463">
        <v>4.2041822550315819</v>
      </c>
      <c r="E176" s="463">
        <v>0</v>
      </c>
      <c r="F176" s="463">
        <v>-0.16533686557443453</v>
      </c>
      <c r="G176" s="463">
        <v>-1.7279198402408844</v>
      </c>
      <c r="H176" s="463">
        <v>0</v>
      </c>
      <c r="I176" s="462">
        <v>1.1867126399181338</v>
      </c>
      <c r="J176" s="462">
        <v>0</v>
      </c>
      <c r="K176" s="463">
        <v>0</v>
      </c>
      <c r="L176" s="463">
        <v>0</v>
      </c>
      <c r="M176" s="463">
        <v>0</v>
      </c>
      <c r="N176" s="463">
        <v>0</v>
      </c>
      <c r="O176" s="462">
        <v>0</v>
      </c>
      <c r="P176" s="462">
        <v>0</v>
      </c>
      <c r="Q176" s="463">
        <v>0</v>
      </c>
      <c r="R176" s="463">
        <v>0</v>
      </c>
      <c r="S176" s="464">
        <v>0</v>
      </c>
    </row>
    <row r="177" spans="1:19">
      <c r="A177" s="470"/>
      <c r="B177" s="77" t="s">
        <v>350</v>
      </c>
      <c r="C177" s="127">
        <v>68715.436183333324</v>
      </c>
      <c r="D177" s="129">
        <v>71022.075578260876</v>
      </c>
      <c r="E177" s="129">
        <v>0</v>
      </c>
      <c r="F177" s="129">
        <v>59113.549887096771</v>
      </c>
      <c r="G177" s="129">
        <v>54992.740886486485</v>
      </c>
      <c r="H177" s="129">
        <v>0</v>
      </c>
      <c r="I177" s="127">
        <v>68059.424645569627</v>
      </c>
      <c r="J177" s="127">
        <v>0</v>
      </c>
      <c r="K177" s="129">
        <v>0</v>
      </c>
      <c r="L177" s="129">
        <v>0</v>
      </c>
      <c r="M177" s="129">
        <v>0</v>
      </c>
      <c r="N177" s="129">
        <v>0</v>
      </c>
      <c r="O177" s="127">
        <v>0</v>
      </c>
      <c r="P177" s="127">
        <v>0</v>
      </c>
      <c r="Q177" s="129">
        <v>0</v>
      </c>
      <c r="R177" s="129">
        <v>0</v>
      </c>
      <c r="S177" s="128">
        <v>0</v>
      </c>
    </row>
    <row r="178" spans="1:19">
      <c r="A178" s="470"/>
      <c r="B178" s="80" t="s">
        <v>352</v>
      </c>
      <c r="C178" s="458">
        <v>68582.631858959532</v>
      </c>
      <c r="D178" s="459">
        <v>72258.635898220629</v>
      </c>
      <c r="E178" s="459">
        <v>0</v>
      </c>
      <c r="F178" s="459">
        <v>58385.35254925373</v>
      </c>
      <c r="G178" s="459">
        <v>54928.940926315787</v>
      </c>
      <c r="H178" s="459">
        <v>0</v>
      </c>
      <c r="I178" s="458">
        <v>68351.619790437151</v>
      </c>
      <c r="J178" s="458">
        <v>0</v>
      </c>
      <c r="K178" s="459">
        <v>0</v>
      </c>
      <c r="L178" s="459">
        <v>0</v>
      </c>
      <c r="M178" s="459">
        <v>0</v>
      </c>
      <c r="N178" s="459">
        <v>0</v>
      </c>
      <c r="O178" s="458">
        <v>0</v>
      </c>
      <c r="P178" s="458">
        <v>0</v>
      </c>
      <c r="Q178" s="459">
        <v>0</v>
      </c>
      <c r="R178" s="459">
        <v>0</v>
      </c>
      <c r="S178" s="460">
        <v>0</v>
      </c>
    </row>
    <row r="179" spans="1:19">
      <c r="A179" s="470"/>
      <c r="B179" s="461" t="s">
        <v>354</v>
      </c>
      <c r="C179" s="462">
        <v>-0.19326709070065284</v>
      </c>
      <c r="D179" s="463">
        <v>1.7410929065247593</v>
      </c>
      <c r="E179" s="463">
        <v>0</v>
      </c>
      <c r="F179" s="463">
        <v>-1.2318619660532197</v>
      </c>
      <c r="G179" s="463">
        <v>-0.11601523972480453</v>
      </c>
      <c r="H179" s="463">
        <v>0</v>
      </c>
      <c r="I179" s="462">
        <v>0.42932356009351769</v>
      </c>
      <c r="J179" s="462">
        <v>0</v>
      </c>
      <c r="K179" s="463">
        <v>0</v>
      </c>
      <c r="L179" s="463">
        <v>0</v>
      </c>
      <c r="M179" s="463">
        <v>0</v>
      </c>
      <c r="N179" s="463">
        <v>0</v>
      </c>
      <c r="O179" s="462">
        <v>0</v>
      </c>
      <c r="P179" s="462">
        <v>0</v>
      </c>
      <c r="Q179" s="463">
        <v>0</v>
      </c>
      <c r="R179" s="463">
        <v>0</v>
      </c>
      <c r="S179" s="464">
        <v>0</v>
      </c>
    </row>
    <row r="180" spans="1:19">
      <c r="A180" s="470"/>
      <c r="B180" s="77" t="s">
        <v>356</v>
      </c>
      <c r="C180" s="127">
        <v>58453.070130177519</v>
      </c>
      <c r="D180" s="129">
        <v>58347.267686413041</v>
      </c>
      <c r="E180" s="129">
        <v>0</v>
      </c>
      <c r="F180" s="129">
        <v>50804.174315044242</v>
      </c>
      <c r="G180" s="129">
        <v>48792.351394495417</v>
      </c>
      <c r="H180" s="129">
        <v>0</v>
      </c>
      <c r="I180" s="127">
        <v>56669.771252689148</v>
      </c>
      <c r="J180" s="127">
        <v>0</v>
      </c>
      <c r="K180" s="129">
        <v>0</v>
      </c>
      <c r="L180" s="129">
        <v>0</v>
      </c>
      <c r="M180" s="129">
        <v>0</v>
      </c>
      <c r="N180" s="129">
        <v>0</v>
      </c>
      <c r="O180" s="127">
        <v>0</v>
      </c>
      <c r="P180" s="127">
        <v>0</v>
      </c>
      <c r="Q180" s="129">
        <v>0</v>
      </c>
      <c r="R180" s="129">
        <v>0</v>
      </c>
      <c r="S180" s="128">
        <v>0</v>
      </c>
    </row>
    <row r="181" spans="1:19">
      <c r="A181" s="470"/>
      <c r="B181" s="80" t="s">
        <v>358</v>
      </c>
      <c r="C181" s="458">
        <v>58683.39017481482</v>
      </c>
      <c r="D181" s="459">
        <v>59484.666207526883</v>
      </c>
      <c r="E181" s="459">
        <v>0</v>
      </c>
      <c r="F181" s="459">
        <v>50289.838014062501</v>
      </c>
      <c r="G181" s="459">
        <v>48318.274491743119</v>
      </c>
      <c r="H181" s="459">
        <v>0</v>
      </c>
      <c r="I181" s="458">
        <v>57024.471461270667</v>
      </c>
      <c r="J181" s="458">
        <v>0</v>
      </c>
      <c r="K181" s="459">
        <v>0</v>
      </c>
      <c r="L181" s="459">
        <v>0</v>
      </c>
      <c r="M181" s="459">
        <v>0</v>
      </c>
      <c r="N181" s="459">
        <v>0</v>
      </c>
      <c r="O181" s="458">
        <v>0</v>
      </c>
      <c r="P181" s="458">
        <v>0</v>
      </c>
      <c r="Q181" s="459">
        <v>0</v>
      </c>
      <c r="R181" s="459">
        <v>0</v>
      </c>
      <c r="S181" s="460">
        <v>0</v>
      </c>
    </row>
    <row r="182" spans="1:19">
      <c r="A182" s="470"/>
      <c r="B182" s="461" t="s">
        <v>360</v>
      </c>
      <c r="C182" s="462">
        <v>0.39402557320662279</v>
      </c>
      <c r="D182" s="463">
        <v>1.9493603834660818</v>
      </c>
      <c r="E182" s="463">
        <v>0</v>
      </c>
      <c r="F182" s="463">
        <v>-1.0123898437798917</v>
      </c>
      <c r="G182" s="463">
        <v>-0.9716213488448151</v>
      </c>
      <c r="H182" s="463">
        <v>0</v>
      </c>
      <c r="I182" s="462">
        <v>0.62590725309251505</v>
      </c>
      <c r="J182" s="462">
        <v>0</v>
      </c>
      <c r="K182" s="463">
        <v>0</v>
      </c>
      <c r="L182" s="463">
        <v>0</v>
      </c>
      <c r="M182" s="463">
        <v>0</v>
      </c>
      <c r="N182" s="463">
        <v>0</v>
      </c>
      <c r="O182" s="462">
        <v>0</v>
      </c>
      <c r="P182" s="462">
        <v>0</v>
      </c>
      <c r="Q182" s="463">
        <v>0</v>
      </c>
      <c r="R182" s="463">
        <v>0</v>
      </c>
      <c r="S182" s="464">
        <v>0</v>
      </c>
    </row>
    <row r="183" spans="1:19">
      <c r="A183" s="470"/>
      <c r="B183" s="77" t="s">
        <v>362</v>
      </c>
      <c r="C183" s="127">
        <v>41913.022601632649</v>
      </c>
      <c r="D183" s="129">
        <v>35214.649351479289</v>
      </c>
      <c r="E183" s="129">
        <v>0</v>
      </c>
      <c r="F183" s="129">
        <v>41295.784116666669</v>
      </c>
      <c r="G183" s="129">
        <v>44388.079328205124</v>
      </c>
      <c r="H183" s="129">
        <v>0</v>
      </c>
      <c r="I183" s="127">
        <v>40215.360103061226</v>
      </c>
      <c r="J183" s="127">
        <v>0</v>
      </c>
      <c r="K183" s="129">
        <v>0</v>
      </c>
      <c r="L183" s="129">
        <v>0</v>
      </c>
      <c r="M183" s="129">
        <v>0</v>
      </c>
      <c r="N183" s="129">
        <v>0</v>
      </c>
      <c r="O183" s="127">
        <v>0</v>
      </c>
      <c r="P183" s="127">
        <v>0</v>
      </c>
      <c r="Q183" s="129">
        <v>0</v>
      </c>
      <c r="R183" s="129">
        <v>0</v>
      </c>
      <c r="S183" s="128">
        <v>0</v>
      </c>
    </row>
    <row r="184" spans="1:19">
      <c r="A184" s="470"/>
      <c r="B184" s="80" t="s">
        <v>364</v>
      </c>
      <c r="C184" s="458">
        <v>42150.055212546125</v>
      </c>
      <c r="D184" s="459">
        <v>37512.758595238098</v>
      </c>
      <c r="E184" s="459">
        <v>0</v>
      </c>
      <c r="F184" s="459">
        <v>42200.271745833335</v>
      </c>
      <c r="G184" s="459">
        <v>44966.408815189876</v>
      </c>
      <c r="H184" s="459">
        <v>0</v>
      </c>
      <c r="I184" s="458">
        <v>41251.434512377855</v>
      </c>
      <c r="J184" s="458">
        <v>0</v>
      </c>
      <c r="K184" s="459">
        <v>0</v>
      </c>
      <c r="L184" s="459">
        <v>0</v>
      </c>
      <c r="M184" s="459">
        <v>0</v>
      </c>
      <c r="N184" s="459">
        <v>0</v>
      </c>
      <c r="O184" s="458">
        <v>0</v>
      </c>
      <c r="P184" s="458">
        <v>0</v>
      </c>
      <c r="Q184" s="459">
        <v>0</v>
      </c>
      <c r="R184" s="459">
        <v>0</v>
      </c>
      <c r="S184" s="460">
        <v>0</v>
      </c>
    </row>
    <row r="185" spans="1:19">
      <c r="A185" s="470"/>
      <c r="B185" s="461" t="s">
        <v>366</v>
      </c>
      <c r="C185" s="462">
        <v>0.56553451934588816</v>
      </c>
      <c r="D185" s="463">
        <v>6.526003484576143</v>
      </c>
      <c r="E185" s="463">
        <v>0</v>
      </c>
      <c r="F185" s="463">
        <v>2.1902662669180835</v>
      </c>
      <c r="G185" s="463">
        <v>1.3028936951936767</v>
      </c>
      <c r="H185" s="463">
        <v>0</v>
      </c>
      <c r="I185" s="462">
        <v>2.576315135961599</v>
      </c>
      <c r="J185" s="462">
        <v>0</v>
      </c>
      <c r="K185" s="463">
        <v>0</v>
      </c>
      <c r="L185" s="463">
        <v>0</v>
      </c>
      <c r="M185" s="463">
        <v>0</v>
      </c>
      <c r="N185" s="463">
        <v>0</v>
      </c>
      <c r="O185" s="462">
        <v>0</v>
      </c>
      <c r="P185" s="462">
        <v>0</v>
      </c>
      <c r="Q185" s="463">
        <v>0</v>
      </c>
      <c r="R185" s="463">
        <v>0</v>
      </c>
      <c r="S185" s="464">
        <v>0</v>
      </c>
    </row>
    <row r="186" spans="1:19">
      <c r="A186" s="470"/>
      <c r="B186" s="77" t="s">
        <v>368</v>
      </c>
      <c r="C186" s="127">
        <v>33249.551632653063</v>
      </c>
      <c r="D186" s="129">
        <v>52200.192480000005</v>
      </c>
      <c r="E186" s="129">
        <v>0</v>
      </c>
      <c r="F186" s="129">
        <v>0</v>
      </c>
      <c r="G186" s="129">
        <v>0</v>
      </c>
      <c r="H186" s="129">
        <v>0</v>
      </c>
      <c r="I186" s="127">
        <v>35004.240599999997</v>
      </c>
      <c r="J186" s="127">
        <v>0</v>
      </c>
      <c r="K186" s="129">
        <v>0</v>
      </c>
      <c r="L186" s="129">
        <v>0</v>
      </c>
      <c r="M186" s="129">
        <v>0</v>
      </c>
      <c r="N186" s="129">
        <v>0</v>
      </c>
      <c r="O186" s="127">
        <v>0</v>
      </c>
      <c r="P186" s="127">
        <v>0</v>
      </c>
      <c r="Q186" s="129">
        <v>0</v>
      </c>
      <c r="R186" s="129">
        <v>0</v>
      </c>
      <c r="S186" s="128">
        <v>0</v>
      </c>
    </row>
    <row r="187" spans="1:19">
      <c r="A187" s="470"/>
      <c r="B187" s="80" t="s">
        <v>370</v>
      </c>
      <c r="C187" s="458">
        <v>30530.486326530612</v>
      </c>
      <c r="D187" s="459">
        <v>45375.646000000001</v>
      </c>
      <c r="E187" s="459">
        <v>0</v>
      </c>
      <c r="F187" s="459">
        <v>0</v>
      </c>
      <c r="G187" s="459">
        <v>0</v>
      </c>
      <c r="H187" s="459">
        <v>0</v>
      </c>
      <c r="I187" s="458">
        <v>33046.615084745761</v>
      </c>
      <c r="J187" s="458">
        <v>0</v>
      </c>
      <c r="K187" s="459">
        <v>0</v>
      </c>
      <c r="L187" s="459">
        <v>0</v>
      </c>
      <c r="M187" s="459">
        <v>0</v>
      </c>
      <c r="N187" s="459">
        <v>0</v>
      </c>
      <c r="O187" s="458">
        <v>0</v>
      </c>
      <c r="P187" s="458">
        <v>0</v>
      </c>
      <c r="Q187" s="459">
        <v>0</v>
      </c>
      <c r="R187" s="459">
        <v>0</v>
      </c>
      <c r="S187" s="460">
        <v>0</v>
      </c>
    </row>
    <row r="188" spans="1:19">
      <c r="A188" s="470"/>
      <c r="B188" s="461" t="s">
        <v>372</v>
      </c>
      <c r="C188" s="462">
        <v>-8.1777502931864063</v>
      </c>
      <c r="D188" s="463">
        <v>-13.073795623674689</v>
      </c>
      <c r="E188" s="463">
        <v>0</v>
      </c>
      <c r="F188" s="463">
        <v>0</v>
      </c>
      <c r="G188" s="463">
        <v>0</v>
      </c>
      <c r="H188" s="463">
        <v>0</v>
      </c>
      <c r="I188" s="462">
        <v>-5.5925381659450606</v>
      </c>
      <c r="J188" s="462">
        <v>0</v>
      </c>
      <c r="K188" s="463">
        <v>0</v>
      </c>
      <c r="L188" s="463">
        <v>0</v>
      </c>
      <c r="M188" s="463">
        <v>0</v>
      </c>
      <c r="N188" s="463">
        <v>0</v>
      </c>
      <c r="O188" s="462">
        <v>0</v>
      </c>
      <c r="P188" s="462">
        <v>0</v>
      </c>
      <c r="Q188" s="463">
        <v>0</v>
      </c>
      <c r="R188" s="463">
        <v>0</v>
      </c>
      <c r="S188" s="464">
        <v>0</v>
      </c>
    </row>
    <row r="189" spans="1:19">
      <c r="A189" s="470"/>
      <c r="B189" s="77" t="s">
        <v>374</v>
      </c>
      <c r="C189" s="127">
        <v>0</v>
      </c>
      <c r="D189" s="129">
        <v>0</v>
      </c>
      <c r="E189" s="129">
        <v>0</v>
      </c>
      <c r="F189" s="129">
        <v>0</v>
      </c>
      <c r="G189" s="129">
        <v>0</v>
      </c>
      <c r="H189" s="129">
        <v>0</v>
      </c>
      <c r="I189" s="127">
        <v>0</v>
      </c>
      <c r="J189" s="127">
        <v>0</v>
      </c>
      <c r="K189" s="129">
        <v>44564.243421267325</v>
      </c>
      <c r="L189" s="129">
        <v>46679.211396543295</v>
      </c>
      <c r="M189" s="129">
        <v>42951.565289420287</v>
      </c>
      <c r="N189" s="129">
        <v>0</v>
      </c>
      <c r="O189" s="127">
        <v>45632.149368490958</v>
      </c>
      <c r="P189" s="127">
        <v>0</v>
      </c>
      <c r="Q189" s="129">
        <v>0</v>
      </c>
      <c r="R189" s="129">
        <v>0</v>
      </c>
      <c r="S189" s="128">
        <v>0</v>
      </c>
    </row>
    <row r="190" spans="1:19">
      <c r="A190" s="470"/>
      <c r="B190" s="80" t="s">
        <v>376</v>
      </c>
      <c r="C190" s="458">
        <v>0</v>
      </c>
      <c r="D190" s="459">
        <v>0</v>
      </c>
      <c r="E190" s="459">
        <v>0</v>
      </c>
      <c r="F190" s="459">
        <v>0</v>
      </c>
      <c r="G190" s="459">
        <v>0</v>
      </c>
      <c r="H190" s="459">
        <v>0</v>
      </c>
      <c r="I190" s="458">
        <v>0</v>
      </c>
      <c r="J190" s="458">
        <v>0</v>
      </c>
      <c r="K190" s="459">
        <v>45357.72233112195</v>
      </c>
      <c r="L190" s="459">
        <v>49932.742239300307</v>
      </c>
      <c r="M190" s="459">
        <v>45837.326193421053</v>
      </c>
      <c r="N190" s="459">
        <v>0</v>
      </c>
      <c r="O190" s="458">
        <v>47867.382526692323</v>
      </c>
      <c r="P190" s="458">
        <v>0</v>
      </c>
      <c r="Q190" s="459">
        <v>0</v>
      </c>
      <c r="R190" s="459">
        <v>0</v>
      </c>
      <c r="S190" s="460">
        <v>0</v>
      </c>
    </row>
    <row r="191" spans="1:19">
      <c r="A191" s="470"/>
      <c r="B191" s="461" t="s">
        <v>378</v>
      </c>
      <c r="C191" s="462">
        <v>0</v>
      </c>
      <c r="D191" s="463">
        <v>0</v>
      </c>
      <c r="E191" s="463">
        <v>0</v>
      </c>
      <c r="F191" s="463">
        <v>0</v>
      </c>
      <c r="G191" s="463">
        <v>0</v>
      </c>
      <c r="H191" s="463">
        <v>0</v>
      </c>
      <c r="I191" s="462">
        <v>0</v>
      </c>
      <c r="J191" s="462">
        <v>0</v>
      </c>
      <c r="K191" s="463">
        <v>1.7805281744690267</v>
      </c>
      <c r="L191" s="463">
        <v>6.9699781667647116</v>
      </c>
      <c r="M191" s="463">
        <v>6.718639669021746</v>
      </c>
      <c r="N191" s="463">
        <v>0</v>
      </c>
      <c r="O191" s="462">
        <v>4.8983736009261829</v>
      </c>
      <c r="P191" s="462">
        <v>0</v>
      </c>
      <c r="Q191" s="463">
        <v>0</v>
      </c>
      <c r="R191" s="463">
        <v>0</v>
      </c>
      <c r="S191" s="464">
        <v>0</v>
      </c>
    </row>
    <row r="192" spans="1:19">
      <c r="A192" s="470"/>
      <c r="B192" s="77" t="s">
        <v>380</v>
      </c>
      <c r="C192" s="127">
        <v>65438.330857901557</v>
      </c>
      <c r="D192" s="129">
        <v>65045.581817357772</v>
      </c>
      <c r="E192" s="129">
        <v>0</v>
      </c>
      <c r="F192" s="129">
        <v>52970.992471590915</v>
      </c>
      <c r="G192" s="129">
        <v>50203.907749815495</v>
      </c>
      <c r="H192" s="129">
        <v>0</v>
      </c>
      <c r="I192" s="127">
        <v>62652.964899937571</v>
      </c>
      <c r="J192" s="127">
        <v>0</v>
      </c>
      <c r="K192" s="129">
        <v>44564.243421267325</v>
      </c>
      <c r="L192" s="129">
        <v>46679.211396543295</v>
      </c>
      <c r="M192" s="129">
        <v>42951.565289420287</v>
      </c>
      <c r="N192" s="129">
        <v>0</v>
      </c>
      <c r="O192" s="127">
        <v>45632.149368490958</v>
      </c>
      <c r="P192" s="127">
        <v>0</v>
      </c>
      <c r="Q192" s="129">
        <v>0</v>
      </c>
      <c r="R192" s="129">
        <v>0</v>
      </c>
      <c r="S192" s="128">
        <v>0</v>
      </c>
    </row>
    <row r="193" spans="1:19">
      <c r="A193" s="470"/>
      <c r="B193" s="80" t="s">
        <v>382</v>
      </c>
      <c r="C193" s="458">
        <v>64663.976787852211</v>
      </c>
      <c r="D193" s="459">
        <v>66748.547330019122</v>
      </c>
      <c r="E193" s="459">
        <v>0</v>
      </c>
      <c r="F193" s="459">
        <v>52702.439513351492</v>
      </c>
      <c r="G193" s="459">
        <v>49992.754531868137</v>
      </c>
      <c r="H193" s="459">
        <v>0</v>
      </c>
      <c r="I193" s="458">
        <v>62770.992606152904</v>
      </c>
      <c r="J193" s="458">
        <v>0</v>
      </c>
      <c r="K193" s="459">
        <v>45357.72233112195</v>
      </c>
      <c r="L193" s="459">
        <v>49932.742239300307</v>
      </c>
      <c r="M193" s="459">
        <v>45837.326193421053</v>
      </c>
      <c r="N193" s="459">
        <v>0</v>
      </c>
      <c r="O193" s="458">
        <v>47867.382526692323</v>
      </c>
      <c r="P193" s="458">
        <v>0</v>
      </c>
      <c r="Q193" s="459">
        <v>0</v>
      </c>
      <c r="R193" s="459">
        <v>0</v>
      </c>
      <c r="S193" s="460">
        <v>0</v>
      </c>
    </row>
    <row r="194" spans="1:19">
      <c r="A194" s="475"/>
      <c r="B194" s="476" t="s">
        <v>384</v>
      </c>
      <c r="C194" s="477">
        <v>-1.1833340794263931</v>
      </c>
      <c r="D194" s="478">
        <v>2.6181109693862479</v>
      </c>
      <c r="E194" s="478">
        <v>0</v>
      </c>
      <c r="F194" s="478">
        <v>-0.50698117159774114</v>
      </c>
      <c r="G194" s="478">
        <v>-0.42059119979188064</v>
      </c>
      <c r="H194" s="478">
        <v>0</v>
      </c>
      <c r="I194" s="477">
        <v>0.18838327348727008</v>
      </c>
      <c r="J194" s="477">
        <v>0</v>
      </c>
      <c r="K194" s="478">
        <v>1.7805281744690267</v>
      </c>
      <c r="L194" s="478">
        <v>6.9699781667647116</v>
      </c>
      <c r="M194" s="478">
        <v>6.718639669021746</v>
      </c>
      <c r="N194" s="478">
        <v>0</v>
      </c>
      <c r="O194" s="477">
        <v>4.8983736009261829</v>
      </c>
      <c r="P194" s="477">
        <v>0</v>
      </c>
      <c r="Q194" s="478">
        <v>0</v>
      </c>
      <c r="R194" s="478">
        <v>0</v>
      </c>
      <c r="S194" s="479">
        <v>0</v>
      </c>
    </row>
    <row r="195" spans="1:19">
      <c r="A195" s="473" t="s">
        <v>445</v>
      </c>
      <c r="B195" s="80" t="s">
        <v>344</v>
      </c>
      <c r="C195" s="458">
        <v>124010.68035037097</v>
      </c>
      <c r="D195" s="474">
        <v>104150.4427936508</v>
      </c>
      <c r="E195" s="474">
        <v>90665.702544278625</v>
      </c>
      <c r="F195" s="474">
        <v>79971.105137499995</v>
      </c>
      <c r="G195" s="474">
        <v>88081.598333333342</v>
      </c>
      <c r="H195" s="474">
        <v>82325.608695652176</v>
      </c>
      <c r="I195" s="458">
        <v>107595.71690407065</v>
      </c>
      <c r="J195" s="458">
        <v>0</v>
      </c>
      <c r="K195" s="474">
        <v>0</v>
      </c>
      <c r="L195" s="474">
        <v>0</v>
      </c>
      <c r="M195" s="474">
        <v>0</v>
      </c>
      <c r="N195" s="474">
        <v>0</v>
      </c>
      <c r="O195" s="458">
        <v>0</v>
      </c>
      <c r="P195" s="458">
        <v>0</v>
      </c>
      <c r="Q195" s="474">
        <v>0</v>
      </c>
      <c r="R195" s="474">
        <v>0</v>
      </c>
      <c r="S195" s="460">
        <v>0</v>
      </c>
    </row>
    <row r="196" spans="1:19">
      <c r="A196" s="470"/>
      <c r="B196" s="80" t="s">
        <v>346</v>
      </c>
      <c r="C196" s="458">
        <v>127779.8081600639</v>
      </c>
      <c r="D196" s="459">
        <v>109603.59395340315</v>
      </c>
      <c r="E196" s="459">
        <v>93361.486343513214</v>
      </c>
      <c r="F196" s="459">
        <v>88588.413880000007</v>
      </c>
      <c r="G196" s="459">
        <v>86993.204086363636</v>
      </c>
      <c r="H196" s="459">
        <v>86292.804347826081</v>
      </c>
      <c r="I196" s="458">
        <v>110937.47663361469</v>
      </c>
      <c r="J196" s="458">
        <v>0</v>
      </c>
      <c r="K196" s="459">
        <v>0</v>
      </c>
      <c r="L196" s="459">
        <v>0</v>
      </c>
      <c r="M196" s="459">
        <v>0</v>
      </c>
      <c r="N196" s="459">
        <v>0</v>
      </c>
      <c r="O196" s="458">
        <v>0</v>
      </c>
      <c r="P196" s="458">
        <v>0</v>
      </c>
      <c r="Q196" s="459">
        <v>0</v>
      </c>
      <c r="R196" s="459">
        <v>0</v>
      </c>
      <c r="S196" s="460">
        <v>0</v>
      </c>
    </row>
    <row r="197" spans="1:19">
      <c r="A197" s="470"/>
      <c r="B197" s="461" t="s">
        <v>348</v>
      </c>
      <c r="C197" s="462">
        <v>3.0393574158644276</v>
      </c>
      <c r="D197" s="463">
        <v>5.2358405912459389</v>
      </c>
      <c r="E197" s="463">
        <v>2.9733225724667407</v>
      </c>
      <c r="F197" s="463">
        <v>10.775527895586364</v>
      </c>
      <c r="G197" s="463">
        <v>-1.2356658684267063</v>
      </c>
      <c r="H197" s="463">
        <v>4.818908374962823</v>
      </c>
      <c r="I197" s="462">
        <v>3.1058482862505161</v>
      </c>
      <c r="J197" s="462">
        <v>0</v>
      </c>
      <c r="K197" s="463">
        <v>0</v>
      </c>
      <c r="L197" s="463">
        <v>0</v>
      </c>
      <c r="M197" s="463">
        <v>0</v>
      </c>
      <c r="N197" s="463">
        <v>0</v>
      </c>
      <c r="O197" s="462">
        <v>0</v>
      </c>
      <c r="P197" s="462">
        <v>0</v>
      </c>
      <c r="Q197" s="463">
        <v>0</v>
      </c>
      <c r="R197" s="463">
        <v>0</v>
      </c>
      <c r="S197" s="464">
        <v>0</v>
      </c>
    </row>
    <row r="198" spans="1:19">
      <c r="A198" s="470"/>
      <c r="B198" s="77" t="s">
        <v>350</v>
      </c>
      <c r="C198" s="127">
        <v>86017.068226168223</v>
      </c>
      <c r="D198" s="129">
        <v>76505.90155454546</v>
      </c>
      <c r="E198" s="129">
        <v>73383.011136929461</v>
      </c>
      <c r="F198" s="129">
        <v>66823.498677966112</v>
      </c>
      <c r="G198" s="129">
        <v>70976.810443113776</v>
      </c>
      <c r="H198" s="129">
        <v>67712.743875728149</v>
      </c>
      <c r="I198" s="127">
        <v>77196.103910797741</v>
      </c>
      <c r="J198" s="127">
        <v>0</v>
      </c>
      <c r="K198" s="129">
        <v>0</v>
      </c>
      <c r="L198" s="129">
        <v>0</v>
      </c>
      <c r="M198" s="129">
        <v>0</v>
      </c>
      <c r="N198" s="129">
        <v>0</v>
      </c>
      <c r="O198" s="127">
        <v>0</v>
      </c>
      <c r="P198" s="127">
        <v>0</v>
      </c>
      <c r="Q198" s="129">
        <v>0</v>
      </c>
      <c r="R198" s="129">
        <v>0</v>
      </c>
      <c r="S198" s="128">
        <v>0</v>
      </c>
    </row>
    <row r="199" spans="1:19">
      <c r="A199" s="470"/>
      <c r="B199" s="80" t="s">
        <v>352</v>
      </c>
      <c r="C199" s="458">
        <v>89105.062619181583</v>
      </c>
      <c r="D199" s="459">
        <v>81096.659189873419</v>
      </c>
      <c r="E199" s="459">
        <v>75273.668406903176</v>
      </c>
      <c r="F199" s="459">
        <v>74270.747780000005</v>
      </c>
      <c r="G199" s="459">
        <v>72953.373242937843</v>
      </c>
      <c r="H199" s="459">
        <v>69765.053191489365</v>
      </c>
      <c r="I199" s="458">
        <v>80059.816921444872</v>
      </c>
      <c r="J199" s="458">
        <v>0</v>
      </c>
      <c r="K199" s="459">
        <v>0</v>
      </c>
      <c r="L199" s="459">
        <v>0</v>
      </c>
      <c r="M199" s="459">
        <v>0</v>
      </c>
      <c r="N199" s="459">
        <v>0</v>
      </c>
      <c r="O199" s="458">
        <v>0</v>
      </c>
      <c r="P199" s="458">
        <v>0</v>
      </c>
      <c r="Q199" s="459">
        <v>0</v>
      </c>
      <c r="R199" s="459">
        <v>0</v>
      </c>
      <c r="S199" s="460">
        <v>0</v>
      </c>
    </row>
    <row r="200" spans="1:19">
      <c r="A200" s="470"/>
      <c r="B200" s="461" t="s">
        <v>354</v>
      </c>
      <c r="C200" s="462">
        <v>3.5899786596934096</v>
      </c>
      <c r="D200" s="463">
        <v>6.0005274652635041</v>
      </c>
      <c r="E200" s="463">
        <v>2.576423671748536</v>
      </c>
      <c r="F200" s="463">
        <v>11.144656070648832</v>
      </c>
      <c r="G200" s="463">
        <v>2.7848008208374413</v>
      </c>
      <c r="H200" s="463">
        <v>3.0309055552788986</v>
      </c>
      <c r="I200" s="462">
        <v>3.7096600289002031</v>
      </c>
      <c r="J200" s="462">
        <v>0</v>
      </c>
      <c r="K200" s="463">
        <v>0</v>
      </c>
      <c r="L200" s="463">
        <v>0</v>
      </c>
      <c r="M200" s="463">
        <v>0</v>
      </c>
      <c r="N200" s="463">
        <v>0</v>
      </c>
      <c r="O200" s="462">
        <v>0</v>
      </c>
      <c r="P200" s="462">
        <v>0</v>
      </c>
      <c r="Q200" s="463">
        <v>0</v>
      </c>
      <c r="R200" s="463">
        <v>0</v>
      </c>
      <c r="S200" s="464">
        <v>0</v>
      </c>
    </row>
    <row r="201" spans="1:19">
      <c r="A201" s="470"/>
      <c r="B201" s="77" t="s">
        <v>356</v>
      </c>
      <c r="C201" s="127">
        <v>73151.673982404696</v>
      </c>
      <c r="D201" s="129">
        <v>65393.954830162416</v>
      </c>
      <c r="E201" s="129">
        <v>62587.908126284587</v>
      </c>
      <c r="F201" s="129">
        <v>60009.422496240601</v>
      </c>
      <c r="G201" s="129">
        <v>62313.907419178082</v>
      </c>
      <c r="H201" s="129">
        <v>58900.639238636359</v>
      </c>
      <c r="I201" s="127">
        <v>65584.582604834301</v>
      </c>
      <c r="J201" s="127">
        <v>0</v>
      </c>
      <c r="K201" s="129">
        <v>0</v>
      </c>
      <c r="L201" s="129">
        <v>0</v>
      </c>
      <c r="M201" s="129">
        <v>0</v>
      </c>
      <c r="N201" s="129">
        <v>0</v>
      </c>
      <c r="O201" s="127">
        <v>0</v>
      </c>
      <c r="P201" s="127">
        <v>0</v>
      </c>
      <c r="Q201" s="129">
        <v>0</v>
      </c>
      <c r="R201" s="129">
        <v>0</v>
      </c>
      <c r="S201" s="128">
        <v>0</v>
      </c>
    </row>
    <row r="202" spans="1:19">
      <c r="A202" s="470"/>
      <c r="B202" s="80" t="s">
        <v>358</v>
      </c>
      <c r="C202" s="458">
        <v>76517.983710760411</v>
      </c>
      <c r="D202" s="459">
        <v>68103.334057482192</v>
      </c>
      <c r="E202" s="459">
        <v>64128.060758632775</v>
      </c>
      <c r="F202" s="459">
        <v>65381.286548965516</v>
      </c>
      <c r="G202" s="459">
        <v>63334.507606956526</v>
      </c>
      <c r="H202" s="459">
        <v>62110.628312087916</v>
      </c>
      <c r="I202" s="458">
        <v>67843.649939743118</v>
      </c>
      <c r="J202" s="458">
        <v>0</v>
      </c>
      <c r="K202" s="459">
        <v>0</v>
      </c>
      <c r="L202" s="459">
        <v>0</v>
      </c>
      <c r="M202" s="459">
        <v>0</v>
      </c>
      <c r="N202" s="459">
        <v>0</v>
      </c>
      <c r="O202" s="458">
        <v>0</v>
      </c>
      <c r="P202" s="458">
        <v>0</v>
      </c>
      <c r="Q202" s="459">
        <v>0</v>
      </c>
      <c r="R202" s="459">
        <v>0</v>
      </c>
      <c r="S202" s="460">
        <v>0</v>
      </c>
    </row>
    <row r="203" spans="1:19">
      <c r="A203" s="470"/>
      <c r="B203" s="461" t="s">
        <v>360</v>
      </c>
      <c r="C203" s="462">
        <v>4.6018218655740117</v>
      </c>
      <c r="D203" s="463">
        <v>4.1431646615599664</v>
      </c>
      <c r="E203" s="463">
        <v>2.4607830465280913</v>
      </c>
      <c r="F203" s="463">
        <v>8.9517009650633543</v>
      </c>
      <c r="G203" s="463">
        <v>1.6378369292636239</v>
      </c>
      <c r="H203" s="463">
        <v>5.4498374125385363</v>
      </c>
      <c r="I203" s="462">
        <v>3.4445097386993195</v>
      </c>
      <c r="J203" s="462">
        <v>0</v>
      </c>
      <c r="K203" s="463">
        <v>0</v>
      </c>
      <c r="L203" s="463">
        <v>0</v>
      </c>
      <c r="M203" s="463">
        <v>0</v>
      </c>
      <c r="N203" s="463">
        <v>0</v>
      </c>
      <c r="O203" s="462">
        <v>0</v>
      </c>
      <c r="P203" s="462">
        <v>0</v>
      </c>
      <c r="Q203" s="463">
        <v>0</v>
      </c>
      <c r="R203" s="463">
        <v>0</v>
      </c>
      <c r="S203" s="464">
        <v>0</v>
      </c>
    </row>
    <row r="204" spans="1:19">
      <c r="A204" s="470"/>
      <c r="B204" s="77" t="s">
        <v>362</v>
      </c>
      <c r="C204" s="127">
        <v>70866.014560000011</v>
      </c>
      <c r="D204" s="129">
        <v>55033</v>
      </c>
      <c r="E204" s="129">
        <v>48489.764548000006</v>
      </c>
      <c r="F204" s="129">
        <v>50462.218085714281</v>
      </c>
      <c r="G204" s="129">
        <v>55430.71323076923</v>
      </c>
      <c r="H204" s="129">
        <v>49789</v>
      </c>
      <c r="I204" s="127">
        <v>53819.261618348624</v>
      </c>
      <c r="J204" s="127">
        <v>0</v>
      </c>
      <c r="K204" s="129">
        <v>0</v>
      </c>
      <c r="L204" s="129">
        <v>0</v>
      </c>
      <c r="M204" s="129">
        <v>0</v>
      </c>
      <c r="N204" s="129">
        <v>0</v>
      </c>
      <c r="O204" s="127">
        <v>0</v>
      </c>
      <c r="P204" s="127">
        <v>0</v>
      </c>
      <c r="Q204" s="129">
        <v>0</v>
      </c>
      <c r="R204" s="129">
        <v>0</v>
      </c>
      <c r="S204" s="128">
        <v>0</v>
      </c>
    </row>
    <row r="205" spans="1:19">
      <c r="A205" s="470"/>
      <c r="B205" s="80" t="s">
        <v>364</v>
      </c>
      <c r="C205" s="458">
        <v>90971.078782608689</v>
      </c>
      <c r="D205" s="459">
        <v>55914.31642857143</v>
      </c>
      <c r="E205" s="459">
        <v>52102.509944680853</v>
      </c>
      <c r="F205" s="459">
        <v>55164.951650000003</v>
      </c>
      <c r="G205" s="459">
        <v>58533.43008888889</v>
      </c>
      <c r="H205" s="459">
        <v>53386</v>
      </c>
      <c r="I205" s="458">
        <v>59967.940205747131</v>
      </c>
      <c r="J205" s="458">
        <v>0</v>
      </c>
      <c r="K205" s="459">
        <v>0</v>
      </c>
      <c r="L205" s="459">
        <v>0</v>
      </c>
      <c r="M205" s="459">
        <v>0</v>
      </c>
      <c r="N205" s="459">
        <v>0</v>
      </c>
      <c r="O205" s="458">
        <v>0</v>
      </c>
      <c r="P205" s="458">
        <v>0</v>
      </c>
      <c r="Q205" s="459">
        <v>0</v>
      </c>
      <c r="R205" s="459">
        <v>0</v>
      </c>
      <c r="S205" s="460">
        <v>0</v>
      </c>
    </row>
    <row r="206" spans="1:19">
      <c r="A206" s="470"/>
      <c r="B206" s="461" t="s">
        <v>366</v>
      </c>
      <c r="C206" s="462">
        <v>28.370530426240293</v>
      </c>
      <c r="D206" s="463">
        <v>1.6014326469053664</v>
      </c>
      <c r="E206" s="463">
        <v>7.4505319428899073</v>
      </c>
      <c r="F206" s="463">
        <v>9.3193160005327886</v>
      </c>
      <c r="G206" s="463">
        <v>5.5974687628543123</v>
      </c>
      <c r="H206" s="463">
        <v>7.2244873365602844</v>
      </c>
      <c r="I206" s="462">
        <v>11.4246803142729</v>
      </c>
      <c r="J206" s="462">
        <v>0</v>
      </c>
      <c r="K206" s="463">
        <v>0</v>
      </c>
      <c r="L206" s="463">
        <v>0</v>
      </c>
      <c r="M206" s="463">
        <v>0</v>
      </c>
      <c r="N206" s="463">
        <v>0</v>
      </c>
      <c r="O206" s="462">
        <v>0</v>
      </c>
      <c r="P206" s="462">
        <v>0</v>
      </c>
      <c r="Q206" s="463">
        <v>0</v>
      </c>
      <c r="R206" s="463">
        <v>0</v>
      </c>
      <c r="S206" s="464">
        <v>0</v>
      </c>
    </row>
    <row r="207" spans="1:19">
      <c r="A207" s="470"/>
      <c r="B207" s="77" t="s">
        <v>368</v>
      </c>
      <c r="C207" s="127">
        <v>59228.949860553636</v>
      </c>
      <c r="D207" s="129">
        <v>46572.682018222222</v>
      </c>
      <c r="E207" s="129">
        <v>50778.014357559681</v>
      </c>
      <c r="F207" s="129">
        <v>48649.005250000002</v>
      </c>
      <c r="G207" s="129">
        <v>50061.068367479675</v>
      </c>
      <c r="H207" s="129">
        <v>52022.098311578942</v>
      </c>
      <c r="I207" s="127">
        <v>52196.891703216374</v>
      </c>
      <c r="J207" s="127">
        <v>0</v>
      </c>
      <c r="K207" s="129">
        <v>0</v>
      </c>
      <c r="L207" s="129">
        <v>0</v>
      </c>
      <c r="M207" s="129">
        <v>0</v>
      </c>
      <c r="N207" s="129">
        <v>0</v>
      </c>
      <c r="O207" s="127">
        <v>0</v>
      </c>
      <c r="P207" s="127">
        <v>0</v>
      </c>
      <c r="Q207" s="129">
        <v>0</v>
      </c>
      <c r="R207" s="129">
        <v>0</v>
      </c>
      <c r="S207" s="128">
        <v>0</v>
      </c>
    </row>
    <row r="208" spans="1:19">
      <c r="A208" s="470"/>
      <c r="B208" s="80" t="s">
        <v>370</v>
      </c>
      <c r="C208" s="458">
        <v>63913.944272638437</v>
      </c>
      <c r="D208" s="459">
        <v>47312.52746036867</v>
      </c>
      <c r="E208" s="459">
        <v>52163.710910271548</v>
      </c>
      <c r="F208" s="459">
        <v>52226.273513207547</v>
      </c>
      <c r="G208" s="459">
        <v>51539.64972653061</v>
      </c>
      <c r="H208" s="459">
        <v>54355.419889655168</v>
      </c>
      <c r="I208" s="458">
        <v>54621.313428035632</v>
      </c>
      <c r="J208" s="458">
        <v>0</v>
      </c>
      <c r="K208" s="459">
        <v>0</v>
      </c>
      <c r="L208" s="459">
        <v>0</v>
      </c>
      <c r="M208" s="459">
        <v>0</v>
      </c>
      <c r="N208" s="459">
        <v>0</v>
      </c>
      <c r="O208" s="458">
        <v>0</v>
      </c>
      <c r="P208" s="458">
        <v>0</v>
      </c>
      <c r="Q208" s="459">
        <v>0</v>
      </c>
      <c r="R208" s="459">
        <v>0</v>
      </c>
      <c r="S208" s="460">
        <v>0</v>
      </c>
    </row>
    <row r="209" spans="1:19">
      <c r="A209" s="470"/>
      <c r="B209" s="461" t="s">
        <v>372</v>
      </c>
      <c r="C209" s="462">
        <v>7.9099737934151664</v>
      </c>
      <c r="D209" s="463">
        <v>1.5885824266186206</v>
      </c>
      <c r="E209" s="463">
        <v>2.7289301683880591</v>
      </c>
      <c r="F209" s="463">
        <v>7.3532197520267797</v>
      </c>
      <c r="G209" s="463">
        <v>2.9535553420418825</v>
      </c>
      <c r="H209" s="463">
        <v>4.4852507949624192</v>
      </c>
      <c r="I209" s="462">
        <v>4.6447626395153048</v>
      </c>
      <c r="J209" s="462">
        <v>0</v>
      </c>
      <c r="K209" s="463">
        <v>0</v>
      </c>
      <c r="L209" s="463">
        <v>0</v>
      </c>
      <c r="M209" s="463">
        <v>0</v>
      </c>
      <c r="N209" s="463">
        <v>0</v>
      </c>
      <c r="O209" s="462">
        <v>0</v>
      </c>
      <c r="P209" s="462">
        <v>0</v>
      </c>
      <c r="Q209" s="463">
        <v>0</v>
      </c>
      <c r="R209" s="463">
        <v>0</v>
      </c>
      <c r="S209" s="464">
        <v>0</v>
      </c>
    </row>
    <row r="210" spans="1:19">
      <c r="A210" s="470"/>
      <c r="B210" s="77" t="s">
        <v>374</v>
      </c>
      <c r="C210" s="127">
        <v>0</v>
      </c>
      <c r="D210" s="129">
        <v>0</v>
      </c>
      <c r="E210" s="129">
        <v>0</v>
      </c>
      <c r="F210" s="129">
        <v>0</v>
      </c>
      <c r="G210" s="129">
        <v>0</v>
      </c>
      <c r="H210" s="129">
        <v>0</v>
      </c>
      <c r="I210" s="127">
        <v>0</v>
      </c>
      <c r="J210" s="127">
        <v>0</v>
      </c>
      <c r="K210" s="129">
        <v>46861.443037974685</v>
      </c>
      <c r="L210" s="129">
        <v>46177.289375928674</v>
      </c>
      <c r="M210" s="129">
        <v>43916.73684210526</v>
      </c>
      <c r="N210" s="129">
        <v>0</v>
      </c>
      <c r="O210" s="127">
        <v>46252.821328179904</v>
      </c>
      <c r="P210" s="127">
        <v>0</v>
      </c>
      <c r="Q210" s="129">
        <v>0</v>
      </c>
      <c r="R210" s="129">
        <v>0</v>
      </c>
      <c r="S210" s="128">
        <v>0</v>
      </c>
    </row>
    <row r="211" spans="1:19">
      <c r="A211" s="470"/>
      <c r="B211" s="80" t="s">
        <v>376</v>
      </c>
      <c r="C211" s="458">
        <v>0</v>
      </c>
      <c r="D211" s="459">
        <v>0</v>
      </c>
      <c r="E211" s="459">
        <v>0</v>
      </c>
      <c r="F211" s="459">
        <v>0</v>
      </c>
      <c r="G211" s="459">
        <v>0</v>
      </c>
      <c r="H211" s="459">
        <v>0</v>
      </c>
      <c r="I211" s="458">
        <v>0</v>
      </c>
      <c r="J211" s="458">
        <v>0</v>
      </c>
      <c r="K211" s="459">
        <v>48146.103434662458</v>
      </c>
      <c r="L211" s="459">
        <v>47594.178623718886</v>
      </c>
      <c r="M211" s="459">
        <v>45068.324324324327</v>
      </c>
      <c r="N211" s="459">
        <v>0</v>
      </c>
      <c r="O211" s="458">
        <v>47593.521649484537</v>
      </c>
      <c r="P211" s="458">
        <v>0</v>
      </c>
      <c r="Q211" s="459">
        <v>0</v>
      </c>
      <c r="R211" s="459">
        <v>0</v>
      </c>
      <c r="S211" s="460">
        <v>0</v>
      </c>
    </row>
    <row r="212" spans="1:19">
      <c r="A212" s="470"/>
      <c r="B212" s="461" t="s">
        <v>378</v>
      </c>
      <c r="C212" s="462">
        <v>0</v>
      </c>
      <c r="D212" s="463">
        <v>0</v>
      </c>
      <c r="E212" s="463">
        <v>0</v>
      </c>
      <c r="F212" s="463">
        <v>0</v>
      </c>
      <c r="G212" s="463">
        <v>0</v>
      </c>
      <c r="H212" s="463">
        <v>0</v>
      </c>
      <c r="I212" s="462">
        <v>0</v>
      </c>
      <c r="J212" s="462">
        <v>0</v>
      </c>
      <c r="K212" s="463">
        <v>2.7414017012808061</v>
      </c>
      <c r="L212" s="463">
        <v>3.0683681674238952</v>
      </c>
      <c r="M212" s="463">
        <v>2.6222063956149411</v>
      </c>
      <c r="N212" s="463">
        <v>0</v>
      </c>
      <c r="O212" s="462">
        <v>2.8986346839080306</v>
      </c>
      <c r="P212" s="462">
        <v>0</v>
      </c>
      <c r="Q212" s="463">
        <v>0</v>
      </c>
      <c r="R212" s="463">
        <v>0</v>
      </c>
      <c r="S212" s="464">
        <v>0</v>
      </c>
    </row>
    <row r="213" spans="1:19">
      <c r="A213" s="470"/>
      <c r="B213" s="77" t="s">
        <v>380</v>
      </c>
      <c r="C213" s="127">
        <v>92690.300976274331</v>
      </c>
      <c r="D213" s="129">
        <v>71840.09173505276</v>
      </c>
      <c r="E213" s="129">
        <v>69108.962516294647</v>
      </c>
      <c r="F213" s="129">
        <v>62359.319264882943</v>
      </c>
      <c r="G213" s="129">
        <v>64861.28030960264</v>
      </c>
      <c r="H213" s="129">
        <v>65112.251863350786</v>
      </c>
      <c r="I213" s="127">
        <v>76740.598491398283</v>
      </c>
      <c r="J213" s="127">
        <v>0</v>
      </c>
      <c r="K213" s="129">
        <v>46861.443037974685</v>
      </c>
      <c r="L213" s="129">
        <v>46177.289375928674</v>
      </c>
      <c r="M213" s="129">
        <v>43916.73684210526</v>
      </c>
      <c r="N213" s="129">
        <v>0</v>
      </c>
      <c r="O213" s="127">
        <v>46252.821328179904</v>
      </c>
      <c r="P213" s="127">
        <v>0</v>
      </c>
      <c r="Q213" s="129">
        <v>0</v>
      </c>
      <c r="R213" s="129">
        <v>0</v>
      </c>
      <c r="S213" s="128">
        <v>0</v>
      </c>
    </row>
    <row r="214" spans="1:19">
      <c r="A214" s="470"/>
      <c r="B214" s="80" t="s">
        <v>382</v>
      </c>
      <c r="C214" s="458">
        <v>96297.212003087872</v>
      </c>
      <c r="D214" s="459">
        <v>75067.759831465766</v>
      </c>
      <c r="E214" s="459">
        <v>70810.303668675624</v>
      </c>
      <c r="F214" s="459">
        <v>67612.353205882348</v>
      </c>
      <c r="G214" s="459">
        <v>67238.751875357717</v>
      </c>
      <c r="H214" s="459">
        <v>68183.113333695655</v>
      </c>
      <c r="I214" s="458">
        <v>79395.164297063646</v>
      </c>
      <c r="J214" s="458">
        <v>0</v>
      </c>
      <c r="K214" s="459">
        <v>48146.103434662458</v>
      </c>
      <c r="L214" s="459">
        <v>47594.178623718886</v>
      </c>
      <c r="M214" s="459">
        <v>45068.324324324327</v>
      </c>
      <c r="N214" s="459">
        <v>0</v>
      </c>
      <c r="O214" s="458">
        <v>47593.521649484537</v>
      </c>
      <c r="P214" s="458">
        <v>0</v>
      </c>
      <c r="Q214" s="459">
        <v>0</v>
      </c>
      <c r="R214" s="459">
        <v>0</v>
      </c>
      <c r="S214" s="460">
        <v>0</v>
      </c>
    </row>
    <row r="215" spans="1:19">
      <c r="A215" s="475"/>
      <c r="B215" s="476" t="s">
        <v>384</v>
      </c>
      <c r="C215" s="477">
        <v>3.8913575517861267</v>
      </c>
      <c r="D215" s="478">
        <v>4.4928507445629258</v>
      </c>
      <c r="E215" s="478">
        <v>2.4618241837733157</v>
      </c>
      <c r="F215" s="478">
        <v>8.4238154022916039</v>
      </c>
      <c r="G215" s="478">
        <v>3.6654712247533214</v>
      </c>
      <c r="H215" s="478">
        <v>4.7162575129325859</v>
      </c>
      <c r="I215" s="477">
        <v>3.4591413904113715</v>
      </c>
      <c r="J215" s="477">
        <v>0</v>
      </c>
      <c r="K215" s="478">
        <v>2.7414017012808061</v>
      </c>
      <c r="L215" s="478">
        <v>3.0683681674238952</v>
      </c>
      <c r="M215" s="478">
        <v>2.6222063956149411</v>
      </c>
      <c r="N215" s="478">
        <v>0</v>
      </c>
      <c r="O215" s="477">
        <v>2.8986346839080306</v>
      </c>
      <c r="P215" s="477">
        <v>0</v>
      </c>
      <c r="Q215" s="478">
        <v>0</v>
      </c>
      <c r="R215" s="478">
        <v>0</v>
      </c>
      <c r="S215" s="479">
        <v>0</v>
      </c>
    </row>
    <row r="216" spans="1:19">
      <c r="A216" s="473" t="s">
        <v>410</v>
      </c>
      <c r="B216" s="80" t="s">
        <v>344</v>
      </c>
      <c r="C216" s="458">
        <v>105959.75874215385</v>
      </c>
      <c r="D216" s="474">
        <v>0</v>
      </c>
      <c r="E216" s="474">
        <v>75553.963158371043</v>
      </c>
      <c r="F216" s="474">
        <v>0</v>
      </c>
      <c r="G216" s="474">
        <v>68002.744179797985</v>
      </c>
      <c r="H216" s="474">
        <v>58695.126974999999</v>
      </c>
      <c r="I216" s="458">
        <v>91656.727021980027</v>
      </c>
      <c r="J216" s="458">
        <v>0</v>
      </c>
      <c r="K216" s="474">
        <v>0</v>
      </c>
      <c r="L216" s="474">
        <v>0</v>
      </c>
      <c r="M216" s="474">
        <v>0</v>
      </c>
      <c r="N216" s="474">
        <v>0</v>
      </c>
      <c r="O216" s="458">
        <v>0</v>
      </c>
      <c r="P216" s="458">
        <v>0</v>
      </c>
      <c r="Q216" s="474">
        <v>0</v>
      </c>
      <c r="R216" s="474">
        <v>0</v>
      </c>
      <c r="S216" s="460">
        <v>0</v>
      </c>
    </row>
    <row r="217" spans="1:19">
      <c r="A217" s="470"/>
      <c r="B217" s="80" t="s">
        <v>346</v>
      </c>
      <c r="C217" s="458">
        <v>107614.86318235294</v>
      </c>
      <c r="D217" s="459">
        <v>0</v>
      </c>
      <c r="E217" s="459">
        <v>75862.457026548669</v>
      </c>
      <c r="F217" s="459">
        <v>0</v>
      </c>
      <c r="G217" s="459">
        <v>71824.613230917879</v>
      </c>
      <c r="H217" s="459">
        <v>63132.598250000003</v>
      </c>
      <c r="I217" s="458">
        <v>93634.026493275116</v>
      </c>
      <c r="J217" s="458">
        <v>0</v>
      </c>
      <c r="K217" s="459">
        <v>0</v>
      </c>
      <c r="L217" s="459">
        <v>0</v>
      </c>
      <c r="M217" s="459">
        <v>0</v>
      </c>
      <c r="N217" s="459">
        <v>0</v>
      </c>
      <c r="O217" s="458">
        <v>0</v>
      </c>
      <c r="P217" s="458">
        <v>0</v>
      </c>
      <c r="Q217" s="459">
        <v>0</v>
      </c>
      <c r="R217" s="459">
        <v>0</v>
      </c>
      <c r="S217" s="460">
        <v>0</v>
      </c>
    </row>
    <row r="218" spans="1:19">
      <c r="A218" s="470"/>
      <c r="B218" s="461" t="s">
        <v>348</v>
      </c>
      <c r="C218" s="462">
        <v>1.5620122769689231</v>
      </c>
      <c r="D218" s="463">
        <v>0</v>
      </c>
      <c r="E218" s="463">
        <v>0.40830931334598825</v>
      </c>
      <c r="F218" s="463">
        <v>0</v>
      </c>
      <c r="G218" s="463">
        <v>5.6201688582080518</v>
      </c>
      <c r="H218" s="463">
        <v>7.5602038937407094</v>
      </c>
      <c r="I218" s="462">
        <v>2.1572878887775655</v>
      </c>
      <c r="J218" s="462">
        <v>0</v>
      </c>
      <c r="K218" s="463">
        <v>0</v>
      </c>
      <c r="L218" s="463">
        <v>0</v>
      </c>
      <c r="M218" s="463">
        <v>0</v>
      </c>
      <c r="N218" s="463">
        <v>0</v>
      </c>
      <c r="O218" s="462">
        <v>0</v>
      </c>
      <c r="P218" s="462">
        <v>0</v>
      </c>
      <c r="Q218" s="463">
        <v>0</v>
      </c>
      <c r="R218" s="463">
        <v>0</v>
      </c>
      <c r="S218" s="464">
        <v>0</v>
      </c>
    </row>
    <row r="219" spans="1:19">
      <c r="A219" s="470"/>
      <c r="B219" s="77" t="s">
        <v>350</v>
      </c>
      <c r="C219" s="127">
        <v>70340.282412341199</v>
      </c>
      <c r="D219" s="129">
        <v>0</v>
      </c>
      <c r="E219" s="129">
        <v>61462.230575000001</v>
      </c>
      <c r="F219" s="129">
        <v>0</v>
      </c>
      <c r="G219" s="129">
        <v>58543.429578698226</v>
      </c>
      <c r="H219" s="129">
        <v>47569.697181818185</v>
      </c>
      <c r="I219" s="127">
        <v>66166.705815632187</v>
      </c>
      <c r="J219" s="127">
        <v>0</v>
      </c>
      <c r="K219" s="129">
        <v>0</v>
      </c>
      <c r="L219" s="129">
        <v>0</v>
      </c>
      <c r="M219" s="129">
        <v>0</v>
      </c>
      <c r="N219" s="129">
        <v>0</v>
      </c>
      <c r="O219" s="127">
        <v>0</v>
      </c>
      <c r="P219" s="127">
        <v>0</v>
      </c>
      <c r="Q219" s="129">
        <v>0</v>
      </c>
      <c r="R219" s="129">
        <v>0</v>
      </c>
      <c r="S219" s="128">
        <v>0</v>
      </c>
    </row>
    <row r="220" spans="1:19">
      <c r="A220" s="470"/>
      <c r="B220" s="80" t="s">
        <v>352</v>
      </c>
      <c r="C220" s="458">
        <v>72333.660100000008</v>
      </c>
      <c r="D220" s="459">
        <v>0</v>
      </c>
      <c r="E220" s="459">
        <v>61425.928929032263</v>
      </c>
      <c r="F220" s="459">
        <v>0</v>
      </c>
      <c r="G220" s="459">
        <v>58988.472676646714</v>
      </c>
      <c r="H220" s="459">
        <v>54685.088431818178</v>
      </c>
      <c r="I220" s="458">
        <v>67464.674492960898</v>
      </c>
      <c r="J220" s="458">
        <v>0</v>
      </c>
      <c r="K220" s="459">
        <v>0</v>
      </c>
      <c r="L220" s="459">
        <v>0</v>
      </c>
      <c r="M220" s="459">
        <v>0</v>
      </c>
      <c r="N220" s="459">
        <v>0</v>
      </c>
      <c r="O220" s="458">
        <v>0</v>
      </c>
      <c r="P220" s="458">
        <v>0</v>
      </c>
      <c r="Q220" s="459">
        <v>0</v>
      </c>
      <c r="R220" s="459">
        <v>0</v>
      </c>
      <c r="S220" s="460">
        <v>0</v>
      </c>
    </row>
    <row r="221" spans="1:19">
      <c r="A221" s="470"/>
      <c r="B221" s="461" t="s">
        <v>354</v>
      </c>
      <c r="C221" s="462">
        <v>2.8339062899597782</v>
      </c>
      <c r="D221" s="463">
        <v>0</v>
      </c>
      <c r="E221" s="463">
        <v>-5.9063339595917835E-2</v>
      </c>
      <c r="F221" s="463">
        <v>0</v>
      </c>
      <c r="G221" s="463">
        <v>0.7601930757237747</v>
      </c>
      <c r="H221" s="463">
        <v>14.957823302519566</v>
      </c>
      <c r="I221" s="462">
        <v>1.9616643466358865</v>
      </c>
      <c r="J221" s="462">
        <v>0</v>
      </c>
      <c r="K221" s="463">
        <v>0</v>
      </c>
      <c r="L221" s="463">
        <v>0</v>
      </c>
      <c r="M221" s="463">
        <v>0</v>
      </c>
      <c r="N221" s="463">
        <v>0</v>
      </c>
      <c r="O221" s="462">
        <v>0</v>
      </c>
      <c r="P221" s="462">
        <v>0</v>
      </c>
      <c r="Q221" s="463">
        <v>0</v>
      </c>
      <c r="R221" s="463">
        <v>0</v>
      </c>
      <c r="S221" s="464">
        <v>0</v>
      </c>
    </row>
    <row r="222" spans="1:19">
      <c r="A222" s="470"/>
      <c r="B222" s="77" t="s">
        <v>356</v>
      </c>
      <c r="C222" s="127">
        <v>60182.760252336448</v>
      </c>
      <c r="D222" s="129">
        <v>0</v>
      </c>
      <c r="E222" s="129">
        <v>54723.431011764704</v>
      </c>
      <c r="F222" s="129">
        <v>0</v>
      </c>
      <c r="G222" s="129">
        <v>48671.574113993171</v>
      </c>
      <c r="H222" s="129">
        <v>44341.34304477612</v>
      </c>
      <c r="I222" s="127">
        <v>55134.66593339399</v>
      </c>
      <c r="J222" s="127">
        <v>0</v>
      </c>
      <c r="K222" s="129">
        <v>0</v>
      </c>
      <c r="L222" s="129">
        <v>0</v>
      </c>
      <c r="M222" s="129">
        <v>0</v>
      </c>
      <c r="N222" s="129">
        <v>0</v>
      </c>
      <c r="O222" s="127">
        <v>0</v>
      </c>
      <c r="P222" s="127">
        <v>0</v>
      </c>
      <c r="Q222" s="129">
        <v>0</v>
      </c>
      <c r="R222" s="129">
        <v>0</v>
      </c>
      <c r="S222" s="128">
        <v>0</v>
      </c>
    </row>
    <row r="223" spans="1:19">
      <c r="A223" s="470"/>
      <c r="B223" s="80" t="s">
        <v>358</v>
      </c>
      <c r="C223" s="458">
        <v>62228.189534637968</v>
      </c>
      <c r="D223" s="459">
        <v>0</v>
      </c>
      <c r="E223" s="459">
        <v>54569.382718552042</v>
      </c>
      <c r="F223" s="459">
        <v>0</v>
      </c>
      <c r="G223" s="459">
        <v>48972.292287857141</v>
      </c>
      <c r="H223" s="459">
        <v>46376.827958823531</v>
      </c>
      <c r="I223" s="458">
        <v>56226.207939629632</v>
      </c>
      <c r="J223" s="458">
        <v>0</v>
      </c>
      <c r="K223" s="459">
        <v>0</v>
      </c>
      <c r="L223" s="459">
        <v>0</v>
      </c>
      <c r="M223" s="459">
        <v>0</v>
      </c>
      <c r="N223" s="459">
        <v>0</v>
      </c>
      <c r="O223" s="458">
        <v>0</v>
      </c>
      <c r="P223" s="458">
        <v>0</v>
      </c>
      <c r="Q223" s="459">
        <v>0</v>
      </c>
      <c r="R223" s="459">
        <v>0</v>
      </c>
      <c r="S223" s="460">
        <v>0</v>
      </c>
    </row>
    <row r="224" spans="1:19">
      <c r="A224" s="470"/>
      <c r="B224" s="461" t="s">
        <v>360</v>
      </c>
      <c r="C224" s="462">
        <v>3.3986963604284193</v>
      </c>
      <c r="D224" s="463">
        <v>0</v>
      </c>
      <c r="E224" s="463">
        <v>-0.28150335306926111</v>
      </c>
      <c r="F224" s="463">
        <v>0</v>
      </c>
      <c r="G224" s="463">
        <v>0.6178517529752815</v>
      </c>
      <c r="H224" s="463">
        <v>4.5904899903279146</v>
      </c>
      <c r="I224" s="462">
        <v>1.9797744082720863</v>
      </c>
      <c r="J224" s="462">
        <v>0</v>
      </c>
      <c r="K224" s="463">
        <v>0</v>
      </c>
      <c r="L224" s="463">
        <v>0</v>
      </c>
      <c r="M224" s="463">
        <v>0</v>
      </c>
      <c r="N224" s="463">
        <v>0</v>
      </c>
      <c r="O224" s="462">
        <v>0</v>
      </c>
      <c r="P224" s="462">
        <v>0</v>
      </c>
      <c r="Q224" s="463">
        <v>0</v>
      </c>
      <c r="R224" s="463">
        <v>0</v>
      </c>
      <c r="S224" s="464">
        <v>0</v>
      </c>
    </row>
    <row r="225" spans="1:19">
      <c r="A225" s="470"/>
      <c r="B225" s="77" t="s">
        <v>362</v>
      </c>
      <c r="C225" s="127">
        <v>38425.749793939394</v>
      </c>
      <c r="D225" s="129">
        <v>0</v>
      </c>
      <c r="E225" s="129">
        <v>39160.184024489798</v>
      </c>
      <c r="F225" s="129">
        <v>0</v>
      </c>
      <c r="G225" s="129">
        <v>39739.811309163342</v>
      </c>
      <c r="H225" s="129">
        <v>33684.861206349204</v>
      </c>
      <c r="I225" s="127">
        <v>38651.980502583981</v>
      </c>
      <c r="J225" s="127">
        <v>0</v>
      </c>
      <c r="K225" s="129">
        <v>0</v>
      </c>
      <c r="L225" s="129">
        <v>0</v>
      </c>
      <c r="M225" s="129">
        <v>0</v>
      </c>
      <c r="N225" s="129">
        <v>0</v>
      </c>
      <c r="O225" s="127">
        <v>0</v>
      </c>
      <c r="P225" s="127">
        <v>0</v>
      </c>
      <c r="Q225" s="129">
        <v>0</v>
      </c>
      <c r="R225" s="129">
        <v>0</v>
      </c>
      <c r="S225" s="128">
        <v>0</v>
      </c>
    </row>
    <row r="226" spans="1:19">
      <c r="A226" s="470"/>
      <c r="B226" s="80" t="s">
        <v>364</v>
      </c>
      <c r="C226" s="458">
        <v>41251.483501067618</v>
      </c>
      <c r="D226" s="459">
        <v>0</v>
      </c>
      <c r="E226" s="459">
        <v>39265.525312169309</v>
      </c>
      <c r="F226" s="459">
        <v>0</v>
      </c>
      <c r="G226" s="459">
        <v>40933.408392340425</v>
      </c>
      <c r="H226" s="459">
        <v>37234.516474509801</v>
      </c>
      <c r="I226" s="458">
        <v>40385.135529365078</v>
      </c>
      <c r="J226" s="458">
        <v>0</v>
      </c>
      <c r="K226" s="459">
        <v>0</v>
      </c>
      <c r="L226" s="459">
        <v>0</v>
      </c>
      <c r="M226" s="459">
        <v>0</v>
      </c>
      <c r="N226" s="459">
        <v>0</v>
      </c>
      <c r="O226" s="458">
        <v>0</v>
      </c>
      <c r="P226" s="458">
        <v>0</v>
      </c>
      <c r="Q226" s="459">
        <v>0</v>
      </c>
      <c r="R226" s="459">
        <v>0</v>
      </c>
      <c r="S226" s="460">
        <v>0</v>
      </c>
    </row>
    <row r="227" spans="1:19">
      <c r="A227" s="470"/>
      <c r="B227" s="461" t="s">
        <v>366</v>
      </c>
      <c r="C227" s="462">
        <v>7.3537503426254691</v>
      </c>
      <c r="D227" s="463">
        <v>0</v>
      </c>
      <c r="E227" s="463">
        <v>0.26900100268587623</v>
      </c>
      <c r="F227" s="463">
        <v>0</v>
      </c>
      <c r="G227" s="463">
        <v>3.0035298202381226</v>
      </c>
      <c r="H227" s="463">
        <v>10.537835517314017</v>
      </c>
      <c r="I227" s="462">
        <v>4.4840005718859102</v>
      </c>
      <c r="J227" s="462">
        <v>0</v>
      </c>
      <c r="K227" s="463">
        <v>0</v>
      </c>
      <c r="L227" s="463">
        <v>0</v>
      </c>
      <c r="M227" s="463">
        <v>0</v>
      </c>
      <c r="N227" s="463">
        <v>0</v>
      </c>
      <c r="O227" s="462">
        <v>0</v>
      </c>
      <c r="P227" s="462">
        <v>0</v>
      </c>
      <c r="Q227" s="463">
        <v>0</v>
      </c>
      <c r="R227" s="463">
        <v>0</v>
      </c>
      <c r="S227" s="464">
        <v>0</v>
      </c>
    </row>
    <row r="228" spans="1:19">
      <c r="A228" s="470"/>
      <c r="B228" s="77" t="s">
        <v>368</v>
      </c>
      <c r="C228" s="127">
        <v>0</v>
      </c>
      <c r="D228" s="129">
        <v>0</v>
      </c>
      <c r="E228" s="129">
        <v>0</v>
      </c>
      <c r="F228" s="129">
        <v>0</v>
      </c>
      <c r="G228" s="129">
        <v>0</v>
      </c>
      <c r="H228" s="129">
        <v>0</v>
      </c>
      <c r="I228" s="127">
        <v>0</v>
      </c>
      <c r="J228" s="127">
        <v>0</v>
      </c>
      <c r="K228" s="129">
        <v>0</v>
      </c>
      <c r="L228" s="129">
        <v>0</v>
      </c>
      <c r="M228" s="129">
        <v>0</v>
      </c>
      <c r="N228" s="129">
        <v>0</v>
      </c>
      <c r="O228" s="127">
        <v>0</v>
      </c>
      <c r="P228" s="127">
        <v>0</v>
      </c>
      <c r="Q228" s="129">
        <v>0</v>
      </c>
      <c r="R228" s="129">
        <v>0</v>
      </c>
      <c r="S228" s="128">
        <v>0</v>
      </c>
    </row>
    <row r="229" spans="1:19">
      <c r="A229" s="470"/>
      <c r="B229" s="80" t="s">
        <v>370</v>
      </c>
      <c r="C229" s="458">
        <v>0</v>
      </c>
      <c r="D229" s="459">
        <v>0</v>
      </c>
      <c r="E229" s="459">
        <v>0</v>
      </c>
      <c r="F229" s="459">
        <v>0</v>
      </c>
      <c r="G229" s="459">
        <v>0</v>
      </c>
      <c r="H229" s="459">
        <v>0</v>
      </c>
      <c r="I229" s="458">
        <v>0</v>
      </c>
      <c r="J229" s="458">
        <v>0</v>
      </c>
      <c r="K229" s="459">
        <v>0</v>
      </c>
      <c r="L229" s="459">
        <v>0</v>
      </c>
      <c r="M229" s="459">
        <v>0</v>
      </c>
      <c r="N229" s="459">
        <v>0</v>
      </c>
      <c r="O229" s="458">
        <v>0</v>
      </c>
      <c r="P229" s="458">
        <v>0</v>
      </c>
      <c r="Q229" s="459">
        <v>0</v>
      </c>
      <c r="R229" s="459">
        <v>0</v>
      </c>
      <c r="S229" s="460">
        <v>0</v>
      </c>
    </row>
    <row r="230" spans="1:19">
      <c r="A230" s="470"/>
      <c r="B230" s="461" t="s">
        <v>372</v>
      </c>
      <c r="C230" s="462">
        <v>0</v>
      </c>
      <c r="D230" s="463">
        <v>0</v>
      </c>
      <c r="E230" s="463">
        <v>0</v>
      </c>
      <c r="F230" s="463">
        <v>0</v>
      </c>
      <c r="G230" s="463">
        <v>0</v>
      </c>
      <c r="H230" s="463">
        <v>0</v>
      </c>
      <c r="I230" s="462">
        <v>0</v>
      </c>
      <c r="J230" s="462">
        <v>0</v>
      </c>
      <c r="K230" s="463">
        <v>0</v>
      </c>
      <c r="L230" s="463">
        <v>0</v>
      </c>
      <c r="M230" s="463">
        <v>0</v>
      </c>
      <c r="N230" s="463">
        <v>0</v>
      </c>
      <c r="O230" s="462">
        <v>0</v>
      </c>
      <c r="P230" s="462">
        <v>0</v>
      </c>
      <c r="Q230" s="463">
        <v>0</v>
      </c>
      <c r="R230" s="463">
        <v>0</v>
      </c>
      <c r="S230" s="464">
        <v>0</v>
      </c>
    </row>
    <row r="231" spans="1:19">
      <c r="A231" s="470"/>
      <c r="B231" s="77" t="s">
        <v>374</v>
      </c>
      <c r="C231" s="127">
        <v>0</v>
      </c>
      <c r="D231" s="129">
        <v>0</v>
      </c>
      <c r="E231" s="129">
        <v>0</v>
      </c>
      <c r="F231" s="129">
        <v>0</v>
      </c>
      <c r="G231" s="129">
        <v>0</v>
      </c>
      <c r="H231" s="129">
        <v>0</v>
      </c>
      <c r="I231" s="127">
        <v>0</v>
      </c>
      <c r="J231" s="127">
        <v>39145.762932203397</v>
      </c>
      <c r="K231" s="129">
        <v>52947.136020979022</v>
      </c>
      <c r="L231" s="129">
        <v>45783.389122068962</v>
      </c>
      <c r="M231" s="129">
        <v>40496.2451120603</v>
      </c>
      <c r="N231" s="129">
        <v>0</v>
      </c>
      <c r="O231" s="127">
        <v>45933.773100404855</v>
      </c>
      <c r="P231" s="127">
        <v>51326.940675715334</v>
      </c>
      <c r="Q231" s="129">
        <v>46181.266560897166</v>
      </c>
      <c r="R231" s="129">
        <v>0</v>
      </c>
      <c r="S231" s="128">
        <v>47397.758974581542</v>
      </c>
    </row>
    <row r="232" spans="1:19">
      <c r="A232" s="470"/>
      <c r="B232" s="80" t="s">
        <v>376</v>
      </c>
      <c r="C232" s="458">
        <v>0</v>
      </c>
      <c r="D232" s="459">
        <v>0</v>
      </c>
      <c r="E232" s="459">
        <v>0</v>
      </c>
      <c r="F232" s="459">
        <v>0</v>
      </c>
      <c r="G232" s="459">
        <v>0</v>
      </c>
      <c r="H232" s="459">
        <v>0</v>
      </c>
      <c r="I232" s="458">
        <v>0</v>
      </c>
      <c r="J232" s="458">
        <v>39204.437361290322</v>
      </c>
      <c r="K232" s="459">
        <v>53802.34243423424</v>
      </c>
      <c r="L232" s="459">
        <v>42519.112682962965</v>
      </c>
      <c r="M232" s="459">
        <v>41481.003092307692</v>
      </c>
      <c r="N232" s="459">
        <v>0</v>
      </c>
      <c r="O232" s="458">
        <v>45887.667158904114</v>
      </c>
      <c r="P232" s="458">
        <v>53436.669536000001</v>
      </c>
      <c r="Q232" s="459">
        <v>47283.97662826856</v>
      </c>
      <c r="R232" s="459">
        <v>0</v>
      </c>
      <c r="S232" s="460">
        <v>48572.948606145255</v>
      </c>
    </row>
    <row r="233" spans="1:19">
      <c r="A233" s="470"/>
      <c r="B233" s="461" t="s">
        <v>378</v>
      </c>
      <c r="C233" s="462">
        <v>0</v>
      </c>
      <c r="D233" s="463">
        <v>0</v>
      </c>
      <c r="E233" s="463">
        <v>0</v>
      </c>
      <c r="F233" s="463">
        <v>0</v>
      </c>
      <c r="G233" s="463">
        <v>0</v>
      </c>
      <c r="H233" s="463">
        <v>0</v>
      </c>
      <c r="I233" s="462">
        <v>0</v>
      </c>
      <c r="J233" s="462">
        <v>0.14988704956023716</v>
      </c>
      <c r="K233" s="463">
        <v>1.6152080688866037</v>
      </c>
      <c r="L233" s="463">
        <v>-7.1298269999249975</v>
      </c>
      <c r="M233" s="463">
        <v>2.4317266391547951</v>
      </c>
      <c r="N233" s="463">
        <v>0</v>
      </c>
      <c r="O233" s="462">
        <v>-0.10037481876343821</v>
      </c>
      <c r="P233" s="462">
        <v>4.1103732903427419</v>
      </c>
      <c r="Q233" s="463">
        <v>2.3877865409284511</v>
      </c>
      <c r="R233" s="463">
        <v>0</v>
      </c>
      <c r="S233" s="464">
        <v>2.4794202447291731</v>
      </c>
    </row>
    <row r="234" spans="1:19">
      <c r="A234" s="470"/>
      <c r="B234" s="77" t="s">
        <v>380</v>
      </c>
      <c r="C234" s="127">
        <v>74986.756736099996</v>
      </c>
      <c r="D234" s="129">
        <v>0</v>
      </c>
      <c r="E234" s="129">
        <v>57948.688073164223</v>
      </c>
      <c r="F234" s="129">
        <v>0</v>
      </c>
      <c r="G234" s="129">
        <v>52243.520088254671</v>
      </c>
      <c r="H234" s="129">
        <v>43574.965441304354</v>
      </c>
      <c r="I234" s="127">
        <v>64773.340603694072</v>
      </c>
      <c r="J234" s="127">
        <v>39145.762932203397</v>
      </c>
      <c r="K234" s="129">
        <v>52947.136020979022</v>
      </c>
      <c r="L234" s="129">
        <v>45783.389122068962</v>
      </c>
      <c r="M234" s="129">
        <v>40496.2451120603</v>
      </c>
      <c r="N234" s="129">
        <v>0</v>
      </c>
      <c r="O234" s="127">
        <v>45933.773100404855</v>
      </c>
      <c r="P234" s="127">
        <v>51326.940675715334</v>
      </c>
      <c r="Q234" s="129">
        <v>46181.266560897166</v>
      </c>
      <c r="R234" s="129">
        <v>0</v>
      </c>
      <c r="S234" s="128">
        <v>47397.758974581542</v>
      </c>
    </row>
    <row r="235" spans="1:19">
      <c r="A235" s="470"/>
      <c r="B235" s="80" t="s">
        <v>382</v>
      </c>
      <c r="C235" s="458">
        <v>77300.801346456676</v>
      </c>
      <c r="D235" s="459">
        <v>0</v>
      </c>
      <c r="E235" s="459">
        <v>58214.142552631587</v>
      </c>
      <c r="F235" s="459">
        <v>0</v>
      </c>
      <c r="G235" s="459">
        <v>54049.901786951625</v>
      </c>
      <c r="H235" s="459">
        <v>48610.111161025641</v>
      </c>
      <c r="I235" s="458">
        <v>66782.071992002078</v>
      </c>
      <c r="J235" s="458">
        <v>39204.437361290322</v>
      </c>
      <c r="K235" s="459">
        <v>53802.34243423424</v>
      </c>
      <c r="L235" s="459">
        <v>42519.112682962965</v>
      </c>
      <c r="M235" s="459">
        <v>41481.003092307692</v>
      </c>
      <c r="N235" s="459">
        <v>0</v>
      </c>
      <c r="O235" s="458">
        <v>45887.667158904114</v>
      </c>
      <c r="P235" s="458">
        <v>53436.669536000001</v>
      </c>
      <c r="Q235" s="459">
        <v>47283.97662826856</v>
      </c>
      <c r="R235" s="459">
        <v>0</v>
      </c>
      <c r="S235" s="460">
        <v>48572.948606145255</v>
      </c>
    </row>
    <row r="236" spans="1:19">
      <c r="A236" s="475"/>
      <c r="B236" s="476" t="s">
        <v>384</v>
      </c>
      <c r="C236" s="477">
        <v>3.0859377189767905</v>
      </c>
      <c r="D236" s="478">
        <v>0</v>
      </c>
      <c r="E236" s="478">
        <v>0.45808539984927565</v>
      </c>
      <c r="F236" s="478">
        <v>0</v>
      </c>
      <c r="G236" s="478">
        <v>3.4576186590134892</v>
      </c>
      <c r="H236" s="478">
        <v>11.55513416643703</v>
      </c>
      <c r="I236" s="477">
        <v>3.1011699714518759</v>
      </c>
      <c r="J236" s="477">
        <v>0.14988704956023716</v>
      </c>
      <c r="K236" s="478">
        <v>1.6152080688866037</v>
      </c>
      <c r="L236" s="478">
        <v>-7.1298269999249975</v>
      </c>
      <c r="M236" s="478">
        <v>2.4317266391547951</v>
      </c>
      <c r="N236" s="478">
        <v>0</v>
      </c>
      <c r="O236" s="477">
        <v>-0.10037481876343821</v>
      </c>
      <c r="P236" s="477">
        <v>4.1103732903427419</v>
      </c>
      <c r="Q236" s="478">
        <v>2.3877865409284511</v>
      </c>
      <c r="R236" s="478">
        <v>0</v>
      </c>
      <c r="S236" s="479">
        <v>2.4794202447291731</v>
      </c>
    </row>
    <row r="237" spans="1:19">
      <c r="A237" s="473" t="s">
        <v>449</v>
      </c>
      <c r="B237" s="80" t="s">
        <v>344</v>
      </c>
      <c r="C237" s="458">
        <v>105508.19704304161</v>
      </c>
      <c r="D237" s="474">
        <v>0</v>
      </c>
      <c r="E237" s="474">
        <v>76568.966419459452</v>
      </c>
      <c r="F237" s="474">
        <v>77456.544459016397</v>
      </c>
      <c r="G237" s="474">
        <v>73559.874715254235</v>
      </c>
      <c r="H237" s="474">
        <v>72555.195594117642</v>
      </c>
      <c r="I237" s="458">
        <v>92915.128336363647</v>
      </c>
      <c r="J237" s="458">
        <v>69684.591866666669</v>
      </c>
      <c r="K237" s="474">
        <v>0</v>
      </c>
      <c r="L237" s="474">
        <v>0</v>
      </c>
      <c r="M237" s="474">
        <v>64906.309685714288</v>
      </c>
      <c r="N237" s="474">
        <v>0</v>
      </c>
      <c r="O237" s="458">
        <v>66776.072278260865</v>
      </c>
      <c r="P237" s="458">
        <v>0</v>
      </c>
      <c r="Q237" s="474">
        <v>0</v>
      </c>
      <c r="R237" s="474">
        <v>0</v>
      </c>
      <c r="S237" s="460">
        <v>0</v>
      </c>
    </row>
    <row r="238" spans="1:19">
      <c r="A238" s="470"/>
      <c r="B238" s="80" t="s">
        <v>346</v>
      </c>
      <c r="C238" s="458">
        <v>107898.95320784312</v>
      </c>
      <c r="D238" s="459">
        <v>0</v>
      </c>
      <c r="E238" s="459">
        <v>79004.737273796796</v>
      </c>
      <c r="F238" s="459">
        <v>79906.973105084748</v>
      </c>
      <c r="G238" s="459">
        <v>74694.232409248565</v>
      </c>
      <c r="H238" s="459">
        <v>74213.070300000007</v>
      </c>
      <c r="I238" s="458">
        <v>94777.386302086961</v>
      </c>
      <c r="J238" s="458">
        <v>69571.16366666666</v>
      </c>
      <c r="K238" s="459">
        <v>0</v>
      </c>
      <c r="L238" s="459">
        <v>0</v>
      </c>
      <c r="M238" s="459">
        <v>65002.801333333337</v>
      </c>
      <c r="N238" s="459">
        <v>0</v>
      </c>
      <c r="O238" s="458">
        <v>66715.937208333329</v>
      </c>
      <c r="P238" s="458">
        <v>0</v>
      </c>
      <c r="Q238" s="459">
        <v>0</v>
      </c>
      <c r="R238" s="459">
        <v>0</v>
      </c>
      <c r="S238" s="460">
        <v>0</v>
      </c>
    </row>
    <row r="239" spans="1:19">
      <c r="A239" s="470"/>
      <c r="B239" s="461" t="s">
        <v>348</v>
      </c>
      <c r="C239" s="462">
        <v>2.2659435302701763</v>
      </c>
      <c r="D239" s="463">
        <v>0</v>
      </c>
      <c r="E239" s="463">
        <v>3.1811463158503743</v>
      </c>
      <c r="F239" s="463">
        <v>3.1636173072049649</v>
      </c>
      <c r="G239" s="463">
        <v>1.5420875829184859</v>
      </c>
      <c r="H239" s="463">
        <v>2.2849841314696637</v>
      </c>
      <c r="I239" s="462">
        <v>2.0042570021339503</v>
      </c>
      <c r="J239" s="462">
        <v>-0.16277371648676797</v>
      </c>
      <c r="K239" s="463">
        <v>0</v>
      </c>
      <c r="L239" s="463">
        <v>0</v>
      </c>
      <c r="M239" s="463">
        <v>0.14866296988116376</v>
      </c>
      <c r="N239" s="463">
        <v>0</v>
      </c>
      <c r="O239" s="462">
        <v>-9.0054817355755892E-2</v>
      </c>
      <c r="P239" s="462">
        <v>0</v>
      </c>
      <c r="Q239" s="463">
        <v>0</v>
      </c>
      <c r="R239" s="463">
        <v>0</v>
      </c>
      <c r="S239" s="464">
        <v>0</v>
      </c>
    </row>
    <row r="240" spans="1:19">
      <c r="A240" s="470"/>
      <c r="B240" s="77" t="s">
        <v>350</v>
      </c>
      <c r="C240" s="127">
        <v>75415.419099999999</v>
      </c>
      <c r="D240" s="129">
        <v>0</v>
      </c>
      <c r="E240" s="129">
        <v>64165.967995967738</v>
      </c>
      <c r="F240" s="129">
        <v>68850.507191489363</v>
      </c>
      <c r="G240" s="129">
        <v>61890.362214893619</v>
      </c>
      <c r="H240" s="129">
        <v>59439.354602816893</v>
      </c>
      <c r="I240" s="127">
        <v>69278.257861594204</v>
      </c>
      <c r="J240" s="127">
        <v>59823.839626666668</v>
      </c>
      <c r="K240" s="129">
        <v>0</v>
      </c>
      <c r="L240" s="129">
        <v>0</v>
      </c>
      <c r="M240" s="129">
        <v>56385.169507692306</v>
      </c>
      <c r="N240" s="129">
        <v>0</v>
      </c>
      <c r="O240" s="127">
        <v>57643.219551219518</v>
      </c>
      <c r="P240" s="127">
        <v>0</v>
      </c>
      <c r="Q240" s="129">
        <v>0</v>
      </c>
      <c r="R240" s="129">
        <v>0</v>
      </c>
      <c r="S240" s="128">
        <v>0</v>
      </c>
    </row>
    <row r="241" spans="1:19">
      <c r="A241" s="470"/>
      <c r="B241" s="80" t="s">
        <v>352</v>
      </c>
      <c r="C241" s="458">
        <v>76901.928806417112</v>
      </c>
      <c r="D241" s="459">
        <v>0</v>
      </c>
      <c r="E241" s="459">
        <v>65556.374960000001</v>
      </c>
      <c r="F241" s="459">
        <v>67693.509415384615</v>
      </c>
      <c r="G241" s="459">
        <v>63251.123544791662</v>
      </c>
      <c r="H241" s="459">
        <v>60118.080517333336</v>
      </c>
      <c r="I241" s="458">
        <v>70534.699158761068</v>
      </c>
      <c r="J241" s="458">
        <v>61916.567999999999</v>
      </c>
      <c r="K241" s="459">
        <v>0</v>
      </c>
      <c r="L241" s="459">
        <v>0</v>
      </c>
      <c r="M241" s="459">
        <v>56631.810920000004</v>
      </c>
      <c r="N241" s="459">
        <v>0</v>
      </c>
      <c r="O241" s="458">
        <v>58613.594825</v>
      </c>
      <c r="P241" s="458">
        <v>0</v>
      </c>
      <c r="Q241" s="459">
        <v>0</v>
      </c>
      <c r="R241" s="459">
        <v>0</v>
      </c>
      <c r="S241" s="460">
        <v>0</v>
      </c>
    </row>
    <row r="242" spans="1:19">
      <c r="A242" s="470"/>
      <c r="B242" s="461" t="s">
        <v>354</v>
      </c>
      <c r="C242" s="462">
        <v>1.971095200632669</v>
      </c>
      <c r="D242" s="463">
        <v>0</v>
      </c>
      <c r="E242" s="463">
        <v>2.1668915898216294</v>
      </c>
      <c r="F242" s="463">
        <v>-1.6804491692223371</v>
      </c>
      <c r="G242" s="463">
        <v>2.1986643496660334</v>
      </c>
      <c r="H242" s="463">
        <v>1.1418796840103596</v>
      </c>
      <c r="I242" s="462">
        <v>1.8136156074781984</v>
      </c>
      <c r="J242" s="462">
        <v>3.4981512159585475</v>
      </c>
      <c r="K242" s="463">
        <v>0</v>
      </c>
      <c r="L242" s="463">
        <v>0</v>
      </c>
      <c r="M242" s="463">
        <v>0.43742248974537462</v>
      </c>
      <c r="N242" s="463">
        <v>0</v>
      </c>
      <c r="O242" s="462">
        <v>1.6834161612334038</v>
      </c>
      <c r="P242" s="462">
        <v>0</v>
      </c>
      <c r="Q242" s="463">
        <v>0</v>
      </c>
      <c r="R242" s="463">
        <v>0</v>
      </c>
      <c r="S242" s="464">
        <v>0</v>
      </c>
    </row>
    <row r="243" spans="1:19">
      <c r="A243" s="470"/>
      <c r="B243" s="77" t="s">
        <v>356</v>
      </c>
      <c r="C243" s="127">
        <v>67267.068445790253</v>
      </c>
      <c r="D243" s="129">
        <v>0</v>
      </c>
      <c r="E243" s="129">
        <v>54643.810583657585</v>
      </c>
      <c r="F243" s="129">
        <v>55655</v>
      </c>
      <c r="G243" s="129">
        <v>53901.728201840495</v>
      </c>
      <c r="H243" s="129">
        <v>51037.922753571431</v>
      </c>
      <c r="I243" s="127">
        <v>60206.233682739345</v>
      </c>
      <c r="J243" s="127">
        <v>49159</v>
      </c>
      <c r="K243" s="129">
        <v>0</v>
      </c>
      <c r="L243" s="129">
        <v>0</v>
      </c>
      <c r="M243" s="129">
        <v>46031.242424242424</v>
      </c>
      <c r="N243" s="129">
        <v>0</v>
      </c>
      <c r="O243" s="127">
        <v>46758.627906976741</v>
      </c>
      <c r="P243" s="127">
        <v>0</v>
      </c>
      <c r="Q243" s="129">
        <v>0</v>
      </c>
      <c r="R243" s="129">
        <v>0</v>
      </c>
      <c r="S243" s="128">
        <v>0</v>
      </c>
    </row>
    <row r="244" spans="1:19">
      <c r="A244" s="470"/>
      <c r="B244" s="80" t="s">
        <v>358</v>
      </c>
      <c r="C244" s="458">
        <v>68340.535602332355</v>
      </c>
      <c r="D244" s="459">
        <v>0</v>
      </c>
      <c r="E244" s="459">
        <v>57289.812523076922</v>
      </c>
      <c r="F244" s="459">
        <v>54036</v>
      </c>
      <c r="G244" s="459">
        <v>54531.547295043725</v>
      </c>
      <c r="H244" s="459">
        <v>51041.128166666669</v>
      </c>
      <c r="I244" s="458">
        <v>61271.912642185343</v>
      </c>
      <c r="J244" s="458">
        <v>51807</v>
      </c>
      <c r="K244" s="459">
        <v>0</v>
      </c>
      <c r="L244" s="459">
        <v>0</v>
      </c>
      <c r="M244" s="459">
        <v>46394.207979999999</v>
      </c>
      <c r="N244" s="459">
        <v>0</v>
      </c>
      <c r="O244" s="458">
        <v>47797.524429629622</v>
      </c>
      <c r="P244" s="458">
        <v>0</v>
      </c>
      <c r="Q244" s="459">
        <v>0</v>
      </c>
      <c r="R244" s="459">
        <v>0</v>
      </c>
      <c r="S244" s="460">
        <v>0</v>
      </c>
    </row>
    <row r="245" spans="1:19">
      <c r="A245" s="470"/>
      <c r="B245" s="461" t="s">
        <v>360</v>
      </c>
      <c r="C245" s="462">
        <v>1.5958286593196731</v>
      </c>
      <c r="D245" s="463">
        <v>0</v>
      </c>
      <c r="E245" s="463">
        <v>4.8422719996227368</v>
      </c>
      <c r="F245" s="463">
        <v>-2.9089929027041594</v>
      </c>
      <c r="G245" s="463">
        <v>1.1684580702956475</v>
      </c>
      <c r="H245" s="463">
        <v>6.2804536750352474E-3</v>
      </c>
      <c r="I245" s="462">
        <v>1.7700475420230788</v>
      </c>
      <c r="J245" s="462">
        <v>5.386602656685449</v>
      </c>
      <c r="K245" s="463">
        <v>0</v>
      </c>
      <c r="L245" s="463">
        <v>0</v>
      </c>
      <c r="M245" s="463">
        <v>0.78852000650414511</v>
      </c>
      <c r="N245" s="463">
        <v>0</v>
      </c>
      <c r="O245" s="462">
        <v>2.221828503436198</v>
      </c>
      <c r="P245" s="462">
        <v>0</v>
      </c>
      <c r="Q245" s="463">
        <v>0</v>
      </c>
      <c r="R245" s="463">
        <v>0</v>
      </c>
      <c r="S245" s="464">
        <v>0</v>
      </c>
    </row>
    <row r="246" spans="1:19">
      <c r="A246" s="470"/>
      <c r="B246" s="77" t="s">
        <v>362</v>
      </c>
      <c r="C246" s="127">
        <v>43758.135064827584</v>
      </c>
      <c r="D246" s="129">
        <v>0</v>
      </c>
      <c r="E246" s="129">
        <v>45833.336204494379</v>
      </c>
      <c r="F246" s="129">
        <v>0</v>
      </c>
      <c r="G246" s="129">
        <v>42095.264546236562</v>
      </c>
      <c r="H246" s="129">
        <v>44602.081929523811</v>
      </c>
      <c r="I246" s="127">
        <v>44032.811833333333</v>
      </c>
      <c r="J246" s="127">
        <v>43296.5</v>
      </c>
      <c r="K246" s="129">
        <v>0</v>
      </c>
      <c r="L246" s="129">
        <v>0</v>
      </c>
      <c r="M246" s="129">
        <v>39444.851509090906</v>
      </c>
      <c r="N246" s="129">
        <v>0</v>
      </c>
      <c r="O246" s="127">
        <v>40592.151059574469</v>
      </c>
      <c r="P246" s="127">
        <v>0</v>
      </c>
      <c r="Q246" s="129">
        <v>0</v>
      </c>
      <c r="R246" s="129">
        <v>0</v>
      </c>
      <c r="S246" s="128">
        <v>0</v>
      </c>
    </row>
    <row r="247" spans="1:19">
      <c r="A247" s="470"/>
      <c r="B247" s="80" t="s">
        <v>364</v>
      </c>
      <c r="C247" s="458">
        <v>43538.560688461534</v>
      </c>
      <c r="D247" s="459">
        <v>0</v>
      </c>
      <c r="E247" s="459">
        <v>45922.971739449538</v>
      </c>
      <c r="F247" s="459">
        <v>0</v>
      </c>
      <c r="G247" s="459">
        <v>42877.150037777777</v>
      </c>
      <c r="H247" s="459">
        <v>44614.760714035088</v>
      </c>
      <c r="I247" s="458">
        <v>44227.389364179107</v>
      </c>
      <c r="J247" s="458">
        <v>45591.913386666667</v>
      </c>
      <c r="K247" s="459">
        <v>0</v>
      </c>
      <c r="L247" s="459">
        <v>0</v>
      </c>
      <c r="M247" s="459">
        <v>40719.890056521741</v>
      </c>
      <c r="N247" s="459">
        <v>0</v>
      </c>
      <c r="O247" s="458">
        <v>41917.928580327869</v>
      </c>
      <c r="P247" s="458">
        <v>0</v>
      </c>
      <c r="Q247" s="459">
        <v>0</v>
      </c>
      <c r="R247" s="459">
        <v>0</v>
      </c>
      <c r="S247" s="460">
        <v>0</v>
      </c>
    </row>
    <row r="248" spans="1:19">
      <c r="A248" s="470"/>
      <c r="B248" s="461" t="s">
        <v>366</v>
      </c>
      <c r="C248" s="462">
        <v>-0.50179098364395847</v>
      </c>
      <c r="D248" s="463">
        <v>0</v>
      </c>
      <c r="E248" s="463">
        <v>0.19556842765107277</v>
      </c>
      <c r="F248" s="463">
        <v>0</v>
      </c>
      <c r="G248" s="463">
        <v>1.8574191182060611</v>
      </c>
      <c r="H248" s="463">
        <v>2.8426441015268075E-2</v>
      </c>
      <c r="I248" s="462">
        <v>0.44189213167276492</v>
      </c>
      <c r="J248" s="462">
        <v>5.3016141874439437</v>
      </c>
      <c r="K248" s="463">
        <v>0</v>
      </c>
      <c r="L248" s="463">
        <v>0</v>
      </c>
      <c r="M248" s="463">
        <v>3.2324587332696013</v>
      </c>
      <c r="N248" s="463">
        <v>0</v>
      </c>
      <c r="O248" s="462">
        <v>3.2660932868712522</v>
      </c>
      <c r="P248" s="462">
        <v>0</v>
      </c>
      <c r="Q248" s="463">
        <v>0</v>
      </c>
      <c r="R248" s="463">
        <v>0</v>
      </c>
      <c r="S248" s="464">
        <v>0</v>
      </c>
    </row>
    <row r="249" spans="1:19">
      <c r="A249" s="470"/>
      <c r="B249" s="77" t="s">
        <v>368</v>
      </c>
      <c r="C249" s="127">
        <v>45339.509244444445</v>
      </c>
      <c r="D249" s="129">
        <v>0</v>
      </c>
      <c r="E249" s="129">
        <v>36398.588400000001</v>
      </c>
      <c r="F249" s="129">
        <v>0</v>
      </c>
      <c r="G249" s="129">
        <v>42148.244315151511</v>
      </c>
      <c r="H249" s="129">
        <v>0</v>
      </c>
      <c r="I249" s="127">
        <v>44881.540529368031</v>
      </c>
      <c r="J249" s="127">
        <v>0</v>
      </c>
      <c r="K249" s="129">
        <v>46680.413507109006</v>
      </c>
      <c r="L249" s="129">
        <v>46005.143171806165</v>
      </c>
      <c r="M249" s="129">
        <v>42113.984760294123</v>
      </c>
      <c r="N249" s="129">
        <v>0</v>
      </c>
      <c r="O249" s="127">
        <v>46026.716592902536</v>
      </c>
      <c r="P249" s="127">
        <v>0</v>
      </c>
      <c r="Q249" s="129">
        <v>0</v>
      </c>
      <c r="R249" s="129">
        <v>0</v>
      </c>
      <c r="S249" s="128">
        <v>0</v>
      </c>
    </row>
    <row r="250" spans="1:19">
      <c r="A250" s="470"/>
      <c r="B250" s="80" t="s">
        <v>370</v>
      </c>
      <c r="C250" s="458">
        <v>45822.439033187773</v>
      </c>
      <c r="D250" s="459">
        <v>0</v>
      </c>
      <c r="E250" s="459">
        <v>44082.768266666673</v>
      </c>
      <c r="F250" s="459">
        <v>0</v>
      </c>
      <c r="G250" s="459">
        <v>38707.568120689655</v>
      </c>
      <c r="H250" s="459">
        <v>0</v>
      </c>
      <c r="I250" s="458">
        <v>44378.40989488054</v>
      </c>
      <c r="J250" s="458">
        <v>0</v>
      </c>
      <c r="K250" s="459">
        <v>47161.037602820208</v>
      </c>
      <c r="L250" s="459">
        <v>46374.906552094522</v>
      </c>
      <c r="M250" s="459">
        <v>37150.739192700727</v>
      </c>
      <c r="N250" s="459">
        <v>0</v>
      </c>
      <c r="O250" s="458">
        <v>46064.99857707139</v>
      </c>
      <c r="P250" s="458">
        <v>0</v>
      </c>
      <c r="Q250" s="459">
        <v>0</v>
      </c>
      <c r="R250" s="459">
        <v>0</v>
      </c>
      <c r="S250" s="460">
        <v>0</v>
      </c>
    </row>
    <row r="251" spans="1:19">
      <c r="A251" s="470"/>
      <c r="B251" s="461" t="s">
        <v>372</v>
      </c>
      <c r="C251" s="462">
        <v>1.0651411909636013</v>
      </c>
      <c r="D251" s="463">
        <v>0</v>
      </c>
      <c r="E251" s="463">
        <v>21.111202946174341</v>
      </c>
      <c r="F251" s="463">
        <v>0</v>
      </c>
      <c r="G251" s="463">
        <v>-8.1632728726140478</v>
      </c>
      <c r="H251" s="463">
        <v>0</v>
      </c>
      <c r="I251" s="462">
        <v>-1.1210190839110545</v>
      </c>
      <c r="J251" s="462">
        <v>0</v>
      </c>
      <c r="K251" s="463">
        <v>1.0296054803327899</v>
      </c>
      <c r="L251" s="463">
        <v>0.80374357038185151</v>
      </c>
      <c r="M251" s="463">
        <v>-11.785267045717411</v>
      </c>
      <c r="N251" s="463">
        <v>0</v>
      </c>
      <c r="O251" s="462">
        <v>8.3173397979810382E-2</v>
      </c>
      <c r="P251" s="462">
        <v>0</v>
      </c>
      <c r="Q251" s="463">
        <v>0</v>
      </c>
      <c r="R251" s="463">
        <v>0</v>
      </c>
      <c r="S251" s="464">
        <v>0</v>
      </c>
    </row>
    <row r="252" spans="1:19">
      <c r="A252" s="470"/>
      <c r="B252" s="77" t="s">
        <v>374</v>
      </c>
      <c r="C252" s="127">
        <v>0</v>
      </c>
      <c r="D252" s="129">
        <v>0</v>
      </c>
      <c r="E252" s="129">
        <v>0</v>
      </c>
      <c r="F252" s="129">
        <v>0</v>
      </c>
      <c r="G252" s="129">
        <v>0</v>
      </c>
      <c r="H252" s="129">
        <v>0</v>
      </c>
      <c r="I252" s="127">
        <v>0</v>
      </c>
      <c r="J252" s="127">
        <v>0</v>
      </c>
      <c r="K252" s="129">
        <v>0</v>
      </c>
      <c r="L252" s="129">
        <v>0</v>
      </c>
      <c r="M252" s="129">
        <v>0</v>
      </c>
      <c r="N252" s="129">
        <v>0</v>
      </c>
      <c r="O252" s="127">
        <v>0</v>
      </c>
      <c r="P252" s="127">
        <v>0</v>
      </c>
      <c r="Q252" s="129">
        <v>0</v>
      </c>
      <c r="R252" s="129">
        <v>0</v>
      </c>
      <c r="S252" s="128">
        <v>0</v>
      </c>
    </row>
    <row r="253" spans="1:19">
      <c r="A253" s="470"/>
      <c r="B253" s="80" t="s">
        <v>376</v>
      </c>
      <c r="C253" s="458">
        <v>0</v>
      </c>
      <c r="D253" s="459">
        <v>0</v>
      </c>
      <c r="E253" s="459">
        <v>0</v>
      </c>
      <c r="F253" s="459">
        <v>0</v>
      </c>
      <c r="G253" s="459">
        <v>0</v>
      </c>
      <c r="H253" s="459">
        <v>0</v>
      </c>
      <c r="I253" s="458">
        <v>0</v>
      </c>
      <c r="J253" s="458">
        <v>0</v>
      </c>
      <c r="K253" s="459">
        <v>0</v>
      </c>
      <c r="L253" s="459">
        <v>0</v>
      </c>
      <c r="M253" s="459">
        <v>0</v>
      </c>
      <c r="N253" s="459">
        <v>0</v>
      </c>
      <c r="O253" s="458">
        <v>0</v>
      </c>
      <c r="P253" s="458">
        <v>0</v>
      </c>
      <c r="Q253" s="459">
        <v>0</v>
      </c>
      <c r="R253" s="459">
        <v>0</v>
      </c>
      <c r="S253" s="460">
        <v>0</v>
      </c>
    </row>
    <row r="254" spans="1:19">
      <c r="A254" s="470"/>
      <c r="B254" s="461" t="s">
        <v>378</v>
      </c>
      <c r="C254" s="462">
        <v>0</v>
      </c>
      <c r="D254" s="463">
        <v>0</v>
      </c>
      <c r="E254" s="463">
        <v>0</v>
      </c>
      <c r="F254" s="463">
        <v>0</v>
      </c>
      <c r="G254" s="463">
        <v>0</v>
      </c>
      <c r="H254" s="463">
        <v>0</v>
      </c>
      <c r="I254" s="462">
        <v>0</v>
      </c>
      <c r="J254" s="462">
        <v>0</v>
      </c>
      <c r="K254" s="463">
        <v>0</v>
      </c>
      <c r="L254" s="463">
        <v>0</v>
      </c>
      <c r="M254" s="463">
        <v>0</v>
      </c>
      <c r="N254" s="463">
        <v>0</v>
      </c>
      <c r="O254" s="462">
        <v>0</v>
      </c>
      <c r="P254" s="462">
        <v>0</v>
      </c>
      <c r="Q254" s="463">
        <v>0</v>
      </c>
      <c r="R254" s="463">
        <v>0</v>
      </c>
      <c r="S254" s="464">
        <v>0</v>
      </c>
    </row>
    <row r="255" spans="1:19">
      <c r="A255" s="470"/>
      <c r="B255" s="77" t="s">
        <v>380</v>
      </c>
      <c r="C255" s="127">
        <v>77078.538397481549</v>
      </c>
      <c r="D255" s="129">
        <v>0</v>
      </c>
      <c r="E255" s="129">
        <v>61810.29740025608</v>
      </c>
      <c r="F255" s="129">
        <v>67332.144011976052</v>
      </c>
      <c r="G255" s="129">
        <v>58180.172558139537</v>
      </c>
      <c r="H255" s="129">
        <v>54925.318618539321</v>
      </c>
      <c r="I255" s="127">
        <v>68742.495175678108</v>
      </c>
      <c r="J255" s="127">
        <v>54630.415024999995</v>
      </c>
      <c r="K255" s="129">
        <v>46680.413507109006</v>
      </c>
      <c r="L255" s="129">
        <v>46005.143171806165</v>
      </c>
      <c r="M255" s="129">
        <v>45136.015578512393</v>
      </c>
      <c r="N255" s="129">
        <v>0</v>
      </c>
      <c r="O255" s="127">
        <v>46383.99348246817</v>
      </c>
      <c r="P255" s="127">
        <v>0</v>
      </c>
      <c r="Q255" s="129">
        <v>0</v>
      </c>
      <c r="R255" s="129">
        <v>0</v>
      </c>
      <c r="S255" s="128">
        <v>0</v>
      </c>
    </row>
    <row r="256" spans="1:19">
      <c r="A256" s="470"/>
      <c r="B256" s="80" t="s">
        <v>382</v>
      </c>
      <c r="C256" s="458">
        <v>77928.518286013088</v>
      </c>
      <c r="D256" s="459">
        <v>0</v>
      </c>
      <c r="E256" s="459">
        <v>63308.715685356699</v>
      </c>
      <c r="F256" s="459">
        <v>66964.1959699422</v>
      </c>
      <c r="G256" s="459">
        <v>58264.744280373823</v>
      </c>
      <c r="H256" s="459">
        <v>55216.08050027398</v>
      </c>
      <c r="I256" s="458">
        <v>69305.461160516934</v>
      </c>
      <c r="J256" s="458">
        <v>55925.767807547178</v>
      </c>
      <c r="K256" s="459">
        <v>47161.037602820208</v>
      </c>
      <c r="L256" s="459">
        <v>46374.906552094522</v>
      </c>
      <c r="M256" s="459">
        <v>42621.185643346013</v>
      </c>
      <c r="N256" s="459">
        <v>0</v>
      </c>
      <c r="O256" s="458">
        <v>46464.498816968538</v>
      </c>
      <c r="P256" s="458">
        <v>0</v>
      </c>
      <c r="Q256" s="459">
        <v>0</v>
      </c>
      <c r="R256" s="459">
        <v>0</v>
      </c>
      <c r="S256" s="460">
        <v>0</v>
      </c>
    </row>
    <row r="257" spans="1:19">
      <c r="A257" s="475"/>
      <c r="B257" s="476" t="s">
        <v>384</v>
      </c>
      <c r="C257" s="477">
        <v>1.1027452079440463</v>
      </c>
      <c r="D257" s="478">
        <v>0</v>
      </c>
      <c r="E257" s="478">
        <v>2.4242211219233045</v>
      </c>
      <c r="F257" s="478">
        <v>-0.54646714052118428</v>
      </c>
      <c r="G257" s="478">
        <v>0.14536175902499046</v>
      </c>
      <c r="H257" s="478">
        <v>0.52937677750041556</v>
      </c>
      <c r="I257" s="477">
        <v>0.81894901167045431</v>
      </c>
      <c r="J257" s="477">
        <v>2.3711201570670899</v>
      </c>
      <c r="K257" s="478">
        <v>1.0296054803327899</v>
      </c>
      <c r="L257" s="478">
        <v>0.80374357038185151</v>
      </c>
      <c r="M257" s="478">
        <v>-5.5716702126529736</v>
      </c>
      <c r="N257" s="478">
        <v>0</v>
      </c>
      <c r="O257" s="477">
        <v>0.17356274968173591</v>
      </c>
      <c r="P257" s="477">
        <v>0</v>
      </c>
      <c r="Q257" s="478">
        <v>0</v>
      </c>
      <c r="R257" s="478">
        <v>0</v>
      </c>
      <c r="S257" s="479">
        <v>0</v>
      </c>
    </row>
    <row r="258" spans="1:19">
      <c r="A258" s="473" t="s">
        <v>409</v>
      </c>
      <c r="B258" s="80" t="s">
        <v>344</v>
      </c>
      <c r="C258" s="458">
        <v>104224.45984208495</v>
      </c>
      <c r="D258" s="474">
        <v>94579.613598425189</v>
      </c>
      <c r="E258" s="474">
        <v>78762.320948103195</v>
      </c>
      <c r="F258" s="474">
        <v>73563.925376666666</v>
      </c>
      <c r="G258" s="474">
        <v>74513.156018181806</v>
      </c>
      <c r="H258" s="474">
        <v>0</v>
      </c>
      <c r="I258" s="458">
        <v>87705.215481006875</v>
      </c>
      <c r="J258" s="458">
        <v>0</v>
      </c>
      <c r="K258" s="474">
        <v>59759.312971764703</v>
      </c>
      <c r="L258" s="474">
        <v>61233.174264285713</v>
      </c>
      <c r="M258" s="474">
        <v>52252.719366666664</v>
      </c>
      <c r="N258" s="474">
        <v>0</v>
      </c>
      <c r="O258" s="458">
        <v>60118.132787559807</v>
      </c>
      <c r="P258" s="458">
        <v>0</v>
      </c>
      <c r="Q258" s="474">
        <v>0</v>
      </c>
      <c r="R258" s="474">
        <v>0</v>
      </c>
      <c r="S258" s="460">
        <v>0</v>
      </c>
    </row>
    <row r="259" spans="1:19">
      <c r="A259" s="470"/>
      <c r="B259" s="80" t="s">
        <v>346</v>
      </c>
      <c r="C259" s="458">
        <v>100654.15681323252</v>
      </c>
      <c r="D259" s="459">
        <v>95830.611990661477</v>
      </c>
      <c r="E259" s="459">
        <v>79499.874450075411</v>
      </c>
      <c r="F259" s="459">
        <v>73857.477156451612</v>
      </c>
      <c r="G259" s="459">
        <v>72108.984286486491</v>
      </c>
      <c r="H259" s="459">
        <v>0</v>
      </c>
      <c r="I259" s="458">
        <v>87089.583381253542</v>
      </c>
      <c r="J259" s="458">
        <v>0</v>
      </c>
      <c r="K259" s="459">
        <v>59964.132342857141</v>
      </c>
      <c r="L259" s="459">
        <v>61212.348796491227</v>
      </c>
      <c r="M259" s="459">
        <v>57592.251709090902</v>
      </c>
      <c r="N259" s="459">
        <v>0</v>
      </c>
      <c r="O259" s="458">
        <v>60502.123031481482</v>
      </c>
      <c r="P259" s="458">
        <v>0</v>
      </c>
      <c r="Q259" s="459">
        <v>0</v>
      </c>
      <c r="R259" s="459">
        <v>0</v>
      </c>
      <c r="S259" s="460">
        <v>0</v>
      </c>
    </row>
    <row r="260" spans="1:19">
      <c r="A260" s="470"/>
      <c r="B260" s="461" t="s">
        <v>348</v>
      </c>
      <c r="C260" s="462">
        <v>-3.4255903405610875</v>
      </c>
      <c r="D260" s="463">
        <v>1.3226934903201149</v>
      </c>
      <c r="E260" s="463">
        <v>0.93642936507444019</v>
      </c>
      <c r="F260" s="463">
        <v>0.39904311560575878</v>
      </c>
      <c r="G260" s="463">
        <v>-3.2265063784289012</v>
      </c>
      <c r="H260" s="463">
        <v>0</v>
      </c>
      <c r="I260" s="462">
        <v>-0.70193328455666593</v>
      </c>
      <c r="J260" s="462">
        <v>0</v>
      </c>
      <c r="K260" s="463">
        <v>0.34274050504766113</v>
      </c>
      <c r="L260" s="463">
        <v>-3.4010106522654168E-2</v>
      </c>
      <c r="M260" s="463">
        <v>10.21866882172349</v>
      </c>
      <c r="N260" s="463">
        <v>0</v>
      </c>
      <c r="O260" s="462">
        <v>0.63872616483047795</v>
      </c>
      <c r="P260" s="462">
        <v>0</v>
      </c>
      <c r="Q260" s="463">
        <v>0</v>
      </c>
      <c r="R260" s="463">
        <v>0</v>
      </c>
      <c r="S260" s="464">
        <v>0</v>
      </c>
    </row>
    <row r="261" spans="1:19">
      <c r="A261" s="470"/>
      <c r="B261" s="77" t="s">
        <v>350</v>
      </c>
      <c r="C261" s="127">
        <v>78478.406118274113</v>
      </c>
      <c r="D261" s="129">
        <v>68546.817857264949</v>
      </c>
      <c r="E261" s="129">
        <v>60993.833218336171</v>
      </c>
      <c r="F261" s="129">
        <v>61470.756957894744</v>
      </c>
      <c r="G261" s="129">
        <v>57662.263394594593</v>
      </c>
      <c r="H261" s="129">
        <v>0</v>
      </c>
      <c r="I261" s="127">
        <v>67114.419600284498</v>
      </c>
      <c r="J261" s="127">
        <v>0</v>
      </c>
      <c r="K261" s="129">
        <v>50886.39230981595</v>
      </c>
      <c r="L261" s="129">
        <v>50909.182786842102</v>
      </c>
      <c r="M261" s="129">
        <v>49768.053054545453</v>
      </c>
      <c r="N261" s="129">
        <v>0</v>
      </c>
      <c r="O261" s="127">
        <v>50868.716929104477</v>
      </c>
      <c r="P261" s="127">
        <v>0</v>
      </c>
      <c r="Q261" s="129">
        <v>0</v>
      </c>
      <c r="R261" s="129">
        <v>0</v>
      </c>
      <c r="S261" s="128">
        <v>0</v>
      </c>
    </row>
    <row r="262" spans="1:19">
      <c r="A262" s="470"/>
      <c r="B262" s="80" t="s">
        <v>352</v>
      </c>
      <c r="C262" s="458">
        <v>77562.820864339155</v>
      </c>
      <c r="D262" s="459">
        <v>69933.558808000002</v>
      </c>
      <c r="E262" s="459">
        <v>62006.860892967416</v>
      </c>
      <c r="F262" s="459">
        <v>60916.197036842103</v>
      </c>
      <c r="G262" s="459">
        <v>54423.380512820506</v>
      </c>
      <c r="H262" s="459">
        <v>0</v>
      </c>
      <c r="I262" s="458">
        <v>67451.126006175429</v>
      </c>
      <c r="J262" s="458">
        <v>0</v>
      </c>
      <c r="K262" s="459">
        <v>50944.860702167185</v>
      </c>
      <c r="L262" s="459">
        <v>50626.860495238092</v>
      </c>
      <c r="M262" s="459">
        <v>48693.416058333336</v>
      </c>
      <c r="N262" s="459">
        <v>0</v>
      </c>
      <c r="O262" s="458">
        <v>50698.321663197974</v>
      </c>
      <c r="P262" s="458">
        <v>0</v>
      </c>
      <c r="Q262" s="459">
        <v>0</v>
      </c>
      <c r="R262" s="459">
        <v>0</v>
      </c>
      <c r="S262" s="460">
        <v>0</v>
      </c>
    </row>
    <row r="263" spans="1:19">
      <c r="A263" s="470"/>
      <c r="B263" s="461" t="s">
        <v>354</v>
      </c>
      <c r="C263" s="462">
        <v>-1.1666715714831002</v>
      </c>
      <c r="D263" s="463">
        <v>2.0230566408241795</v>
      </c>
      <c r="E263" s="463">
        <v>1.6608690111424331</v>
      </c>
      <c r="F263" s="463">
        <v>-0.902152419291819</v>
      </c>
      <c r="G263" s="463">
        <v>-5.6169888087981432</v>
      </c>
      <c r="H263" s="463">
        <v>0</v>
      </c>
      <c r="I263" s="462">
        <v>0.50169011055487645</v>
      </c>
      <c r="J263" s="462">
        <v>0</v>
      </c>
      <c r="K263" s="463">
        <v>0.11489985769723408</v>
      </c>
      <c r="L263" s="463">
        <v>-0.55456064338353295</v>
      </c>
      <c r="M263" s="463">
        <v>-2.1592908105814832</v>
      </c>
      <c r="N263" s="463">
        <v>0</v>
      </c>
      <c r="O263" s="462">
        <v>-0.33497063852422831</v>
      </c>
      <c r="P263" s="462">
        <v>0</v>
      </c>
      <c r="Q263" s="463">
        <v>0</v>
      </c>
      <c r="R263" s="463">
        <v>0</v>
      </c>
      <c r="S263" s="464">
        <v>0</v>
      </c>
    </row>
    <row r="264" spans="1:19">
      <c r="A264" s="470"/>
      <c r="B264" s="77" t="s">
        <v>356</v>
      </c>
      <c r="C264" s="127">
        <v>65756.840513541669</v>
      </c>
      <c r="D264" s="129">
        <v>58600.316479838708</v>
      </c>
      <c r="E264" s="129">
        <v>50946.284501628666</v>
      </c>
      <c r="F264" s="129">
        <v>49204.225616161617</v>
      </c>
      <c r="G264" s="129">
        <v>52516.830519587624</v>
      </c>
      <c r="H264" s="129">
        <v>0</v>
      </c>
      <c r="I264" s="127">
        <v>55743.733394289426</v>
      </c>
      <c r="J264" s="127">
        <v>0</v>
      </c>
      <c r="K264" s="129">
        <v>42712.713067857141</v>
      </c>
      <c r="L264" s="129">
        <v>42339.676847302908</v>
      </c>
      <c r="M264" s="129">
        <v>40824.142857142855</v>
      </c>
      <c r="N264" s="129">
        <v>0</v>
      </c>
      <c r="O264" s="127">
        <v>42426.26384388889</v>
      </c>
      <c r="P264" s="127">
        <v>0</v>
      </c>
      <c r="Q264" s="129">
        <v>0</v>
      </c>
      <c r="R264" s="129">
        <v>0</v>
      </c>
      <c r="S264" s="128">
        <v>0</v>
      </c>
    </row>
    <row r="265" spans="1:19">
      <c r="A265" s="470"/>
      <c r="B265" s="80" t="s">
        <v>358</v>
      </c>
      <c r="C265" s="458">
        <v>64942.355847814913</v>
      </c>
      <c r="D265" s="459">
        <v>59070.638150413222</v>
      </c>
      <c r="E265" s="459">
        <v>51513.669923652698</v>
      </c>
      <c r="F265" s="459">
        <v>48524.570808080804</v>
      </c>
      <c r="G265" s="459">
        <v>53194.083625287356</v>
      </c>
      <c r="H265" s="459">
        <v>0</v>
      </c>
      <c r="I265" s="458">
        <v>55684.692336868684</v>
      </c>
      <c r="J265" s="458">
        <v>0</v>
      </c>
      <c r="K265" s="459">
        <v>42700.35803214286</v>
      </c>
      <c r="L265" s="459">
        <v>41720.918273983742</v>
      </c>
      <c r="M265" s="459">
        <v>39006.428571428572</v>
      </c>
      <c r="N265" s="459">
        <v>0</v>
      </c>
      <c r="O265" s="458">
        <v>41969.399986301374</v>
      </c>
      <c r="P265" s="458">
        <v>0</v>
      </c>
      <c r="Q265" s="459">
        <v>0</v>
      </c>
      <c r="R265" s="459">
        <v>0</v>
      </c>
      <c r="S265" s="460">
        <v>0</v>
      </c>
    </row>
    <row r="266" spans="1:19">
      <c r="A266" s="470"/>
      <c r="B266" s="461" t="s">
        <v>360</v>
      </c>
      <c r="C266" s="462">
        <v>-1.238631082889428</v>
      </c>
      <c r="D266" s="463">
        <v>0.80259237292059238</v>
      </c>
      <c r="E266" s="463">
        <v>1.1136934274488526</v>
      </c>
      <c r="F266" s="463">
        <v>-1.3812935770654096</v>
      </c>
      <c r="G266" s="463">
        <v>1.2895924963467316</v>
      </c>
      <c r="H266" s="463">
        <v>0</v>
      </c>
      <c r="I266" s="462">
        <v>-0.1059151474536689</v>
      </c>
      <c r="J266" s="462">
        <v>0</v>
      </c>
      <c r="K266" s="463">
        <v>-2.8925897764098877E-2</v>
      </c>
      <c r="L266" s="463">
        <v>-1.4614154367561785</v>
      </c>
      <c r="M266" s="463">
        <v>-4.4525473371849218</v>
      </c>
      <c r="N266" s="463">
        <v>0</v>
      </c>
      <c r="O266" s="462">
        <v>-1.0768420694987091</v>
      </c>
      <c r="P266" s="462">
        <v>0</v>
      </c>
      <c r="Q266" s="463">
        <v>0</v>
      </c>
      <c r="R266" s="463">
        <v>0</v>
      </c>
      <c r="S266" s="464">
        <v>0</v>
      </c>
    </row>
    <row r="267" spans="1:19">
      <c r="A267" s="470"/>
      <c r="B267" s="77" t="s">
        <v>362</v>
      </c>
      <c r="C267" s="127">
        <v>49470.85495833333</v>
      </c>
      <c r="D267" s="129">
        <v>40797.577296226416</v>
      </c>
      <c r="E267" s="129">
        <v>37046.316126506026</v>
      </c>
      <c r="F267" s="129">
        <v>36236.415384615386</v>
      </c>
      <c r="G267" s="129">
        <v>44841.142120000004</v>
      </c>
      <c r="H267" s="129">
        <v>0</v>
      </c>
      <c r="I267" s="127">
        <v>39817.629905853653</v>
      </c>
      <c r="J267" s="127">
        <v>0</v>
      </c>
      <c r="K267" s="129">
        <v>39221.529155752214</v>
      </c>
      <c r="L267" s="129">
        <v>36645.511092890993</v>
      </c>
      <c r="M267" s="129">
        <v>41073.172694117646</v>
      </c>
      <c r="N267" s="129">
        <v>0</v>
      </c>
      <c r="O267" s="127">
        <v>37719.881439882702</v>
      </c>
      <c r="P267" s="127">
        <v>0</v>
      </c>
      <c r="Q267" s="129">
        <v>0</v>
      </c>
      <c r="R267" s="129">
        <v>0</v>
      </c>
      <c r="S267" s="128">
        <v>0</v>
      </c>
    </row>
    <row r="268" spans="1:19">
      <c r="A268" s="470"/>
      <c r="B268" s="80" t="s">
        <v>364</v>
      </c>
      <c r="C268" s="458">
        <v>50973.515978947369</v>
      </c>
      <c r="D268" s="459">
        <v>42959.269472549022</v>
      </c>
      <c r="E268" s="459">
        <v>37271.362081481486</v>
      </c>
      <c r="F268" s="459">
        <v>37052.701492537315</v>
      </c>
      <c r="G268" s="459">
        <v>43999.480041666662</v>
      </c>
      <c r="H268" s="459">
        <v>0</v>
      </c>
      <c r="I268" s="458">
        <v>40446.102472264633</v>
      </c>
      <c r="J268" s="458">
        <v>0</v>
      </c>
      <c r="K268" s="459">
        <v>38025.11360521739</v>
      </c>
      <c r="L268" s="459">
        <v>37389.917324481328</v>
      </c>
      <c r="M268" s="459">
        <v>42766.837928571433</v>
      </c>
      <c r="N268" s="459">
        <v>0</v>
      </c>
      <c r="O268" s="458">
        <v>37790.794245405406</v>
      </c>
      <c r="P268" s="458">
        <v>0</v>
      </c>
      <c r="Q268" s="459">
        <v>0</v>
      </c>
      <c r="R268" s="459">
        <v>0</v>
      </c>
      <c r="S268" s="460">
        <v>0</v>
      </c>
    </row>
    <row r="269" spans="1:19">
      <c r="A269" s="470"/>
      <c r="B269" s="461" t="s">
        <v>366</v>
      </c>
      <c r="C269" s="462">
        <v>3.0374672559826408</v>
      </c>
      <c r="D269" s="463">
        <v>5.2985797676828028</v>
      </c>
      <c r="E269" s="463">
        <v>0.60747188521247586</v>
      </c>
      <c r="F269" s="463">
        <v>2.2526679288164178</v>
      </c>
      <c r="G269" s="463">
        <v>-1.8769862642681097</v>
      </c>
      <c r="H269" s="463">
        <v>0</v>
      </c>
      <c r="I269" s="462">
        <v>1.5783776379884089</v>
      </c>
      <c r="J269" s="462">
        <v>0</v>
      </c>
      <c r="K269" s="463">
        <v>-3.0504051634084708</v>
      </c>
      <c r="L269" s="463">
        <v>2.0313708538635882</v>
      </c>
      <c r="M269" s="463">
        <v>4.1235315495760272</v>
      </c>
      <c r="N269" s="463">
        <v>0</v>
      </c>
      <c r="O269" s="462">
        <v>0.18799848466046837</v>
      </c>
      <c r="P269" s="462">
        <v>0</v>
      </c>
      <c r="Q269" s="463">
        <v>0</v>
      </c>
      <c r="R269" s="463">
        <v>0</v>
      </c>
      <c r="S269" s="464">
        <v>0</v>
      </c>
    </row>
    <row r="270" spans="1:19">
      <c r="A270" s="470"/>
      <c r="B270" s="77" t="s">
        <v>368</v>
      </c>
      <c r="C270" s="127">
        <v>37908.441458620691</v>
      </c>
      <c r="D270" s="129">
        <v>40707.685807692309</v>
      </c>
      <c r="E270" s="129">
        <v>39964.418593548391</v>
      </c>
      <c r="F270" s="129">
        <v>34506</v>
      </c>
      <c r="G270" s="129">
        <v>40941.103448275862</v>
      </c>
      <c r="H270" s="129">
        <v>0</v>
      </c>
      <c r="I270" s="127">
        <v>38952.823164573994</v>
      </c>
      <c r="J270" s="127">
        <v>0</v>
      </c>
      <c r="K270" s="129">
        <v>37440</v>
      </c>
      <c r="L270" s="129">
        <v>0</v>
      </c>
      <c r="M270" s="129">
        <v>0</v>
      </c>
      <c r="N270" s="129">
        <v>0</v>
      </c>
      <c r="O270" s="127">
        <v>37440</v>
      </c>
      <c r="P270" s="127">
        <v>0</v>
      </c>
      <c r="Q270" s="129">
        <v>0</v>
      </c>
      <c r="R270" s="129">
        <v>0</v>
      </c>
      <c r="S270" s="128">
        <v>0</v>
      </c>
    </row>
    <row r="271" spans="1:19">
      <c r="A271" s="470"/>
      <c r="B271" s="80" t="s">
        <v>370</v>
      </c>
      <c r="C271" s="458">
        <v>37844.972670852017</v>
      </c>
      <c r="D271" s="459">
        <v>41586.836607142854</v>
      </c>
      <c r="E271" s="459">
        <v>35139.831666666665</v>
      </c>
      <c r="F271" s="459">
        <v>33373.4</v>
      </c>
      <c r="G271" s="459">
        <v>39375</v>
      </c>
      <c r="H271" s="459">
        <v>0</v>
      </c>
      <c r="I271" s="458">
        <v>37495.904780882352</v>
      </c>
      <c r="J271" s="458">
        <v>0</v>
      </c>
      <c r="K271" s="459">
        <v>46535</v>
      </c>
      <c r="L271" s="459">
        <v>0</v>
      </c>
      <c r="M271" s="459">
        <v>0</v>
      </c>
      <c r="N271" s="459">
        <v>0</v>
      </c>
      <c r="O271" s="458">
        <v>46535</v>
      </c>
      <c r="P271" s="458">
        <v>0</v>
      </c>
      <c r="Q271" s="459">
        <v>0</v>
      </c>
      <c r="R271" s="459">
        <v>0</v>
      </c>
      <c r="S271" s="460">
        <v>0</v>
      </c>
    </row>
    <row r="272" spans="1:19">
      <c r="A272" s="470"/>
      <c r="B272" s="461" t="s">
        <v>372</v>
      </c>
      <c r="C272" s="462">
        <v>-0.16742652909630626</v>
      </c>
      <c r="D272" s="463">
        <v>2.1596678416055188</v>
      </c>
      <c r="E272" s="463">
        <v>-12.072205968887978</v>
      </c>
      <c r="F272" s="463">
        <v>-3.2823277111226989</v>
      </c>
      <c r="G272" s="463">
        <v>-3.8252594980847174</v>
      </c>
      <c r="H272" s="463">
        <v>0</v>
      </c>
      <c r="I272" s="462">
        <v>-3.7402125579864256</v>
      </c>
      <c r="J272" s="462">
        <v>0</v>
      </c>
      <c r="K272" s="463">
        <v>24.292200854700855</v>
      </c>
      <c r="L272" s="463">
        <v>0</v>
      </c>
      <c r="M272" s="463">
        <v>0</v>
      </c>
      <c r="N272" s="463">
        <v>0</v>
      </c>
      <c r="O272" s="462">
        <v>24.292200854700855</v>
      </c>
      <c r="P272" s="462">
        <v>0</v>
      </c>
      <c r="Q272" s="463">
        <v>0</v>
      </c>
      <c r="R272" s="463">
        <v>0</v>
      </c>
      <c r="S272" s="464">
        <v>0</v>
      </c>
    </row>
    <row r="273" spans="1:19">
      <c r="A273" s="470"/>
      <c r="B273" s="77" t="s">
        <v>374</v>
      </c>
      <c r="C273" s="127">
        <v>0</v>
      </c>
      <c r="D273" s="129">
        <v>0</v>
      </c>
      <c r="E273" s="129">
        <v>0</v>
      </c>
      <c r="F273" s="129">
        <v>0</v>
      </c>
      <c r="G273" s="129">
        <v>0</v>
      </c>
      <c r="H273" s="129">
        <v>0</v>
      </c>
      <c r="I273" s="127">
        <v>0</v>
      </c>
      <c r="J273" s="127">
        <v>0</v>
      </c>
      <c r="K273" s="129">
        <v>0</v>
      </c>
      <c r="L273" s="129">
        <v>0</v>
      </c>
      <c r="M273" s="129">
        <v>0</v>
      </c>
      <c r="N273" s="129">
        <v>0</v>
      </c>
      <c r="O273" s="127">
        <v>0</v>
      </c>
      <c r="P273" s="127">
        <v>0</v>
      </c>
      <c r="Q273" s="129">
        <v>37274.178621437524</v>
      </c>
      <c r="R273" s="129">
        <v>0</v>
      </c>
      <c r="S273" s="128">
        <v>37274.178621437524</v>
      </c>
    </row>
    <row r="274" spans="1:19">
      <c r="A274" s="470"/>
      <c r="B274" s="80" t="s">
        <v>376</v>
      </c>
      <c r="C274" s="458">
        <v>0</v>
      </c>
      <c r="D274" s="459">
        <v>0</v>
      </c>
      <c r="E274" s="459">
        <v>0</v>
      </c>
      <c r="F274" s="459">
        <v>0</v>
      </c>
      <c r="G274" s="459">
        <v>0</v>
      </c>
      <c r="H274" s="459">
        <v>0</v>
      </c>
      <c r="I274" s="458">
        <v>0</v>
      </c>
      <c r="J274" s="458">
        <v>0</v>
      </c>
      <c r="K274" s="459">
        <v>0</v>
      </c>
      <c r="L274" s="459">
        <v>0</v>
      </c>
      <c r="M274" s="459">
        <v>0</v>
      </c>
      <c r="N274" s="459">
        <v>0</v>
      </c>
      <c r="O274" s="458">
        <v>0</v>
      </c>
      <c r="P274" s="458">
        <v>0</v>
      </c>
      <c r="Q274" s="459">
        <v>37686.683148729797</v>
      </c>
      <c r="R274" s="459">
        <v>0</v>
      </c>
      <c r="S274" s="460">
        <v>37686.683148729797</v>
      </c>
    </row>
    <row r="275" spans="1:19">
      <c r="A275" s="470"/>
      <c r="B275" s="461" t="s">
        <v>378</v>
      </c>
      <c r="C275" s="462">
        <v>0</v>
      </c>
      <c r="D275" s="463">
        <v>0</v>
      </c>
      <c r="E275" s="463">
        <v>0</v>
      </c>
      <c r="F275" s="463">
        <v>0</v>
      </c>
      <c r="G275" s="463">
        <v>0</v>
      </c>
      <c r="H275" s="463">
        <v>0</v>
      </c>
      <c r="I275" s="462">
        <v>0</v>
      </c>
      <c r="J275" s="462">
        <v>0</v>
      </c>
      <c r="K275" s="463">
        <v>0</v>
      </c>
      <c r="L275" s="463">
        <v>0</v>
      </c>
      <c r="M275" s="463">
        <v>0</v>
      </c>
      <c r="N275" s="463">
        <v>0</v>
      </c>
      <c r="O275" s="462">
        <v>0</v>
      </c>
      <c r="P275" s="462">
        <v>0</v>
      </c>
      <c r="Q275" s="463">
        <v>1.1066763710120455</v>
      </c>
      <c r="R275" s="463">
        <v>0</v>
      </c>
      <c r="S275" s="464">
        <v>1.1066763710120455</v>
      </c>
    </row>
    <row r="276" spans="1:19">
      <c r="A276" s="470"/>
      <c r="B276" s="77" t="s">
        <v>380</v>
      </c>
      <c r="C276" s="127">
        <v>76985.24646091371</v>
      </c>
      <c r="D276" s="129">
        <v>69100.228967741932</v>
      </c>
      <c r="E276" s="129">
        <v>60217.558091342187</v>
      </c>
      <c r="F276" s="129">
        <v>59536.759969650986</v>
      </c>
      <c r="G276" s="129">
        <v>57635.735367547175</v>
      </c>
      <c r="H276" s="129">
        <v>0</v>
      </c>
      <c r="I276" s="127">
        <v>66163.010479589255</v>
      </c>
      <c r="J276" s="127">
        <v>0</v>
      </c>
      <c r="K276" s="129">
        <v>48490.815865312499</v>
      </c>
      <c r="L276" s="129">
        <v>47067.419440392157</v>
      </c>
      <c r="M276" s="129">
        <v>46654.18509310345</v>
      </c>
      <c r="N276" s="129">
        <v>0</v>
      </c>
      <c r="O276" s="127">
        <v>47583.721023515718</v>
      </c>
      <c r="P276" s="127">
        <v>0</v>
      </c>
      <c r="Q276" s="129">
        <v>37274.178621437524</v>
      </c>
      <c r="R276" s="129">
        <v>0</v>
      </c>
      <c r="S276" s="128">
        <v>37274.178621437524</v>
      </c>
    </row>
    <row r="277" spans="1:19">
      <c r="A277" s="470"/>
      <c r="B277" s="80" t="s">
        <v>382</v>
      </c>
      <c r="C277" s="458">
        <v>75941.606998987336</v>
      </c>
      <c r="D277" s="459">
        <v>70481.488426848693</v>
      </c>
      <c r="E277" s="459">
        <v>60944.418794505487</v>
      </c>
      <c r="F277" s="459">
        <v>59452.506424477622</v>
      </c>
      <c r="G277" s="459">
        <v>55503.5428119403</v>
      </c>
      <c r="H277" s="459">
        <v>0</v>
      </c>
      <c r="I277" s="458">
        <v>66251.873644651496</v>
      </c>
      <c r="J277" s="458">
        <v>0</v>
      </c>
      <c r="K277" s="459">
        <v>48463.846128037381</v>
      </c>
      <c r="L277" s="459">
        <v>46620.891757965452</v>
      </c>
      <c r="M277" s="459">
        <v>47748.88366428572</v>
      </c>
      <c r="N277" s="459">
        <v>0</v>
      </c>
      <c r="O277" s="458">
        <v>47337.181558160919</v>
      </c>
      <c r="P277" s="458">
        <v>0</v>
      </c>
      <c r="Q277" s="459">
        <v>37686.683148729797</v>
      </c>
      <c r="R277" s="459">
        <v>0</v>
      </c>
      <c r="S277" s="460">
        <v>37686.683148729797</v>
      </c>
    </row>
    <row r="278" spans="1:19">
      <c r="A278" s="475"/>
      <c r="B278" s="476" t="s">
        <v>384</v>
      </c>
      <c r="C278" s="477">
        <v>-1.3556356703439814</v>
      </c>
      <c r="D278" s="478">
        <v>1.998921681940554</v>
      </c>
      <c r="E278" s="478">
        <v>1.2070577522601416</v>
      </c>
      <c r="F278" s="478">
        <v>-0.14151516679159612</v>
      </c>
      <c r="G278" s="478">
        <v>-3.699428040623983</v>
      </c>
      <c r="H278" s="478">
        <v>0</v>
      </c>
      <c r="I278" s="477">
        <v>0.13430943425655423</v>
      </c>
      <c r="J278" s="477">
        <v>0</v>
      </c>
      <c r="K278" s="478">
        <v>-5.5618237791726921E-2</v>
      </c>
      <c r="L278" s="478">
        <v>-0.94869803302516753</v>
      </c>
      <c r="M278" s="478">
        <v>2.3464102287880113</v>
      </c>
      <c r="N278" s="478">
        <v>0</v>
      </c>
      <c r="O278" s="477">
        <v>-0.51811724693190808</v>
      </c>
      <c r="P278" s="477">
        <v>0</v>
      </c>
      <c r="Q278" s="478">
        <v>1.1066763710120455</v>
      </c>
      <c r="R278" s="478">
        <v>0</v>
      </c>
      <c r="S278" s="479">
        <v>1.1066763710120455</v>
      </c>
    </row>
    <row r="279" spans="1:19">
      <c r="A279" s="473" t="s">
        <v>408</v>
      </c>
      <c r="B279" s="80" t="s">
        <v>344</v>
      </c>
      <c r="C279" s="458">
        <v>113546.61674162837</v>
      </c>
      <c r="D279" s="474">
        <v>88151.098591549293</v>
      </c>
      <c r="E279" s="474">
        <v>82689.39860080053</v>
      </c>
      <c r="F279" s="474">
        <v>78037.602595876291</v>
      </c>
      <c r="G279" s="474">
        <v>83578.052828571424</v>
      </c>
      <c r="H279" s="474">
        <v>93301.873547826079</v>
      </c>
      <c r="I279" s="458">
        <v>101942.95674896635</v>
      </c>
      <c r="J279" s="458">
        <v>0</v>
      </c>
      <c r="K279" s="474">
        <v>64169.288952513227</v>
      </c>
      <c r="L279" s="474">
        <v>51047.323105486728</v>
      </c>
      <c r="M279" s="474">
        <v>53273.98798181818</v>
      </c>
      <c r="N279" s="474">
        <v>0</v>
      </c>
      <c r="O279" s="458">
        <v>60447.787799151338</v>
      </c>
      <c r="P279" s="458">
        <v>0</v>
      </c>
      <c r="Q279" s="474">
        <v>0</v>
      </c>
      <c r="R279" s="474">
        <v>0</v>
      </c>
      <c r="S279" s="460">
        <v>0</v>
      </c>
    </row>
    <row r="280" spans="1:19">
      <c r="A280" s="470"/>
      <c r="B280" s="80" t="s">
        <v>346</v>
      </c>
      <c r="C280" s="458">
        <v>119406.85224466518</v>
      </c>
      <c r="D280" s="459">
        <v>89116.301435406698</v>
      </c>
      <c r="E280" s="459">
        <v>85892.857635893946</v>
      </c>
      <c r="F280" s="459">
        <v>82650.921798148163</v>
      </c>
      <c r="G280" s="459">
        <v>85912.91413125</v>
      </c>
      <c r="H280" s="459">
        <v>93389.66406086956</v>
      </c>
      <c r="I280" s="458">
        <v>106928.577816253</v>
      </c>
      <c r="J280" s="458">
        <v>0</v>
      </c>
      <c r="K280" s="459">
        <v>67255.554688410019</v>
      </c>
      <c r="L280" s="459">
        <v>55935.623750427352</v>
      </c>
      <c r="M280" s="459">
        <v>55282.571304761907</v>
      </c>
      <c r="N280" s="459">
        <v>0</v>
      </c>
      <c r="O280" s="458">
        <v>64215.868297269626</v>
      </c>
      <c r="P280" s="458">
        <v>0</v>
      </c>
      <c r="Q280" s="459">
        <v>0</v>
      </c>
      <c r="R280" s="459">
        <v>0</v>
      </c>
      <c r="S280" s="460">
        <v>0</v>
      </c>
    </row>
    <row r="281" spans="1:19">
      <c r="A281" s="470"/>
      <c r="B281" s="461" t="s">
        <v>348</v>
      </c>
      <c r="C281" s="462">
        <v>5.1610833252492068</v>
      </c>
      <c r="D281" s="463">
        <v>1.0949413669019612</v>
      </c>
      <c r="E281" s="463">
        <v>3.8740867502964313</v>
      </c>
      <c r="F281" s="463">
        <v>5.9116618768548017</v>
      </c>
      <c r="G281" s="463">
        <v>2.793629695426926</v>
      </c>
      <c r="H281" s="463">
        <v>9.40929798140442E-2</v>
      </c>
      <c r="I281" s="462">
        <v>4.8905988469254504</v>
      </c>
      <c r="J281" s="462">
        <v>0</v>
      </c>
      <c r="K281" s="463">
        <v>4.8095682315892585</v>
      </c>
      <c r="L281" s="463">
        <v>9.5760176000594512</v>
      </c>
      <c r="M281" s="463">
        <v>3.7702890266620064</v>
      </c>
      <c r="N281" s="463">
        <v>0</v>
      </c>
      <c r="O281" s="462">
        <v>6.2336119075828123</v>
      </c>
      <c r="P281" s="462">
        <v>0</v>
      </c>
      <c r="Q281" s="463">
        <v>0</v>
      </c>
      <c r="R281" s="463">
        <v>0</v>
      </c>
      <c r="S281" s="464">
        <v>0</v>
      </c>
    </row>
    <row r="282" spans="1:19">
      <c r="A282" s="470"/>
      <c r="B282" s="77" t="s">
        <v>350</v>
      </c>
      <c r="C282" s="127">
        <v>76758.404028681063</v>
      </c>
      <c r="D282" s="129">
        <v>67010.428571428565</v>
      </c>
      <c r="E282" s="129">
        <v>66975.366821730378</v>
      </c>
      <c r="F282" s="129">
        <v>62981.753484536079</v>
      </c>
      <c r="G282" s="129">
        <v>67979.867361467885</v>
      </c>
      <c r="H282" s="129">
        <v>62395</v>
      </c>
      <c r="I282" s="127">
        <v>71720.299818958025</v>
      </c>
      <c r="J282" s="127">
        <v>0</v>
      </c>
      <c r="K282" s="129">
        <v>53667.852459388647</v>
      </c>
      <c r="L282" s="129">
        <v>48166.69891931818</v>
      </c>
      <c r="M282" s="129">
        <v>45013.850655172413</v>
      </c>
      <c r="N282" s="129">
        <v>0</v>
      </c>
      <c r="O282" s="127">
        <v>52071.614535722045</v>
      </c>
      <c r="P282" s="127">
        <v>0</v>
      </c>
      <c r="Q282" s="129">
        <v>0</v>
      </c>
      <c r="R282" s="129">
        <v>0</v>
      </c>
      <c r="S282" s="128">
        <v>0</v>
      </c>
    </row>
    <row r="283" spans="1:19">
      <c r="A283" s="470"/>
      <c r="B283" s="80" t="s">
        <v>352</v>
      </c>
      <c r="C283" s="458">
        <v>79406.297431144631</v>
      </c>
      <c r="D283" s="459">
        <v>69552.33858267717</v>
      </c>
      <c r="E283" s="459">
        <v>68679.911059804552</v>
      </c>
      <c r="F283" s="459">
        <v>65237.920113829787</v>
      </c>
      <c r="G283" s="459">
        <v>70284.287859322023</v>
      </c>
      <c r="H283" s="459">
        <v>62401.466666666667</v>
      </c>
      <c r="I283" s="458">
        <v>74144.374160265812</v>
      </c>
      <c r="J283" s="458">
        <v>0</v>
      </c>
      <c r="K283" s="459">
        <v>58210.256375206613</v>
      </c>
      <c r="L283" s="459">
        <v>49487.810964245808</v>
      </c>
      <c r="M283" s="459">
        <v>48703.588218518518</v>
      </c>
      <c r="N283" s="459">
        <v>0</v>
      </c>
      <c r="O283" s="458">
        <v>56289.258403888889</v>
      </c>
      <c r="P283" s="458">
        <v>0</v>
      </c>
      <c r="Q283" s="459">
        <v>0</v>
      </c>
      <c r="R283" s="459">
        <v>0</v>
      </c>
      <c r="S283" s="460">
        <v>0</v>
      </c>
    </row>
    <row r="284" spans="1:19">
      <c r="A284" s="470"/>
      <c r="B284" s="461" t="s">
        <v>354</v>
      </c>
      <c r="C284" s="462">
        <v>3.449646245216579</v>
      </c>
      <c r="D284" s="463">
        <v>3.7933051100234363</v>
      </c>
      <c r="E284" s="463">
        <v>2.5450315824490986</v>
      </c>
      <c r="F284" s="463">
        <v>3.5822543903095125</v>
      </c>
      <c r="G284" s="463">
        <v>3.3898573023111287</v>
      </c>
      <c r="H284" s="463">
        <v>1.0364078318242089E-2</v>
      </c>
      <c r="I284" s="462">
        <v>3.3798998992291232</v>
      </c>
      <c r="J284" s="462">
        <v>0</v>
      </c>
      <c r="K284" s="463">
        <v>8.4639196607601885</v>
      </c>
      <c r="L284" s="463">
        <v>2.7427913362727261</v>
      </c>
      <c r="M284" s="463">
        <v>8.1968938663151842</v>
      </c>
      <c r="N284" s="463">
        <v>0</v>
      </c>
      <c r="O284" s="462">
        <v>8.0996986664845316</v>
      </c>
      <c r="P284" s="462">
        <v>0</v>
      </c>
      <c r="Q284" s="463">
        <v>0</v>
      </c>
      <c r="R284" s="463">
        <v>0</v>
      </c>
      <c r="S284" s="464">
        <v>0</v>
      </c>
    </row>
    <row r="285" spans="1:19">
      <c r="A285" s="470"/>
      <c r="B285" s="77" t="s">
        <v>356</v>
      </c>
      <c r="C285" s="127">
        <v>70334.152762824902</v>
      </c>
      <c r="D285" s="129">
        <v>58789.996515679442</v>
      </c>
      <c r="E285" s="129">
        <v>56725.848760807225</v>
      </c>
      <c r="F285" s="129">
        <v>55878.858185950412</v>
      </c>
      <c r="G285" s="129">
        <v>56561.098360655735</v>
      </c>
      <c r="H285" s="129">
        <v>56533</v>
      </c>
      <c r="I285" s="127">
        <v>62857.224292475461</v>
      </c>
      <c r="J285" s="127">
        <v>0</v>
      </c>
      <c r="K285" s="129">
        <v>48937.35928305555</v>
      </c>
      <c r="L285" s="129">
        <v>45040.158751162788</v>
      </c>
      <c r="M285" s="129">
        <v>44004.210982222226</v>
      </c>
      <c r="N285" s="129">
        <v>0</v>
      </c>
      <c r="O285" s="127">
        <v>47985.053877481325</v>
      </c>
      <c r="P285" s="127">
        <v>0</v>
      </c>
      <c r="Q285" s="129">
        <v>0</v>
      </c>
      <c r="R285" s="129">
        <v>0</v>
      </c>
      <c r="S285" s="128">
        <v>0</v>
      </c>
    </row>
    <row r="286" spans="1:19">
      <c r="A286" s="470"/>
      <c r="B286" s="80" t="s">
        <v>358</v>
      </c>
      <c r="C286" s="458">
        <v>72044.67471718388</v>
      </c>
      <c r="D286" s="459">
        <v>61209.882352941175</v>
      </c>
      <c r="E286" s="459">
        <v>59014.437312981012</v>
      </c>
      <c r="F286" s="459">
        <v>58189.617312863069</v>
      </c>
      <c r="G286" s="459">
        <v>58873.796747967477</v>
      </c>
      <c r="H286" s="459">
        <v>57889.769230769234</v>
      </c>
      <c r="I286" s="458">
        <v>65005.343874248472</v>
      </c>
      <c r="J286" s="458">
        <v>0</v>
      </c>
      <c r="K286" s="459">
        <v>54373.064232084304</v>
      </c>
      <c r="L286" s="459">
        <v>46688.92651243243</v>
      </c>
      <c r="M286" s="459">
        <v>42036.763496153842</v>
      </c>
      <c r="N286" s="459">
        <v>0</v>
      </c>
      <c r="O286" s="458">
        <v>52482.089789917503</v>
      </c>
      <c r="P286" s="458">
        <v>0</v>
      </c>
      <c r="Q286" s="459">
        <v>0</v>
      </c>
      <c r="R286" s="459">
        <v>0</v>
      </c>
      <c r="S286" s="460">
        <v>0</v>
      </c>
    </row>
    <row r="287" spans="1:19">
      <c r="A287" s="470"/>
      <c r="B287" s="461" t="s">
        <v>360</v>
      </c>
      <c r="C287" s="462">
        <v>2.4319934017362232</v>
      </c>
      <c r="D287" s="463">
        <v>4.116152374012036</v>
      </c>
      <c r="E287" s="463">
        <v>4.0344721183881322</v>
      </c>
      <c r="F287" s="463">
        <v>4.1353012604929171</v>
      </c>
      <c r="G287" s="463">
        <v>4.0888498532420128</v>
      </c>
      <c r="H287" s="463">
        <v>2.3999597240005559</v>
      </c>
      <c r="I287" s="462">
        <v>3.4174585434727178</v>
      </c>
      <c r="J287" s="462">
        <v>0</v>
      </c>
      <c r="K287" s="463">
        <v>11.107475002049926</v>
      </c>
      <c r="L287" s="463">
        <v>3.6606615229283062</v>
      </c>
      <c r="M287" s="463">
        <v>-4.4710436618514438</v>
      </c>
      <c r="N287" s="463">
        <v>0</v>
      </c>
      <c r="O287" s="462">
        <v>9.3717429679631366</v>
      </c>
      <c r="P287" s="462">
        <v>0</v>
      </c>
      <c r="Q287" s="463">
        <v>0</v>
      </c>
      <c r="R287" s="463">
        <v>0</v>
      </c>
      <c r="S287" s="464">
        <v>0</v>
      </c>
    </row>
    <row r="288" spans="1:19">
      <c r="A288" s="470"/>
      <c r="B288" s="77" t="s">
        <v>362</v>
      </c>
      <c r="C288" s="127">
        <v>40629.021851219506</v>
      </c>
      <c r="D288" s="129">
        <v>49302</v>
      </c>
      <c r="E288" s="129">
        <v>41009.878402202638</v>
      </c>
      <c r="F288" s="129">
        <v>49883.060893617017</v>
      </c>
      <c r="G288" s="129">
        <v>45924</v>
      </c>
      <c r="H288" s="129">
        <v>0</v>
      </c>
      <c r="I288" s="127">
        <v>42234.760741723665</v>
      </c>
      <c r="J288" s="127">
        <v>0</v>
      </c>
      <c r="K288" s="129">
        <v>47238.25402692717</v>
      </c>
      <c r="L288" s="129">
        <v>42791.770559241711</v>
      </c>
      <c r="M288" s="129">
        <v>40597.571979746834</v>
      </c>
      <c r="N288" s="129">
        <v>0</v>
      </c>
      <c r="O288" s="127">
        <v>45394.572731411972</v>
      </c>
      <c r="P288" s="127">
        <v>0</v>
      </c>
      <c r="Q288" s="129">
        <v>0</v>
      </c>
      <c r="R288" s="129">
        <v>0</v>
      </c>
      <c r="S288" s="128">
        <v>0</v>
      </c>
    </row>
    <row r="289" spans="1:19">
      <c r="A289" s="470"/>
      <c r="B289" s="80" t="s">
        <v>364</v>
      </c>
      <c r="C289" s="458">
        <v>39762.269775369459</v>
      </c>
      <c r="D289" s="459">
        <v>50562.9</v>
      </c>
      <c r="E289" s="459">
        <v>44972.389301160096</v>
      </c>
      <c r="F289" s="459">
        <v>49945.158854054054</v>
      </c>
      <c r="G289" s="459">
        <v>48478.166666666664</v>
      </c>
      <c r="H289" s="459">
        <v>0</v>
      </c>
      <c r="I289" s="458">
        <v>44409.002872536141</v>
      </c>
      <c r="J289" s="458">
        <v>0</v>
      </c>
      <c r="K289" s="459">
        <v>50501.243238436946</v>
      </c>
      <c r="L289" s="459">
        <v>44047.838530894936</v>
      </c>
      <c r="M289" s="459">
        <v>40600.495331034479</v>
      </c>
      <c r="N289" s="459">
        <v>0</v>
      </c>
      <c r="O289" s="458">
        <v>47768.813433821575</v>
      </c>
      <c r="P289" s="458">
        <v>0</v>
      </c>
      <c r="Q289" s="459">
        <v>0</v>
      </c>
      <c r="R289" s="459">
        <v>0</v>
      </c>
      <c r="S289" s="460">
        <v>0</v>
      </c>
    </row>
    <row r="290" spans="1:19">
      <c r="A290" s="470"/>
      <c r="B290" s="461" t="s">
        <v>366</v>
      </c>
      <c r="C290" s="462">
        <v>-2.1333323726670783</v>
      </c>
      <c r="D290" s="463">
        <v>2.5575027382256326</v>
      </c>
      <c r="E290" s="463">
        <v>9.6623327191934134</v>
      </c>
      <c r="F290" s="463">
        <v>0.12448706900619005</v>
      </c>
      <c r="G290" s="463">
        <v>5.56172516911999</v>
      </c>
      <c r="H290" s="463">
        <v>0</v>
      </c>
      <c r="I290" s="462">
        <v>5.1479920630035556</v>
      </c>
      <c r="J290" s="462">
        <v>0</v>
      </c>
      <c r="K290" s="463">
        <v>6.9075144260195929</v>
      </c>
      <c r="L290" s="463">
        <v>2.9353026416943919</v>
      </c>
      <c r="M290" s="463">
        <v>7.2008032625786996E-3</v>
      </c>
      <c r="N290" s="463">
        <v>0</v>
      </c>
      <c r="O290" s="462">
        <v>5.2302303106967774</v>
      </c>
      <c r="P290" s="462">
        <v>0</v>
      </c>
      <c r="Q290" s="463">
        <v>0</v>
      </c>
      <c r="R290" s="463">
        <v>0</v>
      </c>
      <c r="S290" s="464">
        <v>0</v>
      </c>
    </row>
    <row r="291" spans="1:19">
      <c r="A291" s="470"/>
      <c r="B291" s="77" t="s">
        <v>368</v>
      </c>
      <c r="C291" s="127">
        <v>50124.71669498452</v>
      </c>
      <c r="D291" s="129">
        <v>44226.34181818182</v>
      </c>
      <c r="E291" s="129">
        <v>43246.33361236364</v>
      </c>
      <c r="F291" s="129">
        <v>42902.02975490196</v>
      </c>
      <c r="G291" s="129">
        <v>45325.206064615384</v>
      </c>
      <c r="H291" s="129">
        <v>46301.60313333333</v>
      </c>
      <c r="I291" s="127">
        <v>46875.011385294121</v>
      </c>
      <c r="J291" s="127">
        <v>0</v>
      </c>
      <c r="K291" s="129">
        <v>29422.067578723407</v>
      </c>
      <c r="L291" s="129">
        <v>43832.813699999999</v>
      </c>
      <c r="M291" s="129">
        <v>37279.135224999998</v>
      </c>
      <c r="N291" s="129">
        <v>0</v>
      </c>
      <c r="O291" s="127">
        <v>33554.863059154937</v>
      </c>
      <c r="P291" s="127">
        <v>0</v>
      </c>
      <c r="Q291" s="129">
        <v>0</v>
      </c>
      <c r="R291" s="129">
        <v>0</v>
      </c>
      <c r="S291" s="128">
        <v>0</v>
      </c>
    </row>
    <row r="292" spans="1:19">
      <c r="A292" s="470"/>
      <c r="B292" s="80" t="s">
        <v>370</v>
      </c>
      <c r="C292" s="458">
        <v>53352.717908108578</v>
      </c>
      <c r="D292" s="459">
        <v>48002.627976190473</v>
      </c>
      <c r="E292" s="459">
        <v>46802.372322849485</v>
      </c>
      <c r="F292" s="459">
        <v>42646.257714375999</v>
      </c>
      <c r="G292" s="459">
        <v>45367.356893103446</v>
      </c>
      <c r="H292" s="459">
        <v>45539.678500000002</v>
      </c>
      <c r="I292" s="458">
        <v>50002.772682019575</v>
      </c>
      <c r="J292" s="458">
        <v>0</v>
      </c>
      <c r="K292" s="459">
        <v>22155.278557031252</v>
      </c>
      <c r="L292" s="459">
        <v>0</v>
      </c>
      <c r="M292" s="459">
        <v>0</v>
      </c>
      <c r="N292" s="459">
        <v>0</v>
      </c>
      <c r="O292" s="458">
        <v>22155.278557031252</v>
      </c>
      <c r="P292" s="458">
        <v>0</v>
      </c>
      <c r="Q292" s="459">
        <v>0</v>
      </c>
      <c r="R292" s="459">
        <v>0</v>
      </c>
      <c r="S292" s="460">
        <v>0</v>
      </c>
    </row>
    <row r="293" spans="1:19">
      <c r="A293" s="470"/>
      <c r="B293" s="461" t="s">
        <v>372</v>
      </c>
      <c r="C293" s="462">
        <v>6.4399390679190649</v>
      </c>
      <c r="D293" s="463">
        <v>8.5385451356869648</v>
      </c>
      <c r="E293" s="463">
        <v>8.2227518807957729</v>
      </c>
      <c r="F293" s="463">
        <v>-0.59617701537008572</v>
      </c>
      <c r="G293" s="463">
        <v>9.2996440938342237E-2</v>
      </c>
      <c r="H293" s="463">
        <v>-1.64556858029135</v>
      </c>
      <c r="I293" s="462">
        <v>6.6725558123420781</v>
      </c>
      <c r="J293" s="462">
        <v>0</v>
      </c>
      <c r="K293" s="463">
        <v>-24.698430870803723</v>
      </c>
      <c r="L293" s="463">
        <v>-100</v>
      </c>
      <c r="M293" s="463">
        <v>-100</v>
      </c>
      <c r="N293" s="463">
        <v>0</v>
      </c>
      <c r="O293" s="462">
        <v>-33.972972805840378</v>
      </c>
      <c r="P293" s="462">
        <v>0</v>
      </c>
      <c r="Q293" s="463">
        <v>0</v>
      </c>
      <c r="R293" s="463">
        <v>0</v>
      </c>
      <c r="S293" s="464">
        <v>0</v>
      </c>
    </row>
    <row r="294" spans="1:19">
      <c r="A294" s="470"/>
      <c r="B294" s="77" t="s">
        <v>374</v>
      </c>
      <c r="C294" s="127">
        <v>0</v>
      </c>
      <c r="D294" s="129">
        <v>0</v>
      </c>
      <c r="E294" s="129">
        <v>0</v>
      </c>
      <c r="F294" s="129">
        <v>0</v>
      </c>
      <c r="G294" s="129">
        <v>0</v>
      </c>
      <c r="H294" s="129">
        <v>0</v>
      </c>
      <c r="I294" s="127">
        <v>0</v>
      </c>
      <c r="J294" s="127">
        <v>0</v>
      </c>
      <c r="K294" s="129">
        <v>53754.225906584608</v>
      </c>
      <c r="L294" s="129">
        <v>50202.36868934911</v>
      </c>
      <c r="M294" s="129">
        <v>0</v>
      </c>
      <c r="N294" s="129">
        <v>0</v>
      </c>
      <c r="O294" s="127">
        <v>52389.472887154225</v>
      </c>
      <c r="P294" s="127">
        <v>0</v>
      </c>
      <c r="Q294" s="129">
        <v>0</v>
      </c>
      <c r="R294" s="129">
        <v>0</v>
      </c>
      <c r="S294" s="128">
        <v>0</v>
      </c>
    </row>
    <row r="295" spans="1:19">
      <c r="A295" s="470"/>
      <c r="B295" s="80" t="s">
        <v>376</v>
      </c>
      <c r="C295" s="458">
        <v>0</v>
      </c>
      <c r="D295" s="459">
        <v>0</v>
      </c>
      <c r="E295" s="459">
        <v>0</v>
      </c>
      <c r="F295" s="459">
        <v>0</v>
      </c>
      <c r="G295" s="459">
        <v>0</v>
      </c>
      <c r="H295" s="459">
        <v>0</v>
      </c>
      <c r="I295" s="458">
        <v>0</v>
      </c>
      <c r="J295" s="458">
        <v>0</v>
      </c>
      <c r="K295" s="459">
        <v>55465.960605757049</v>
      </c>
      <c r="L295" s="459">
        <v>50396.069905938704</v>
      </c>
      <c r="M295" s="459">
        <v>40397.806800000006</v>
      </c>
      <c r="N295" s="459">
        <v>0</v>
      </c>
      <c r="O295" s="458">
        <v>53529.64677245338</v>
      </c>
      <c r="P295" s="458">
        <v>0</v>
      </c>
      <c r="Q295" s="459">
        <v>0</v>
      </c>
      <c r="R295" s="459">
        <v>0</v>
      </c>
      <c r="S295" s="460">
        <v>0</v>
      </c>
    </row>
    <row r="296" spans="1:19">
      <c r="A296" s="470"/>
      <c r="B296" s="461" t="s">
        <v>378</v>
      </c>
      <c r="C296" s="462">
        <v>0</v>
      </c>
      <c r="D296" s="463">
        <v>0</v>
      </c>
      <c r="E296" s="463">
        <v>0</v>
      </c>
      <c r="F296" s="463">
        <v>0</v>
      </c>
      <c r="G296" s="463">
        <v>0</v>
      </c>
      <c r="H296" s="463">
        <v>0</v>
      </c>
      <c r="I296" s="462">
        <v>0</v>
      </c>
      <c r="J296" s="462">
        <v>0</v>
      </c>
      <c r="K296" s="463">
        <v>3.1843723359483116</v>
      </c>
      <c r="L296" s="463">
        <v>0.3858407912746345</v>
      </c>
      <c r="M296" s="463">
        <v>0</v>
      </c>
      <c r="N296" s="463">
        <v>0</v>
      </c>
      <c r="O296" s="462">
        <v>2.176341586324154</v>
      </c>
      <c r="P296" s="462">
        <v>0</v>
      </c>
      <c r="Q296" s="463">
        <v>0</v>
      </c>
      <c r="R296" s="463">
        <v>0</v>
      </c>
      <c r="S296" s="464">
        <v>0</v>
      </c>
    </row>
    <row r="297" spans="1:19">
      <c r="A297" s="470"/>
      <c r="B297" s="77" t="s">
        <v>380</v>
      </c>
      <c r="C297" s="127">
        <v>82347.768636071065</v>
      </c>
      <c r="D297" s="129">
        <v>62877.898648648646</v>
      </c>
      <c r="E297" s="129">
        <v>61742.011112276341</v>
      </c>
      <c r="F297" s="129">
        <v>58128.677733607685</v>
      </c>
      <c r="G297" s="129">
        <v>61867.427886740334</v>
      </c>
      <c r="H297" s="129">
        <v>62539.624874157307</v>
      </c>
      <c r="I297" s="127">
        <v>72147.875825341078</v>
      </c>
      <c r="J297" s="127">
        <v>0</v>
      </c>
      <c r="K297" s="129">
        <v>52773.132268403999</v>
      </c>
      <c r="L297" s="129">
        <v>47007.445393518232</v>
      </c>
      <c r="M297" s="129">
        <v>42307.858758545459</v>
      </c>
      <c r="N297" s="129">
        <v>0</v>
      </c>
      <c r="O297" s="127">
        <v>50600.45070889387</v>
      </c>
      <c r="P297" s="127">
        <v>0</v>
      </c>
      <c r="Q297" s="129">
        <v>0</v>
      </c>
      <c r="R297" s="129">
        <v>0</v>
      </c>
      <c r="S297" s="128">
        <v>0</v>
      </c>
    </row>
    <row r="298" spans="1:19">
      <c r="A298" s="470"/>
      <c r="B298" s="80" t="s">
        <v>382</v>
      </c>
      <c r="C298" s="458">
        <v>85082.162499440165</v>
      </c>
      <c r="D298" s="459">
        <v>64361.888066604995</v>
      </c>
      <c r="E298" s="459">
        <v>63903.199337257873</v>
      </c>
      <c r="F298" s="459">
        <v>60075.027889521218</v>
      </c>
      <c r="G298" s="459">
        <v>64920.39341897019</v>
      </c>
      <c r="H298" s="459">
        <v>61819.545918279575</v>
      </c>
      <c r="I298" s="458">
        <v>74696.878062167292</v>
      </c>
      <c r="J298" s="458">
        <v>0</v>
      </c>
      <c r="K298" s="459">
        <v>55360.271821419883</v>
      </c>
      <c r="L298" s="459">
        <v>48637.302915009146</v>
      </c>
      <c r="M298" s="459">
        <v>42610.265975757575</v>
      </c>
      <c r="N298" s="459">
        <v>0</v>
      </c>
      <c r="O298" s="458">
        <v>52940.823387550772</v>
      </c>
      <c r="P298" s="458">
        <v>0</v>
      </c>
      <c r="Q298" s="459">
        <v>0</v>
      </c>
      <c r="R298" s="459">
        <v>0</v>
      </c>
      <c r="S298" s="460">
        <v>0</v>
      </c>
    </row>
    <row r="299" spans="1:19">
      <c r="A299" s="475"/>
      <c r="B299" s="476" t="s">
        <v>384</v>
      </c>
      <c r="C299" s="477">
        <v>3.3205439669574046</v>
      </c>
      <c r="D299" s="478">
        <v>2.3601129329220076</v>
      </c>
      <c r="E299" s="478">
        <v>3.5003528165797251</v>
      </c>
      <c r="F299" s="478">
        <v>3.3483475485770957</v>
      </c>
      <c r="G299" s="478">
        <v>4.9346896040657606</v>
      </c>
      <c r="H299" s="478">
        <v>-1.1513963464390466</v>
      </c>
      <c r="I299" s="477">
        <v>3.5330246492591928</v>
      </c>
      <c r="J299" s="477">
        <v>0</v>
      </c>
      <c r="K299" s="478">
        <v>4.9023801351371379</v>
      </c>
      <c r="L299" s="478">
        <v>3.4672327071737707</v>
      </c>
      <c r="M299" s="478">
        <v>0.71477788308309242</v>
      </c>
      <c r="N299" s="478">
        <v>0</v>
      </c>
      <c r="O299" s="477">
        <v>4.6252012499278843</v>
      </c>
      <c r="P299" s="477">
        <v>0</v>
      </c>
      <c r="Q299" s="478">
        <v>0</v>
      </c>
      <c r="R299" s="478">
        <v>0</v>
      </c>
      <c r="S299" s="479">
        <v>0</v>
      </c>
    </row>
    <row r="300" spans="1:19">
      <c r="A300" s="473" t="s">
        <v>447</v>
      </c>
      <c r="B300" s="80" t="s">
        <v>344</v>
      </c>
      <c r="C300" s="458">
        <v>125333.48418077215</v>
      </c>
      <c r="D300" s="474">
        <v>108539.91403508197</v>
      </c>
      <c r="E300" s="474">
        <v>83796.488900771204</v>
      </c>
      <c r="F300" s="474">
        <v>81376.836017948721</v>
      </c>
      <c r="G300" s="474">
        <v>80766.296712727271</v>
      </c>
      <c r="H300" s="474">
        <v>76434</v>
      </c>
      <c r="I300" s="458">
        <v>110392.64207838463</v>
      </c>
      <c r="J300" s="458">
        <v>0</v>
      </c>
      <c r="K300" s="474">
        <v>0</v>
      </c>
      <c r="L300" s="474">
        <v>0</v>
      </c>
      <c r="M300" s="474">
        <v>65432</v>
      </c>
      <c r="N300" s="474">
        <v>65637.145963461546</v>
      </c>
      <c r="O300" s="458">
        <v>65633.275284905656</v>
      </c>
      <c r="P300" s="458">
        <v>0</v>
      </c>
      <c r="Q300" s="474">
        <v>0</v>
      </c>
      <c r="R300" s="474">
        <v>0</v>
      </c>
      <c r="S300" s="460">
        <v>0</v>
      </c>
    </row>
    <row r="301" spans="1:19">
      <c r="A301" s="470"/>
      <c r="B301" s="80" t="s">
        <v>346</v>
      </c>
      <c r="C301" s="458">
        <v>125502.30384589409</v>
      </c>
      <c r="D301" s="459">
        <v>109609.83538304</v>
      </c>
      <c r="E301" s="459">
        <v>84373.082014141415</v>
      </c>
      <c r="F301" s="459">
        <v>84257.621829761905</v>
      </c>
      <c r="G301" s="459">
        <v>80146.333614545452</v>
      </c>
      <c r="H301" s="459">
        <v>76972</v>
      </c>
      <c r="I301" s="458">
        <v>110612.3139954962</v>
      </c>
      <c r="J301" s="458">
        <v>0</v>
      </c>
      <c r="K301" s="459">
        <v>0</v>
      </c>
      <c r="L301" s="459">
        <v>0</v>
      </c>
      <c r="M301" s="459">
        <v>68049</v>
      </c>
      <c r="N301" s="459">
        <v>67923.747558333329</v>
      </c>
      <c r="O301" s="458">
        <v>67926.024875454532</v>
      </c>
      <c r="P301" s="458">
        <v>0</v>
      </c>
      <c r="Q301" s="459">
        <v>0</v>
      </c>
      <c r="R301" s="459">
        <v>0</v>
      </c>
      <c r="S301" s="460">
        <v>0</v>
      </c>
    </row>
    <row r="302" spans="1:19">
      <c r="A302" s="470"/>
      <c r="B302" s="461" t="s">
        <v>348</v>
      </c>
      <c r="C302" s="462">
        <v>0.13469637920417155</v>
      </c>
      <c r="D302" s="463">
        <v>0.98573999939986956</v>
      </c>
      <c r="E302" s="463">
        <v>0.68808743771232639</v>
      </c>
      <c r="F302" s="463">
        <v>3.5400563019896589</v>
      </c>
      <c r="G302" s="463">
        <v>-0.76760124385413897</v>
      </c>
      <c r="H302" s="463">
        <v>0.70387523876808744</v>
      </c>
      <c r="I302" s="462">
        <v>0.19899144813980493</v>
      </c>
      <c r="J302" s="462">
        <v>0</v>
      </c>
      <c r="K302" s="463">
        <v>0</v>
      </c>
      <c r="L302" s="463">
        <v>0</v>
      </c>
      <c r="M302" s="463">
        <v>3.9995720748257733</v>
      </c>
      <c r="N302" s="463">
        <v>3.4837005194355548</v>
      </c>
      <c r="O302" s="462">
        <v>3.4932731615119663</v>
      </c>
      <c r="P302" s="462">
        <v>0</v>
      </c>
      <c r="Q302" s="463">
        <v>0</v>
      </c>
      <c r="R302" s="463">
        <v>0</v>
      </c>
      <c r="S302" s="464">
        <v>0</v>
      </c>
    </row>
    <row r="303" spans="1:19">
      <c r="A303" s="470"/>
      <c r="B303" s="77" t="s">
        <v>350</v>
      </c>
      <c r="C303" s="127">
        <v>85443.061983148145</v>
      </c>
      <c r="D303" s="129">
        <v>78283.878277318116</v>
      </c>
      <c r="E303" s="129">
        <v>67134.317905035976</v>
      </c>
      <c r="F303" s="129">
        <v>68456.379723584905</v>
      </c>
      <c r="G303" s="129">
        <v>63668.665879699256</v>
      </c>
      <c r="H303" s="129">
        <v>62865</v>
      </c>
      <c r="I303" s="127">
        <v>78367.909899259263</v>
      </c>
      <c r="J303" s="127">
        <v>0</v>
      </c>
      <c r="K303" s="129">
        <v>0</v>
      </c>
      <c r="L303" s="129">
        <v>0</v>
      </c>
      <c r="M303" s="129">
        <v>52734</v>
      </c>
      <c r="N303" s="129">
        <v>57505.440967346942</v>
      </c>
      <c r="O303" s="127">
        <v>57374.317398778629</v>
      </c>
      <c r="P303" s="127">
        <v>0</v>
      </c>
      <c r="Q303" s="129">
        <v>0</v>
      </c>
      <c r="R303" s="129">
        <v>0</v>
      </c>
      <c r="S303" s="128">
        <v>0</v>
      </c>
    </row>
    <row r="304" spans="1:19">
      <c r="A304" s="470"/>
      <c r="B304" s="80" t="s">
        <v>352</v>
      </c>
      <c r="C304" s="458">
        <v>86548.317732103314</v>
      </c>
      <c r="D304" s="459">
        <v>79672.500312732489</v>
      </c>
      <c r="E304" s="459">
        <v>68139.708424666678</v>
      </c>
      <c r="F304" s="459">
        <v>69195.216666055043</v>
      </c>
      <c r="G304" s="459">
        <v>64535.770070921986</v>
      </c>
      <c r="H304" s="459">
        <v>61236</v>
      </c>
      <c r="I304" s="458">
        <v>79313.48499424402</v>
      </c>
      <c r="J304" s="458">
        <v>0</v>
      </c>
      <c r="K304" s="459">
        <v>0</v>
      </c>
      <c r="L304" s="459">
        <v>0</v>
      </c>
      <c r="M304" s="459">
        <v>53982</v>
      </c>
      <c r="N304" s="459">
        <v>59901.250379874211</v>
      </c>
      <c r="O304" s="458">
        <v>59729.546933740457</v>
      </c>
      <c r="P304" s="458">
        <v>0</v>
      </c>
      <c r="Q304" s="459">
        <v>0</v>
      </c>
      <c r="R304" s="459">
        <v>0</v>
      </c>
      <c r="S304" s="460">
        <v>0</v>
      </c>
    </row>
    <row r="305" spans="1:19">
      <c r="A305" s="470"/>
      <c r="B305" s="461" t="s">
        <v>354</v>
      </c>
      <c r="C305" s="462">
        <v>1.2935582167843629</v>
      </c>
      <c r="D305" s="463">
        <v>1.7738288725236946</v>
      </c>
      <c r="E305" s="463">
        <v>1.4975805981269745</v>
      </c>
      <c r="F305" s="463">
        <v>1.079281354715856</v>
      </c>
      <c r="G305" s="463">
        <v>1.361900990451264</v>
      </c>
      <c r="H305" s="463">
        <v>-2.5912670007158196</v>
      </c>
      <c r="I305" s="462">
        <v>1.206584552529574</v>
      </c>
      <c r="J305" s="462">
        <v>0</v>
      </c>
      <c r="K305" s="463">
        <v>0</v>
      </c>
      <c r="L305" s="463">
        <v>0</v>
      </c>
      <c r="M305" s="463">
        <v>2.3665946068949824</v>
      </c>
      <c r="N305" s="463">
        <v>4.1662308335095997</v>
      </c>
      <c r="O305" s="462">
        <v>4.1050240625816432</v>
      </c>
      <c r="P305" s="462">
        <v>0</v>
      </c>
      <c r="Q305" s="463">
        <v>0</v>
      </c>
      <c r="R305" s="463">
        <v>0</v>
      </c>
      <c r="S305" s="464">
        <v>0</v>
      </c>
    </row>
    <row r="306" spans="1:19">
      <c r="A306" s="470"/>
      <c r="B306" s="77" t="s">
        <v>356</v>
      </c>
      <c r="C306" s="127">
        <v>70193.359382378854</v>
      </c>
      <c r="D306" s="129">
        <v>62745.814677258568</v>
      </c>
      <c r="E306" s="129">
        <v>56401.042099999999</v>
      </c>
      <c r="F306" s="129">
        <v>57948.850634013601</v>
      </c>
      <c r="G306" s="129">
        <v>51111.016532467533</v>
      </c>
      <c r="H306" s="129">
        <v>55989</v>
      </c>
      <c r="I306" s="127">
        <v>63059.242642429213</v>
      </c>
      <c r="J306" s="127">
        <v>0</v>
      </c>
      <c r="K306" s="129">
        <v>0</v>
      </c>
      <c r="L306" s="129">
        <v>0</v>
      </c>
      <c r="M306" s="129">
        <v>43680</v>
      </c>
      <c r="N306" s="129">
        <v>51409.982000596123</v>
      </c>
      <c r="O306" s="127">
        <v>51318.90710220913</v>
      </c>
      <c r="P306" s="127">
        <v>0</v>
      </c>
      <c r="Q306" s="129">
        <v>0</v>
      </c>
      <c r="R306" s="129">
        <v>0</v>
      </c>
      <c r="S306" s="128">
        <v>0</v>
      </c>
    </row>
    <row r="307" spans="1:19">
      <c r="A307" s="470"/>
      <c r="B307" s="80" t="s">
        <v>358</v>
      </c>
      <c r="C307" s="458">
        <v>71332.95864829015</v>
      </c>
      <c r="D307" s="459">
        <v>64418.067080706925</v>
      </c>
      <c r="E307" s="459">
        <v>56508.650764164646</v>
      </c>
      <c r="F307" s="459">
        <v>58748.683915867157</v>
      </c>
      <c r="G307" s="459">
        <v>53781.825970860926</v>
      </c>
      <c r="H307" s="459">
        <v>54744</v>
      </c>
      <c r="I307" s="458">
        <v>64419.107131604149</v>
      </c>
      <c r="J307" s="458">
        <v>0</v>
      </c>
      <c r="K307" s="459">
        <v>0</v>
      </c>
      <c r="L307" s="459">
        <v>0</v>
      </c>
      <c r="M307" s="459">
        <v>48862</v>
      </c>
      <c r="N307" s="459">
        <v>54143.926242608693</v>
      </c>
      <c r="O307" s="458">
        <v>54098.392395689654</v>
      </c>
      <c r="P307" s="458">
        <v>0</v>
      </c>
      <c r="Q307" s="459">
        <v>0</v>
      </c>
      <c r="R307" s="459">
        <v>0</v>
      </c>
      <c r="S307" s="460">
        <v>0</v>
      </c>
    </row>
    <row r="308" spans="1:19">
      <c r="A308" s="470"/>
      <c r="B308" s="461" t="s">
        <v>360</v>
      </c>
      <c r="C308" s="462">
        <v>1.6235143551163018</v>
      </c>
      <c r="D308" s="463">
        <v>2.6651218285232412</v>
      </c>
      <c r="E308" s="463">
        <v>0.19079197858411034</v>
      </c>
      <c r="F308" s="463">
        <v>1.3802401136565201</v>
      </c>
      <c r="G308" s="463">
        <v>5.2255063968387327</v>
      </c>
      <c r="H308" s="463">
        <v>-2.2236510743181697</v>
      </c>
      <c r="I308" s="462">
        <v>2.1564871891752704</v>
      </c>
      <c r="J308" s="462">
        <v>0</v>
      </c>
      <c r="K308" s="463">
        <v>0</v>
      </c>
      <c r="L308" s="463">
        <v>0</v>
      </c>
      <c r="M308" s="463">
        <v>11.863553113553113</v>
      </c>
      <c r="N308" s="463">
        <v>5.3179249157894457</v>
      </c>
      <c r="O308" s="462">
        <v>5.4161038307865192</v>
      </c>
      <c r="P308" s="462">
        <v>0</v>
      </c>
      <c r="Q308" s="463">
        <v>0</v>
      </c>
      <c r="R308" s="463">
        <v>0</v>
      </c>
      <c r="S308" s="464">
        <v>0</v>
      </c>
    </row>
    <row r="309" spans="1:19">
      <c r="A309" s="470"/>
      <c r="B309" s="77" t="s">
        <v>362</v>
      </c>
      <c r="C309" s="127">
        <v>48289.392804743082</v>
      </c>
      <c r="D309" s="129">
        <v>46346.563272131149</v>
      </c>
      <c r="E309" s="129">
        <v>47348.393740697677</v>
      </c>
      <c r="F309" s="129">
        <v>47675.928296969694</v>
      </c>
      <c r="G309" s="129">
        <v>45797.844444444439</v>
      </c>
      <c r="H309" s="129">
        <v>41821</v>
      </c>
      <c r="I309" s="127">
        <v>47137.637357772626</v>
      </c>
      <c r="J309" s="127">
        <v>0</v>
      </c>
      <c r="K309" s="129">
        <v>0</v>
      </c>
      <c r="L309" s="129">
        <v>0</v>
      </c>
      <c r="M309" s="129">
        <v>0</v>
      </c>
      <c r="N309" s="129">
        <v>44829.759869642854</v>
      </c>
      <c r="O309" s="127">
        <v>44829.759869642854</v>
      </c>
      <c r="P309" s="127">
        <v>0</v>
      </c>
      <c r="Q309" s="129">
        <v>0</v>
      </c>
      <c r="R309" s="129">
        <v>0</v>
      </c>
      <c r="S309" s="128">
        <v>0</v>
      </c>
    </row>
    <row r="310" spans="1:19">
      <c r="A310" s="470"/>
      <c r="B310" s="80" t="s">
        <v>364</v>
      </c>
      <c r="C310" s="458">
        <v>49613.790093227093</v>
      </c>
      <c r="D310" s="459">
        <v>47696.439740659342</v>
      </c>
      <c r="E310" s="459">
        <v>48541.134729787234</v>
      </c>
      <c r="F310" s="459">
        <v>48725.209903703704</v>
      </c>
      <c r="G310" s="459">
        <v>49724.811872727281</v>
      </c>
      <c r="H310" s="459">
        <v>42830</v>
      </c>
      <c r="I310" s="458">
        <v>48471.08699297424</v>
      </c>
      <c r="J310" s="458">
        <v>0</v>
      </c>
      <c r="K310" s="459">
        <v>0</v>
      </c>
      <c r="L310" s="459">
        <v>0</v>
      </c>
      <c r="M310" s="459">
        <v>0</v>
      </c>
      <c r="N310" s="459">
        <v>47726.916471497585</v>
      </c>
      <c r="O310" s="458">
        <v>47726.916471497585</v>
      </c>
      <c r="P310" s="458">
        <v>0</v>
      </c>
      <c r="Q310" s="459">
        <v>0</v>
      </c>
      <c r="R310" s="459">
        <v>0</v>
      </c>
      <c r="S310" s="460">
        <v>0</v>
      </c>
    </row>
    <row r="311" spans="1:19">
      <c r="A311" s="470"/>
      <c r="B311" s="461" t="s">
        <v>366</v>
      </c>
      <c r="C311" s="462">
        <v>2.7426256814600625</v>
      </c>
      <c r="D311" s="463">
        <v>2.9125707996991723</v>
      </c>
      <c r="E311" s="463">
        <v>2.5190738161500787</v>
      </c>
      <c r="F311" s="463">
        <v>2.200862456621957</v>
      </c>
      <c r="G311" s="463">
        <v>8.5745682486137333</v>
      </c>
      <c r="H311" s="463">
        <v>2.4126634944166803</v>
      </c>
      <c r="I311" s="462">
        <v>2.8288427463616581</v>
      </c>
      <c r="J311" s="462">
        <v>0</v>
      </c>
      <c r="K311" s="463">
        <v>0</v>
      </c>
      <c r="L311" s="463">
        <v>0</v>
      </c>
      <c r="M311" s="463">
        <v>0</v>
      </c>
      <c r="N311" s="463">
        <v>6.4625744377823091</v>
      </c>
      <c r="O311" s="462">
        <v>6.4625744377823091</v>
      </c>
      <c r="P311" s="462">
        <v>0</v>
      </c>
      <c r="Q311" s="463">
        <v>0</v>
      </c>
      <c r="R311" s="463">
        <v>0</v>
      </c>
      <c r="S311" s="464">
        <v>0</v>
      </c>
    </row>
    <row r="312" spans="1:19">
      <c r="A312" s="470"/>
      <c r="B312" s="77" t="s">
        <v>368</v>
      </c>
      <c r="C312" s="127">
        <v>53728.046790588232</v>
      </c>
      <c r="D312" s="129">
        <v>47853.5990573913</v>
      </c>
      <c r="E312" s="129">
        <v>0</v>
      </c>
      <c r="F312" s="129">
        <v>0</v>
      </c>
      <c r="G312" s="129">
        <v>44456.583333333336</v>
      </c>
      <c r="H312" s="129">
        <v>40175</v>
      </c>
      <c r="I312" s="127">
        <v>49066.126463492059</v>
      </c>
      <c r="J312" s="127">
        <v>0</v>
      </c>
      <c r="K312" s="129">
        <v>0</v>
      </c>
      <c r="L312" s="129">
        <v>0</v>
      </c>
      <c r="M312" s="129">
        <v>0</v>
      </c>
      <c r="N312" s="129">
        <v>28185</v>
      </c>
      <c r="O312" s="127">
        <v>28185</v>
      </c>
      <c r="P312" s="127">
        <v>0</v>
      </c>
      <c r="Q312" s="129">
        <v>0</v>
      </c>
      <c r="R312" s="129">
        <v>0</v>
      </c>
      <c r="S312" s="128">
        <v>0</v>
      </c>
    </row>
    <row r="313" spans="1:19">
      <c r="A313" s="470"/>
      <c r="B313" s="80" t="s">
        <v>370</v>
      </c>
      <c r="C313" s="458">
        <v>47361.476227083338</v>
      </c>
      <c r="D313" s="459">
        <v>49165.757648854968</v>
      </c>
      <c r="E313" s="459">
        <v>0</v>
      </c>
      <c r="F313" s="459">
        <v>0</v>
      </c>
      <c r="G313" s="459">
        <v>46257.5</v>
      </c>
      <c r="H313" s="459">
        <v>38600</v>
      </c>
      <c r="I313" s="458">
        <v>48019.654300735288</v>
      </c>
      <c r="J313" s="458">
        <v>0</v>
      </c>
      <c r="K313" s="459">
        <v>0</v>
      </c>
      <c r="L313" s="459">
        <v>0</v>
      </c>
      <c r="M313" s="459">
        <v>0</v>
      </c>
      <c r="N313" s="459">
        <v>0</v>
      </c>
      <c r="O313" s="458">
        <v>0</v>
      </c>
      <c r="P313" s="458">
        <v>0</v>
      </c>
      <c r="Q313" s="459">
        <v>0</v>
      </c>
      <c r="R313" s="459">
        <v>0</v>
      </c>
      <c r="S313" s="460">
        <v>0</v>
      </c>
    </row>
    <row r="314" spans="1:19">
      <c r="A314" s="470"/>
      <c r="B314" s="461" t="s">
        <v>372</v>
      </c>
      <c r="C314" s="462">
        <v>-11.849622206292736</v>
      </c>
      <c r="D314" s="463">
        <v>2.7420269683163898</v>
      </c>
      <c r="E314" s="463">
        <v>0</v>
      </c>
      <c r="F314" s="463">
        <v>0</v>
      </c>
      <c r="G314" s="463">
        <v>4.0509560826199289</v>
      </c>
      <c r="H314" s="463">
        <v>-3.9203484754200373</v>
      </c>
      <c r="I314" s="462">
        <v>-2.1327792474822815</v>
      </c>
      <c r="J314" s="462">
        <v>0</v>
      </c>
      <c r="K314" s="463">
        <v>0</v>
      </c>
      <c r="L314" s="463">
        <v>0</v>
      </c>
      <c r="M314" s="463">
        <v>0</v>
      </c>
      <c r="N314" s="463">
        <v>-100</v>
      </c>
      <c r="O314" s="462">
        <v>-100</v>
      </c>
      <c r="P314" s="462">
        <v>0</v>
      </c>
      <c r="Q314" s="463">
        <v>0</v>
      </c>
      <c r="R314" s="463">
        <v>0</v>
      </c>
      <c r="S314" s="464">
        <v>0</v>
      </c>
    </row>
    <row r="315" spans="1:19">
      <c r="A315" s="470"/>
      <c r="B315" s="77" t="s">
        <v>374</v>
      </c>
      <c r="C315" s="127">
        <v>0</v>
      </c>
      <c r="D315" s="129">
        <v>0</v>
      </c>
      <c r="E315" s="129">
        <v>0</v>
      </c>
      <c r="F315" s="129">
        <v>0</v>
      </c>
      <c r="G315" s="129">
        <v>0</v>
      </c>
      <c r="H315" s="129">
        <v>0</v>
      </c>
      <c r="I315" s="127">
        <v>0</v>
      </c>
      <c r="J315" s="127">
        <v>0</v>
      </c>
      <c r="K315" s="129">
        <v>0</v>
      </c>
      <c r="L315" s="129">
        <v>0</v>
      </c>
      <c r="M315" s="129">
        <v>0</v>
      </c>
      <c r="N315" s="129">
        <v>0</v>
      </c>
      <c r="O315" s="127">
        <v>0</v>
      </c>
      <c r="P315" s="127">
        <v>0</v>
      </c>
      <c r="Q315" s="129">
        <v>0</v>
      </c>
      <c r="R315" s="129">
        <v>0</v>
      </c>
      <c r="S315" s="128">
        <v>0</v>
      </c>
    </row>
    <row r="316" spans="1:19">
      <c r="A316" s="470"/>
      <c r="B316" s="80" t="s">
        <v>376</v>
      </c>
      <c r="C316" s="458">
        <v>0</v>
      </c>
      <c r="D316" s="459">
        <v>0</v>
      </c>
      <c r="E316" s="459">
        <v>0</v>
      </c>
      <c r="F316" s="459">
        <v>0</v>
      </c>
      <c r="G316" s="459">
        <v>0</v>
      </c>
      <c r="H316" s="459">
        <v>0</v>
      </c>
      <c r="I316" s="458">
        <v>0</v>
      </c>
      <c r="J316" s="458">
        <v>0</v>
      </c>
      <c r="K316" s="459">
        <v>0</v>
      </c>
      <c r="L316" s="459">
        <v>0</v>
      </c>
      <c r="M316" s="459">
        <v>0</v>
      </c>
      <c r="N316" s="459">
        <v>0</v>
      </c>
      <c r="O316" s="458">
        <v>0</v>
      </c>
      <c r="P316" s="458">
        <v>0</v>
      </c>
      <c r="Q316" s="459">
        <v>0</v>
      </c>
      <c r="R316" s="459">
        <v>0</v>
      </c>
      <c r="S316" s="460">
        <v>0</v>
      </c>
    </row>
    <row r="317" spans="1:19">
      <c r="A317" s="470"/>
      <c r="B317" s="461" t="s">
        <v>378</v>
      </c>
      <c r="C317" s="462">
        <v>0</v>
      </c>
      <c r="D317" s="463">
        <v>0</v>
      </c>
      <c r="E317" s="463">
        <v>0</v>
      </c>
      <c r="F317" s="463">
        <v>0</v>
      </c>
      <c r="G317" s="463">
        <v>0</v>
      </c>
      <c r="H317" s="463">
        <v>0</v>
      </c>
      <c r="I317" s="462">
        <v>0</v>
      </c>
      <c r="J317" s="462">
        <v>0</v>
      </c>
      <c r="K317" s="463">
        <v>0</v>
      </c>
      <c r="L317" s="463">
        <v>0</v>
      </c>
      <c r="M317" s="463">
        <v>0</v>
      </c>
      <c r="N317" s="463">
        <v>0</v>
      </c>
      <c r="O317" s="462">
        <v>0</v>
      </c>
      <c r="P317" s="462">
        <v>0</v>
      </c>
      <c r="Q317" s="463">
        <v>0</v>
      </c>
      <c r="R317" s="463">
        <v>0</v>
      </c>
      <c r="S317" s="464">
        <v>0</v>
      </c>
    </row>
    <row r="318" spans="1:19">
      <c r="A318" s="470"/>
      <c r="B318" s="77" t="s">
        <v>380</v>
      </c>
      <c r="C318" s="127">
        <v>92778.64278053194</v>
      </c>
      <c r="D318" s="129">
        <v>76278.139463211133</v>
      </c>
      <c r="E318" s="129">
        <v>66060.213931734615</v>
      </c>
      <c r="F318" s="129">
        <v>64342.204872536138</v>
      </c>
      <c r="G318" s="129">
        <v>61166.119705726873</v>
      </c>
      <c r="H318" s="129">
        <v>56638.663157894734</v>
      </c>
      <c r="I318" s="127">
        <v>79725.856199720321</v>
      </c>
      <c r="J318" s="127">
        <v>0</v>
      </c>
      <c r="K318" s="129">
        <v>0</v>
      </c>
      <c r="L318" s="129">
        <v>0</v>
      </c>
      <c r="M318" s="129">
        <v>53591.411764705881</v>
      </c>
      <c r="N318" s="129">
        <v>54553.167952600088</v>
      </c>
      <c r="O318" s="127">
        <v>54538.351590847305</v>
      </c>
      <c r="P318" s="127">
        <v>0</v>
      </c>
      <c r="Q318" s="129">
        <v>0</v>
      </c>
      <c r="R318" s="129">
        <v>0</v>
      </c>
      <c r="S318" s="128">
        <v>0</v>
      </c>
    </row>
    <row r="319" spans="1:19">
      <c r="A319" s="470"/>
      <c r="B319" s="80" t="s">
        <v>382</v>
      </c>
      <c r="C319" s="458">
        <v>92777.492960151387</v>
      </c>
      <c r="D319" s="459">
        <v>77855.810004985469</v>
      </c>
      <c r="E319" s="459">
        <v>66551.626137085579</v>
      </c>
      <c r="F319" s="459">
        <v>65912.488511633986</v>
      </c>
      <c r="G319" s="459">
        <v>62623.630043326033</v>
      </c>
      <c r="H319" s="459">
        <v>57640.148936170212</v>
      </c>
      <c r="I319" s="458">
        <v>80440.482495997261</v>
      </c>
      <c r="J319" s="458">
        <v>0</v>
      </c>
      <c r="K319" s="459">
        <v>0</v>
      </c>
      <c r="L319" s="459">
        <v>0</v>
      </c>
      <c r="M319" s="459">
        <v>56461.272727272728</v>
      </c>
      <c r="N319" s="459">
        <v>57347.378781491716</v>
      </c>
      <c r="O319" s="458">
        <v>57334.117330340137</v>
      </c>
      <c r="P319" s="458">
        <v>0</v>
      </c>
      <c r="Q319" s="459">
        <v>0</v>
      </c>
      <c r="R319" s="459">
        <v>0</v>
      </c>
      <c r="S319" s="460">
        <v>0</v>
      </c>
    </row>
    <row r="320" spans="1:19">
      <c r="A320" s="475"/>
      <c r="B320" s="476" t="s">
        <v>384</v>
      </c>
      <c r="C320" s="477">
        <v>-1.2393158016689679E-3</v>
      </c>
      <c r="D320" s="478">
        <v>2.0683128257673942</v>
      </c>
      <c r="E320" s="478">
        <v>0.74388527693655337</v>
      </c>
      <c r="F320" s="478">
        <v>2.4405188510537181</v>
      </c>
      <c r="G320" s="478">
        <v>2.382871996149686</v>
      </c>
      <c r="H320" s="478">
        <v>1.7682016531420943</v>
      </c>
      <c r="I320" s="477">
        <v>0.89635449569426717</v>
      </c>
      <c r="J320" s="477">
        <v>0</v>
      </c>
      <c r="K320" s="478">
        <v>0</v>
      </c>
      <c r="L320" s="478">
        <v>0</v>
      </c>
      <c r="M320" s="478">
        <v>5.3550762483493184</v>
      </c>
      <c r="N320" s="478">
        <v>5.1219955389565079</v>
      </c>
      <c r="O320" s="477">
        <v>5.1262380654020738</v>
      </c>
      <c r="P320" s="477">
        <v>0</v>
      </c>
      <c r="Q320" s="478">
        <v>0</v>
      </c>
      <c r="R320" s="478">
        <v>0</v>
      </c>
      <c r="S320" s="479">
        <v>0</v>
      </c>
    </row>
    <row r="321" spans="1:19">
      <c r="A321" s="473" t="s">
        <v>446</v>
      </c>
      <c r="B321" s="80" t="s">
        <v>344</v>
      </c>
      <c r="C321" s="458">
        <v>92274.019538095235</v>
      </c>
      <c r="D321" s="474">
        <v>0</v>
      </c>
      <c r="E321" s="474">
        <v>71638.558039024385</v>
      </c>
      <c r="F321" s="474">
        <v>0</v>
      </c>
      <c r="G321" s="474">
        <v>0</v>
      </c>
      <c r="H321" s="474">
        <v>65944.392601869156</v>
      </c>
      <c r="I321" s="458">
        <v>78438.381709677429</v>
      </c>
      <c r="J321" s="458">
        <v>54452.963474999997</v>
      </c>
      <c r="K321" s="474">
        <v>0</v>
      </c>
      <c r="L321" s="474">
        <v>69060.477500000008</v>
      </c>
      <c r="M321" s="474">
        <v>57160.343303703703</v>
      </c>
      <c r="N321" s="474">
        <v>0</v>
      </c>
      <c r="O321" s="458">
        <v>57231.127758677685</v>
      </c>
      <c r="P321" s="458">
        <v>0</v>
      </c>
      <c r="Q321" s="474">
        <v>0</v>
      </c>
      <c r="R321" s="474">
        <v>0</v>
      </c>
      <c r="S321" s="460">
        <v>0</v>
      </c>
    </row>
    <row r="322" spans="1:19">
      <c r="A322" s="470"/>
      <c r="B322" s="80" t="s">
        <v>346</v>
      </c>
      <c r="C322" s="458">
        <v>102102.15008780487</v>
      </c>
      <c r="D322" s="459">
        <v>0</v>
      </c>
      <c r="E322" s="459">
        <v>73653.358970854271</v>
      </c>
      <c r="F322" s="459">
        <v>0</v>
      </c>
      <c r="G322" s="459">
        <v>0</v>
      </c>
      <c r="H322" s="459">
        <v>69268.999502884617</v>
      </c>
      <c r="I322" s="458">
        <v>84104.160528818451</v>
      </c>
      <c r="J322" s="458">
        <v>54773.065341935486</v>
      </c>
      <c r="K322" s="459">
        <v>0</v>
      </c>
      <c r="L322" s="459">
        <v>73129.339333333337</v>
      </c>
      <c r="M322" s="459">
        <v>60202.96591084337</v>
      </c>
      <c r="N322" s="459">
        <v>0</v>
      </c>
      <c r="O322" s="458">
        <v>59780.286586991868</v>
      </c>
      <c r="P322" s="458">
        <v>0</v>
      </c>
      <c r="Q322" s="459">
        <v>0</v>
      </c>
      <c r="R322" s="459">
        <v>0</v>
      </c>
      <c r="S322" s="460">
        <v>0</v>
      </c>
    </row>
    <row r="323" spans="1:19">
      <c r="A323" s="470"/>
      <c r="B323" s="461" t="s">
        <v>348</v>
      </c>
      <c r="C323" s="462">
        <v>10.65102679920874</v>
      </c>
      <c r="D323" s="463">
        <v>0</v>
      </c>
      <c r="E323" s="463">
        <v>2.8124532193017395</v>
      </c>
      <c r="F323" s="463">
        <v>0</v>
      </c>
      <c r="G323" s="463">
        <v>0</v>
      </c>
      <c r="H323" s="463">
        <v>5.0415308562887979</v>
      </c>
      <c r="I323" s="462">
        <v>7.2232224781378935</v>
      </c>
      <c r="J323" s="462">
        <v>0.5878502224813742</v>
      </c>
      <c r="K323" s="463">
        <v>0</v>
      </c>
      <c r="L323" s="463">
        <v>5.8917371854738887</v>
      </c>
      <c r="M323" s="463">
        <v>5.3229606949238182</v>
      </c>
      <c r="N323" s="463">
        <v>0</v>
      </c>
      <c r="O323" s="462">
        <v>4.4541474685996656</v>
      </c>
      <c r="P323" s="462">
        <v>0</v>
      </c>
      <c r="Q323" s="463">
        <v>0</v>
      </c>
      <c r="R323" s="463">
        <v>0</v>
      </c>
      <c r="S323" s="464">
        <v>0</v>
      </c>
    </row>
    <row r="324" spans="1:19">
      <c r="A324" s="470"/>
      <c r="B324" s="77" t="s">
        <v>350</v>
      </c>
      <c r="C324" s="127">
        <v>68210.890191780825</v>
      </c>
      <c r="D324" s="129">
        <v>0</v>
      </c>
      <c r="E324" s="129">
        <v>56788.185869090914</v>
      </c>
      <c r="F324" s="129">
        <v>0</v>
      </c>
      <c r="G324" s="129">
        <v>0</v>
      </c>
      <c r="H324" s="129">
        <v>55126.208364912287</v>
      </c>
      <c r="I324" s="127">
        <v>60599.032145062833</v>
      </c>
      <c r="J324" s="127">
        <v>51094</v>
      </c>
      <c r="K324" s="129">
        <v>0</v>
      </c>
      <c r="L324" s="129">
        <v>65399.196080000002</v>
      </c>
      <c r="M324" s="129">
        <v>49009.202224999994</v>
      </c>
      <c r="N324" s="129">
        <v>0</v>
      </c>
      <c r="O324" s="127">
        <v>50647.995112500001</v>
      </c>
      <c r="P324" s="127">
        <v>0</v>
      </c>
      <c r="Q324" s="129">
        <v>0</v>
      </c>
      <c r="R324" s="129">
        <v>0</v>
      </c>
      <c r="S324" s="128">
        <v>0</v>
      </c>
    </row>
    <row r="325" spans="1:19">
      <c r="A325" s="470"/>
      <c r="B325" s="80" t="s">
        <v>352</v>
      </c>
      <c r="C325" s="458">
        <v>73517.96959230768</v>
      </c>
      <c r="D325" s="459">
        <v>0</v>
      </c>
      <c r="E325" s="459">
        <v>58513.819269565218</v>
      </c>
      <c r="F325" s="459">
        <v>0</v>
      </c>
      <c r="G325" s="459">
        <v>0</v>
      </c>
      <c r="H325" s="459">
        <v>58212.803664186045</v>
      </c>
      <c r="I325" s="458">
        <v>64624.196610638304</v>
      </c>
      <c r="J325" s="458">
        <v>52143.619346666666</v>
      </c>
      <c r="K325" s="459">
        <v>0</v>
      </c>
      <c r="L325" s="459">
        <v>65317</v>
      </c>
      <c r="M325" s="459">
        <v>50715.641192156858</v>
      </c>
      <c r="N325" s="459">
        <v>0</v>
      </c>
      <c r="O325" s="458">
        <v>52045.59142253521</v>
      </c>
      <c r="P325" s="458">
        <v>0</v>
      </c>
      <c r="Q325" s="459">
        <v>0</v>
      </c>
      <c r="R325" s="459">
        <v>0</v>
      </c>
      <c r="S325" s="460">
        <v>0</v>
      </c>
    </row>
    <row r="326" spans="1:19">
      <c r="A326" s="470"/>
      <c r="B326" s="461" t="s">
        <v>354</v>
      </c>
      <c r="C326" s="462">
        <v>7.7803989738376682</v>
      </c>
      <c r="D326" s="463">
        <v>0</v>
      </c>
      <c r="E326" s="463">
        <v>3.0387190118245075</v>
      </c>
      <c r="F326" s="463">
        <v>0</v>
      </c>
      <c r="G326" s="463">
        <v>0</v>
      </c>
      <c r="H326" s="463">
        <v>5.5991431132752627</v>
      </c>
      <c r="I326" s="462">
        <v>6.6422916721507619</v>
      </c>
      <c r="J326" s="462">
        <v>2.0542908104017426</v>
      </c>
      <c r="K326" s="463">
        <v>0</v>
      </c>
      <c r="L326" s="463">
        <v>-0.12568362445840256</v>
      </c>
      <c r="M326" s="463">
        <v>3.4818746065741828</v>
      </c>
      <c r="N326" s="463">
        <v>0</v>
      </c>
      <c r="O326" s="462">
        <v>2.7594306683430405</v>
      </c>
      <c r="P326" s="462">
        <v>0</v>
      </c>
      <c r="Q326" s="463">
        <v>0</v>
      </c>
      <c r="R326" s="463">
        <v>0</v>
      </c>
      <c r="S326" s="464">
        <v>0</v>
      </c>
    </row>
    <row r="327" spans="1:19">
      <c r="A327" s="470"/>
      <c r="B327" s="77" t="s">
        <v>356</v>
      </c>
      <c r="C327" s="127">
        <v>58624.758280000002</v>
      </c>
      <c r="D327" s="129">
        <v>0</v>
      </c>
      <c r="E327" s="129">
        <v>48008.488154621853</v>
      </c>
      <c r="F327" s="129">
        <v>0</v>
      </c>
      <c r="G327" s="129">
        <v>0</v>
      </c>
      <c r="H327" s="129">
        <v>46583.585877083329</v>
      </c>
      <c r="I327" s="127">
        <v>51636.288860561304</v>
      </c>
      <c r="J327" s="127">
        <v>43519.448866666673</v>
      </c>
      <c r="K327" s="129">
        <v>0</v>
      </c>
      <c r="L327" s="129">
        <v>46021.947476470588</v>
      </c>
      <c r="M327" s="129">
        <v>41263.49166216216</v>
      </c>
      <c r="N327" s="129">
        <v>0</v>
      </c>
      <c r="O327" s="127">
        <v>42869.799022222222</v>
      </c>
      <c r="P327" s="127">
        <v>0</v>
      </c>
      <c r="Q327" s="129">
        <v>0</v>
      </c>
      <c r="R327" s="129">
        <v>0</v>
      </c>
      <c r="S327" s="128">
        <v>0</v>
      </c>
    </row>
    <row r="328" spans="1:19">
      <c r="A328" s="470"/>
      <c r="B328" s="80" t="s">
        <v>358</v>
      </c>
      <c r="C328" s="458">
        <v>60549.858298701292</v>
      </c>
      <c r="D328" s="459">
        <v>0</v>
      </c>
      <c r="E328" s="459">
        <v>48586.149080000003</v>
      </c>
      <c r="F328" s="459">
        <v>0</v>
      </c>
      <c r="G328" s="459">
        <v>0</v>
      </c>
      <c r="H328" s="459">
        <v>49234.68572244898</v>
      </c>
      <c r="I328" s="458">
        <v>53953.866825484758</v>
      </c>
      <c r="J328" s="458">
        <v>44145.340507692308</v>
      </c>
      <c r="K328" s="459">
        <v>0</v>
      </c>
      <c r="L328" s="459">
        <v>49686.846666666665</v>
      </c>
      <c r="M328" s="459">
        <v>41701.265641095888</v>
      </c>
      <c r="N328" s="459">
        <v>0</v>
      </c>
      <c r="O328" s="458">
        <v>44040.407055172414</v>
      </c>
      <c r="P328" s="458">
        <v>0</v>
      </c>
      <c r="Q328" s="459">
        <v>0</v>
      </c>
      <c r="R328" s="459">
        <v>0</v>
      </c>
      <c r="S328" s="460">
        <v>0</v>
      </c>
    </row>
    <row r="329" spans="1:19">
      <c r="A329" s="470"/>
      <c r="B329" s="461" t="s">
        <v>360</v>
      </c>
      <c r="C329" s="462">
        <v>3.2837662366243712</v>
      </c>
      <c r="D329" s="463">
        <v>0</v>
      </c>
      <c r="E329" s="463">
        <v>1.2032474830652162</v>
      </c>
      <c r="F329" s="463">
        <v>0</v>
      </c>
      <c r="G329" s="463">
        <v>0</v>
      </c>
      <c r="H329" s="463">
        <v>5.6910600492648022</v>
      </c>
      <c r="I329" s="462">
        <v>4.4882736851632465</v>
      </c>
      <c r="J329" s="462">
        <v>1.4381883441199348</v>
      </c>
      <c r="K329" s="463">
        <v>0</v>
      </c>
      <c r="L329" s="463">
        <v>7.9633726757647763</v>
      </c>
      <c r="M329" s="463">
        <v>1.0609232551571945</v>
      </c>
      <c r="N329" s="463">
        <v>0</v>
      </c>
      <c r="O329" s="462">
        <v>2.7306123649970697</v>
      </c>
      <c r="P329" s="462">
        <v>0</v>
      </c>
      <c r="Q329" s="463">
        <v>0</v>
      </c>
      <c r="R329" s="463">
        <v>0</v>
      </c>
      <c r="S329" s="464">
        <v>0</v>
      </c>
    </row>
    <row r="330" spans="1:19">
      <c r="A330" s="470"/>
      <c r="B330" s="77" t="s">
        <v>362</v>
      </c>
      <c r="C330" s="127">
        <v>42965.556473684206</v>
      </c>
      <c r="D330" s="129">
        <v>0</v>
      </c>
      <c r="E330" s="129">
        <v>28235</v>
      </c>
      <c r="F330" s="129">
        <v>0</v>
      </c>
      <c r="G330" s="129">
        <v>0</v>
      </c>
      <c r="H330" s="129">
        <v>38333.878548648652</v>
      </c>
      <c r="I330" s="127">
        <v>37014.46654358974</v>
      </c>
      <c r="J330" s="127">
        <v>36564.374536363634</v>
      </c>
      <c r="K330" s="129">
        <v>0</v>
      </c>
      <c r="L330" s="129">
        <v>42298.519636363635</v>
      </c>
      <c r="M330" s="129">
        <v>35867.495027350429</v>
      </c>
      <c r="N330" s="129">
        <v>0</v>
      </c>
      <c r="O330" s="127">
        <v>36441.312493333331</v>
      </c>
      <c r="P330" s="127">
        <v>0</v>
      </c>
      <c r="Q330" s="129">
        <v>0</v>
      </c>
      <c r="R330" s="129">
        <v>0</v>
      </c>
      <c r="S330" s="128">
        <v>0</v>
      </c>
    </row>
    <row r="331" spans="1:19">
      <c r="A331" s="470"/>
      <c r="B331" s="80" t="s">
        <v>364</v>
      </c>
      <c r="C331" s="458">
        <v>41710.806633333334</v>
      </c>
      <c r="D331" s="459">
        <v>0</v>
      </c>
      <c r="E331" s="459">
        <v>31227</v>
      </c>
      <c r="F331" s="459">
        <v>0</v>
      </c>
      <c r="G331" s="459">
        <v>0</v>
      </c>
      <c r="H331" s="459">
        <v>40208.846643181816</v>
      </c>
      <c r="I331" s="458">
        <v>39016.382172151898</v>
      </c>
      <c r="J331" s="458">
        <v>37040.555092857147</v>
      </c>
      <c r="K331" s="459">
        <v>0</v>
      </c>
      <c r="L331" s="459">
        <v>48168.55704</v>
      </c>
      <c r="M331" s="459">
        <v>37256.994376642338</v>
      </c>
      <c r="N331" s="459">
        <v>0</v>
      </c>
      <c r="O331" s="458">
        <v>37845.881957714286</v>
      </c>
      <c r="P331" s="458">
        <v>0</v>
      </c>
      <c r="Q331" s="459">
        <v>0</v>
      </c>
      <c r="R331" s="459">
        <v>0</v>
      </c>
      <c r="S331" s="460">
        <v>0</v>
      </c>
    </row>
    <row r="332" spans="1:19">
      <c r="A332" s="470"/>
      <c r="B332" s="461" t="s">
        <v>366</v>
      </c>
      <c r="C332" s="462">
        <v>-2.9203621303482685</v>
      </c>
      <c r="D332" s="463">
        <v>0</v>
      </c>
      <c r="E332" s="463">
        <v>10.596777049760934</v>
      </c>
      <c r="F332" s="463">
        <v>0</v>
      </c>
      <c r="G332" s="463">
        <v>0</v>
      </c>
      <c r="H332" s="463">
        <v>4.8911515492847526</v>
      </c>
      <c r="I332" s="462">
        <v>5.4084681355723996</v>
      </c>
      <c r="J332" s="462">
        <v>1.3023074031252653</v>
      </c>
      <c r="K332" s="463">
        <v>0</v>
      </c>
      <c r="L332" s="463">
        <v>13.877642655347088</v>
      </c>
      <c r="M332" s="463">
        <v>3.8739793460133178</v>
      </c>
      <c r="N332" s="463">
        <v>0</v>
      </c>
      <c r="O332" s="462">
        <v>3.8543328115251345</v>
      </c>
      <c r="P332" s="462">
        <v>0</v>
      </c>
      <c r="Q332" s="463">
        <v>0</v>
      </c>
      <c r="R332" s="463">
        <v>0</v>
      </c>
      <c r="S332" s="464">
        <v>0</v>
      </c>
    </row>
    <row r="333" spans="1:19">
      <c r="A333" s="470"/>
      <c r="B333" s="77" t="s">
        <v>368</v>
      </c>
      <c r="C333" s="127">
        <v>47500.394133333335</v>
      </c>
      <c r="D333" s="129">
        <v>0</v>
      </c>
      <c r="E333" s="129">
        <v>0</v>
      </c>
      <c r="F333" s="129">
        <v>0</v>
      </c>
      <c r="G333" s="129">
        <v>0</v>
      </c>
      <c r="H333" s="129">
        <v>40376.911499999995</v>
      </c>
      <c r="I333" s="127">
        <v>43873.893883636367</v>
      </c>
      <c r="J333" s="127">
        <v>35000</v>
      </c>
      <c r="K333" s="129">
        <v>0</v>
      </c>
      <c r="L333" s="129">
        <v>0</v>
      </c>
      <c r="M333" s="129">
        <v>36213.274380000003</v>
      </c>
      <c r="N333" s="129">
        <v>0</v>
      </c>
      <c r="O333" s="127">
        <v>36155.499409523807</v>
      </c>
      <c r="P333" s="127">
        <v>0</v>
      </c>
      <c r="Q333" s="129">
        <v>0</v>
      </c>
      <c r="R333" s="129">
        <v>0</v>
      </c>
      <c r="S333" s="128">
        <v>0</v>
      </c>
    </row>
    <row r="334" spans="1:19">
      <c r="A334" s="470"/>
      <c r="B334" s="80" t="s">
        <v>370</v>
      </c>
      <c r="C334" s="458">
        <v>49783.333182608701</v>
      </c>
      <c r="D334" s="459">
        <v>0</v>
      </c>
      <c r="E334" s="459">
        <v>0</v>
      </c>
      <c r="F334" s="459">
        <v>0</v>
      </c>
      <c r="G334" s="459">
        <v>0</v>
      </c>
      <c r="H334" s="459">
        <v>41686.34997333333</v>
      </c>
      <c r="I334" s="458">
        <v>45200.135139622638</v>
      </c>
      <c r="J334" s="458">
        <v>0</v>
      </c>
      <c r="K334" s="459">
        <v>0</v>
      </c>
      <c r="L334" s="459">
        <v>56336.590533333336</v>
      </c>
      <c r="M334" s="459">
        <v>36499.097563636366</v>
      </c>
      <c r="N334" s="459">
        <v>0</v>
      </c>
      <c r="O334" s="458">
        <v>40749.988914285721</v>
      </c>
      <c r="P334" s="458">
        <v>0</v>
      </c>
      <c r="Q334" s="459">
        <v>0</v>
      </c>
      <c r="R334" s="459">
        <v>0</v>
      </c>
      <c r="S334" s="460">
        <v>0</v>
      </c>
    </row>
    <row r="335" spans="1:19">
      <c r="A335" s="470"/>
      <c r="B335" s="461" t="s">
        <v>372</v>
      </c>
      <c r="C335" s="462">
        <v>4.8061475929382178</v>
      </c>
      <c r="D335" s="463">
        <v>0</v>
      </c>
      <c r="E335" s="463">
        <v>0</v>
      </c>
      <c r="F335" s="463">
        <v>0</v>
      </c>
      <c r="G335" s="463">
        <v>0</v>
      </c>
      <c r="H335" s="463">
        <v>3.2430377279682112</v>
      </c>
      <c r="I335" s="462">
        <v>3.0228483013241716</v>
      </c>
      <c r="J335" s="462">
        <v>-100</v>
      </c>
      <c r="K335" s="463">
        <v>0</v>
      </c>
      <c r="L335" s="463">
        <v>0</v>
      </c>
      <c r="M335" s="463">
        <v>0.78927738109818202</v>
      </c>
      <c r="N335" s="463">
        <v>0</v>
      </c>
      <c r="O335" s="462">
        <v>12.707581363270199</v>
      </c>
      <c r="P335" s="462">
        <v>0</v>
      </c>
      <c r="Q335" s="463">
        <v>0</v>
      </c>
      <c r="R335" s="463">
        <v>0</v>
      </c>
      <c r="S335" s="464">
        <v>0</v>
      </c>
    </row>
    <row r="336" spans="1:19">
      <c r="A336" s="470"/>
      <c r="B336" s="77" t="s">
        <v>374</v>
      </c>
      <c r="C336" s="127">
        <v>0</v>
      </c>
      <c r="D336" s="129">
        <v>0</v>
      </c>
      <c r="E336" s="129">
        <v>0</v>
      </c>
      <c r="F336" s="129">
        <v>0</v>
      </c>
      <c r="G336" s="129">
        <v>0</v>
      </c>
      <c r="H336" s="129">
        <v>0</v>
      </c>
      <c r="I336" s="127">
        <v>0</v>
      </c>
      <c r="J336" s="127">
        <v>0</v>
      </c>
      <c r="K336" s="129">
        <v>0</v>
      </c>
      <c r="L336" s="129">
        <v>0</v>
      </c>
      <c r="M336" s="129">
        <v>0</v>
      </c>
      <c r="N336" s="129">
        <v>0</v>
      </c>
      <c r="O336" s="127">
        <v>0</v>
      </c>
      <c r="P336" s="127">
        <v>0</v>
      </c>
      <c r="Q336" s="129">
        <v>0</v>
      </c>
      <c r="R336" s="129">
        <v>0</v>
      </c>
      <c r="S336" s="128">
        <v>0</v>
      </c>
    </row>
    <row r="337" spans="1:19">
      <c r="A337" s="470"/>
      <c r="B337" s="80" t="s">
        <v>376</v>
      </c>
      <c r="C337" s="458">
        <v>0</v>
      </c>
      <c r="D337" s="459">
        <v>0</v>
      </c>
      <c r="E337" s="459">
        <v>0</v>
      </c>
      <c r="F337" s="459">
        <v>0</v>
      </c>
      <c r="G337" s="459">
        <v>0</v>
      </c>
      <c r="H337" s="459">
        <v>0</v>
      </c>
      <c r="I337" s="458">
        <v>0</v>
      </c>
      <c r="J337" s="458">
        <v>0</v>
      </c>
      <c r="K337" s="459">
        <v>0</v>
      </c>
      <c r="L337" s="459">
        <v>0</v>
      </c>
      <c r="M337" s="459">
        <v>0</v>
      </c>
      <c r="N337" s="459">
        <v>0</v>
      </c>
      <c r="O337" s="458">
        <v>0</v>
      </c>
      <c r="P337" s="458">
        <v>0</v>
      </c>
      <c r="Q337" s="459">
        <v>0</v>
      </c>
      <c r="R337" s="459">
        <v>0</v>
      </c>
      <c r="S337" s="460">
        <v>0</v>
      </c>
    </row>
    <row r="338" spans="1:19">
      <c r="A338" s="470"/>
      <c r="B338" s="461" t="s">
        <v>378</v>
      </c>
      <c r="C338" s="462">
        <v>0</v>
      </c>
      <c r="D338" s="463">
        <v>0</v>
      </c>
      <c r="E338" s="463">
        <v>0</v>
      </c>
      <c r="F338" s="463">
        <v>0</v>
      </c>
      <c r="G338" s="463">
        <v>0</v>
      </c>
      <c r="H338" s="463">
        <v>0</v>
      </c>
      <c r="I338" s="462">
        <v>0</v>
      </c>
      <c r="J338" s="462">
        <v>0</v>
      </c>
      <c r="K338" s="463">
        <v>0</v>
      </c>
      <c r="L338" s="463">
        <v>0</v>
      </c>
      <c r="M338" s="463">
        <v>0</v>
      </c>
      <c r="N338" s="463">
        <v>0</v>
      </c>
      <c r="O338" s="462">
        <v>0</v>
      </c>
      <c r="P338" s="462">
        <v>0</v>
      </c>
      <c r="Q338" s="463">
        <v>0</v>
      </c>
      <c r="R338" s="463">
        <v>0</v>
      </c>
      <c r="S338" s="464">
        <v>0</v>
      </c>
    </row>
    <row r="339" spans="1:19">
      <c r="A339" s="470"/>
      <c r="B339" s="77" t="s">
        <v>380</v>
      </c>
      <c r="C339" s="127">
        <v>72369.46640096503</v>
      </c>
      <c r="D339" s="129">
        <v>0</v>
      </c>
      <c r="E339" s="129">
        <v>59657.761864628825</v>
      </c>
      <c r="F339" s="129">
        <v>0</v>
      </c>
      <c r="G339" s="129">
        <v>0</v>
      </c>
      <c r="H339" s="129">
        <v>52961.789412499995</v>
      </c>
      <c r="I339" s="127">
        <v>62001.770349976403</v>
      </c>
      <c r="J339" s="127">
        <v>46753.513697619048</v>
      </c>
      <c r="K339" s="129">
        <v>0</v>
      </c>
      <c r="L339" s="129">
        <v>50163.960872413794</v>
      </c>
      <c r="M339" s="129">
        <v>43990.265597647056</v>
      </c>
      <c r="N339" s="129">
        <v>0</v>
      </c>
      <c r="O339" s="127">
        <v>45214.72029958506</v>
      </c>
      <c r="P339" s="127">
        <v>0</v>
      </c>
      <c r="Q339" s="129">
        <v>0</v>
      </c>
      <c r="R339" s="129">
        <v>0</v>
      </c>
      <c r="S339" s="128">
        <v>0</v>
      </c>
    </row>
    <row r="340" spans="1:19">
      <c r="A340" s="470"/>
      <c r="B340" s="80" t="s">
        <v>382</v>
      </c>
      <c r="C340" s="458">
        <v>76121.643017449664</v>
      </c>
      <c r="D340" s="459">
        <v>0</v>
      </c>
      <c r="E340" s="459">
        <v>60802.600737662331</v>
      </c>
      <c r="F340" s="459">
        <v>0</v>
      </c>
      <c r="G340" s="459">
        <v>0</v>
      </c>
      <c r="H340" s="459">
        <v>55314.576395928147</v>
      </c>
      <c r="I340" s="458">
        <v>64961.76252350524</v>
      </c>
      <c r="J340" s="458">
        <v>47024.646954022988</v>
      </c>
      <c r="K340" s="459">
        <v>0</v>
      </c>
      <c r="L340" s="459">
        <v>54917.659460000003</v>
      </c>
      <c r="M340" s="459">
        <v>45176.843276502732</v>
      </c>
      <c r="N340" s="459">
        <v>0</v>
      </c>
      <c r="O340" s="458">
        <v>46629.4902374269</v>
      </c>
      <c r="P340" s="458">
        <v>0</v>
      </c>
      <c r="Q340" s="459">
        <v>0</v>
      </c>
      <c r="R340" s="459">
        <v>0</v>
      </c>
      <c r="S340" s="460">
        <v>0</v>
      </c>
    </row>
    <row r="341" spans="1:19">
      <c r="A341" s="475"/>
      <c r="B341" s="476" t="s">
        <v>384</v>
      </c>
      <c r="C341" s="477">
        <v>5.1847509772914391</v>
      </c>
      <c r="D341" s="478">
        <v>0</v>
      </c>
      <c r="E341" s="478">
        <v>1.9190107661619855</v>
      </c>
      <c r="F341" s="478">
        <v>0</v>
      </c>
      <c r="G341" s="478">
        <v>0</v>
      </c>
      <c r="H341" s="478">
        <v>4.4424235085849446</v>
      </c>
      <c r="I341" s="477">
        <v>4.7740446068246243</v>
      </c>
      <c r="J341" s="477">
        <v>0.57992059839076426</v>
      </c>
      <c r="K341" s="478">
        <v>0</v>
      </c>
      <c r="L341" s="478">
        <v>9.4763222538919702</v>
      </c>
      <c r="M341" s="478">
        <v>2.6973642071375523</v>
      </c>
      <c r="N341" s="478">
        <v>0</v>
      </c>
      <c r="O341" s="477">
        <v>3.1290029629019367</v>
      </c>
      <c r="P341" s="477">
        <v>0</v>
      </c>
      <c r="Q341" s="478">
        <v>0</v>
      </c>
      <c r="R341" s="478">
        <v>0</v>
      </c>
      <c r="S341" s="479">
        <v>0</v>
      </c>
    </row>
    <row r="342" spans="1:19">
      <c r="A342" s="473" t="s">
        <v>345</v>
      </c>
      <c r="B342" s="480"/>
      <c r="C342" s="453">
        <v>111043.25527239376</v>
      </c>
      <c r="D342" s="481">
        <v>105733.97902938999</v>
      </c>
      <c r="E342" s="481">
        <v>81862.133818327347</v>
      </c>
      <c r="F342" s="481">
        <v>77902.537239022044</v>
      </c>
      <c r="G342" s="481">
        <v>73044.43250866601</v>
      </c>
      <c r="H342" s="481">
        <v>72723.514704607049</v>
      </c>
      <c r="I342" s="453">
        <v>99096.554312458014</v>
      </c>
      <c r="J342" s="453">
        <v>61114.619099999996</v>
      </c>
      <c r="K342" s="481">
        <v>67325.87434257679</v>
      </c>
      <c r="L342" s="481">
        <v>59280.872887035737</v>
      </c>
      <c r="M342" s="481">
        <v>59898.010665189875</v>
      </c>
      <c r="N342" s="481">
        <v>65637.145963461546</v>
      </c>
      <c r="O342" s="453">
        <v>64047.054044905082</v>
      </c>
      <c r="P342" s="453">
        <v>62839.218274999999</v>
      </c>
      <c r="Q342" s="481">
        <v>0</v>
      </c>
      <c r="R342" s="481">
        <v>0</v>
      </c>
      <c r="S342" s="454">
        <v>62839.218274999999</v>
      </c>
    </row>
    <row r="343" spans="1:19">
      <c r="A343" s="469" t="s">
        <v>347</v>
      </c>
      <c r="B343" s="78"/>
      <c r="C343" s="130">
        <v>114556.91306867571</v>
      </c>
      <c r="D343" s="131">
        <v>108402.64002258034</v>
      </c>
      <c r="E343" s="131">
        <v>84026.469409756945</v>
      </c>
      <c r="F343" s="131">
        <v>79953.119825970629</v>
      </c>
      <c r="G343" s="131">
        <v>74885.944676761908</v>
      </c>
      <c r="H343" s="131">
        <v>75325.02144183006</v>
      </c>
      <c r="I343" s="130">
        <v>101919.63016437185</v>
      </c>
      <c r="J343" s="130">
        <v>62807.086692500001</v>
      </c>
      <c r="K343" s="131">
        <v>69583.194436264588</v>
      </c>
      <c r="L343" s="131">
        <v>61415.579837158475</v>
      </c>
      <c r="M343" s="131">
        <v>61638.998725308644</v>
      </c>
      <c r="N343" s="131">
        <v>67923.747558333329</v>
      </c>
      <c r="O343" s="130">
        <v>66340.837792689941</v>
      </c>
      <c r="P343" s="130">
        <v>63245.396475000001</v>
      </c>
      <c r="Q343" s="131">
        <v>0</v>
      </c>
      <c r="R343" s="131">
        <v>0</v>
      </c>
      <c r="S343" s="452">
        <v>63245.396475000001</v>
      </c>
    </row>
    <row r="344" spans="1:19">
      <c r="A344" s="469" t="s">
        <v>349</v>
      </c>
      <c r="B344" s="78"/>
      <c r="C344" s="465">
        <v>3.1642244165688478</v>
      </c>
      <c r="D344" s="466">
        <v>2.5239388677962888</v>
      </c>
      <c r="E344" s="466">
        <v>2.6438787880032564</v>
      </c>
      <c r="F344" s="466">
        <v>2.6322410792050954</v>
      </c>
      <c r="G344" s="466">
        <v>2.5210849134565056</v>
      </c>
      <c r="H344" s="466">
        <v>3.5772566105887145</v>
      </c>
      <c r="I344" s="465">
        <v>2.8488133331180081</v>
      </c>
      <c r="J344" s="465">
        <v>2.769333454783824</v>
      </c>
      <c r="K344" s="466">
        <v>3.3528270011047927</v>
      </c>
      <c r="L344" s="466">
        <v>3.6010045840427924</v>
      </c>
      <c r="M344" s="466">
        <v>2.9065874488725809</v>
      </c>
      <c r="N344" s="466">
        <v>3.4837005194355548</v>
      </c>
      <c r="O344" s="465">
        <v>3.5814039880376485</v>
      </c>
      <c r="P344" s="465">
        <v>0.64637691421058996</v>
      </c>
      <c r="Q344" s="466">
        <v>0</v>
      </c>
      <c r="R344" s="466">
        <v>0</v>
      </c>
      <c r="S344" s="467">
        <v>0.64637691421058996</v>
      </c>
    </row>
    <row r="345" spans="1:19">
      <c r="A345" s="469" t="s">
        <v>351</v>
      </c>
      <c r="B345" s="78"/>
      <c r="C345" s="130">
        <v>77021.776877411656</v>
      </c>
      <c r="D345" s="131">
        <v>75624.58360835645</v>
      </c>
      <c r="E345" s="131">
        <v>66490.985467010149</v>
      </c>
      <c r="F345" s="131">
        <v>63840.198454381658</v>
      </c>
      <c r="G345" s="131">
        <v>62068.729727704922</v>
      </c>
      <c r="H345" s="131">
        <v>60183.514989310825</v>
      </c>
      <c r="I345" s="130">
        <v>71680.161569766409</v>
      </c>
      <c r="J345" s="130">
        <v>55014.447817204302</v>
      </c>
      <c r="K345" s="131">
        <v>55312.814048099892</v>
      </c>
      <c r="L345" s="131">
        <v>51143.066895041949</v>
      </c>
      <c r="M345" s="131">
        <v>51460.814624736842</v>
      </c>
      <c r="N345" s="131">
        <v>57505.440967346942</v>
      </c>
      <c r="O345" s="130">
        <v>54008.253173023695</v>
      </c>
      <c r="P345" s="130">
        <v>50837.041372413798</v>
      </c>
      <c r="Q345" s="131">
        <v>0</v>
      </c>
      <c r="R345" s="131">
        <v>0</v>
      </c>
      <c r="S345" s="452">
        <v>50837.041372413798</v>
      </c>
    </row>
    <row r="346" spans="1:19">
      <c r="A346" s="469" t="s">
        <v>353</v>
      </c>
      <c r="B346" s="78"/>
      <c r="C346" s="130">
        <v>79142.41944811272</v>
      </c>
      <c r="D346" s="131">
        <v>77734.712706135993</v>
      </c>
      <c r="E346" s="131">
        <v>68056.847834365923</v>
      </c>
      <c r="F346" s="131">
        <v>65678.246447792015</v>
      </c>
      <c r="G346" s="131">
        <v>63382.205269537488</v>
      </c>
      <c r="H346" s="131">
        <v>61720.689142465752</v>
      </c>
      <c r="I346" s="130">
        <v>73623.308864481543</v>
      </c>
      <c r="J346" s="130">
        <v>55450.755145283023</v>
      </c>
      <c r="K346" s="131">
        <v>57756.160503863524</v>
      </c>
      <c r="L346" s="131">
        <v>51483.031854062043</v>
      </c>
      <c r="M346" s="131">
        <v>52468.564024083767</v>
      </c>
      <c r="N346" s="131">
        <v>59901.250379874211</v>
      </c>
      <c r="O346" s="130">
        <v>55655.11513281145</v>
      </c>
      <c r="P346" s="130">
        <v>50188.768854545458</v>
      </c>
      <c r="Q346" s="131">
        <v>0</v>
      </c>
      <c r="R346" s="131">
        <v>0</v>
      </c>
      <c r="S346" s="452">
        <v>50188.768854545458</v>
      </c>
    </row>
    <row r="347" spans="1:19">
      <c r="A347" s="469" t="s">
        <v>355</v>
      </c>
      <c r="B347" s="78"/>
      <c r="C347" s="130">
        <v>2.7533025810041902</v>
      </c>
      <c r="D347" s="131">
        <v>2.7902687156698289</v>
      </c>
      <c r="E347" s="131">
        <v>2.3549994880624605</v>
      </c>
      <c r="F347" s="131">
        <v>2.8791389091996202</v>
      </c>
      <c r="G347" s="131">
        <v>2.1161630785659278</v>
      </c>
      <c r="H347" s="131">
        <v>2.5541448574878749</v>
      </c>
      <c r="I347" s="130">
        <v>2.7108578610329528</v>
      </c>
      <c r="J347" s="130">
        <v>0.79307771938097638</v>
      </c>
      <c r="K347" s="131">
        <v>4.4173244442759758</v>
      </c>
      <c r="L347" s="131">
        <v>0.66473322712105709</v>
      </c>
      <c r="M347" s="131">
        <v>1.9582849721591997</v>
      </c>
      <c r="N347" s="131">
        <v>4.1662308335095997</v>
      </c>
      <c r="O347" s="130">
        <v>3.049278328835745</v>
      </c>
      <c r="P347" s="130">
        <v>-1.2751971797873312</v>
      </c>
      <c r="Q347" s="131">
        <v>0</v>
      </c>
      <c r="R347" s="131">
        <v>0</v>
      </c>
      <c r="S347" s="452">
        <v>-1.2751971797873312</v>
      </c>
    </row>
    <row r="348" spans="1:19">
      <c r="A348" s="469" t="s">
        <v>357</v>
      </c>
      <c r="B348" s="78"/>
      <c r="C348" s="130">
        <v>66271.678559616979</v>
      </c>
      <c r="D348" s="131">
        <v>63786.035814987314</v>
      </c>
      <c r="E348" s="131">
        <v>56058.082629683886</v>
      </c>
      <c r="F348" s="131">
        <v>54341.048195581119</v>
      </c>
      <c r="G348" s="131">
        <v>51896.479077941178</v>
      </c>
      <c r="H348" s="131">
        <v>50076.010441714287</v>
      </c>
      <c r="I348" s="130">
        <v>60104.684766470724</v>
      </c>
      <c r="J348" s="130">
        <v>45158.621819130436</v>
      </c>
      <c r="K348" s="131">
        <v>49692.006589972894</v>
      </c>
      <c r="L348" s="131">
        <v>45368.136037311175</v>
      </c>
      <c r="M348" s="131">
        <v>44592.023162135927</v>
      </c>
      <c r="N348" s="131">
        <v>51409.982000596123</v>
      </c>
      <c r="O348" s="130">
        <v>47892.462935117554</v>
      </c>
      <c r="P348" s="130">
        <v>45347.684432432434</v>
      </c>
      <c r="Q348" s="131">
        <v>0</v>
      </c>
      <c r="R348" s="131">
        <v>0</v>
      </c>
      <c r="S348" s="452">
        <v>45347.684432432434</v>
      </c>
    </row>
    <row r="349" spans="1:19">
      <c r="A349" s="469" t="s">
        <v>359</v>
      </c>
      <c r="B349" s="78"/>
      <c r="C349" s="130">
        <v>68104.659330427006</v>
      </c>
      <c r="D349" s="131">
        <v>65641.698820042933</v>
      </c>
      <c r="E349" s="131">
        <v>57587.576754996117</v>
      </c>
      <c r="F349" s="131">
        <v>55731.656692549972</v>
      </c>
      <c r="G349" s="131">
        <v>53178.318540029293</v>
      </c>
      <c r="H349" s="131">
        <v>51686.305743996098</v>
      </c>
      <c r="I349" s="130">
        <v>61770.329631887864</v>
      </c>
      <c r="J349" s="130">
        <v>46359.8908944</v>
      </c>
      <c r="K349" s="131">
        <v>52973.430956902761</v>
      </c>
      <c r="L349" s="131">
        <v>45749.834553437082</v>
      </c>
      <c r="M349" s="131">
        <v>45564.720740915065</v>
      </c>
      <c r="N349" s="131">
        <v>54143.926242608693</v>
      </c>
      <c r="O349" s="130">
        <v>49965.63131539349</v>
      </c>
      <c r="P349" s="130">
        <v>44668.492733333333</v>
      </c>
      <c r="Q349" s="131">
        <v>0</v>
      </c>
      <c r="R349" s="131">
        <v>0</v>
      </c>
      <c r="S349" s="452">
        <v>44668.492733333333</v>
      </c>
    </row>
    <row r="350" spans="1:19">
      <c r="A350" s="469" t="s">
        <v>361</v>
      </c>
      <c r="B350" s="78"/>
      <c r="C350" s="130">
        <v>2.7658583736657669</v>
      </c>
      <c r="D350" s="131">
        <v>2.9091994530558498</v>
      </c>
      <c r="E350" s="131">
        <v>2.7284096308037702</v>
      </c>
      <c r="F350" s="131">
        <v>2.5590387803412549</v>
      </c>
      <c r="G350" s="131">
        <v>2.4699931187296418</v>
      </c>
      <c r="H350" s="131">
        <v>3.2157020658746482</v>
      </c>
      <c r="I350" s="130">
        <v>2.771239666073944</v>
      </c>
      <c r="J350" s="130">
        <v>2.6601101337434367</v>
      </c>
      <c r="K350" s="131">
        <v>6.6035255810982063</v>
      </c>
      <c r="L350" s="131">
        <v>0.84133612148401871</v>
      </c>
      <c r="M350" s="131">
        <v>2.1813264117719533</v>
      </c>
      <c r="N350" s="131">
        <v>5.3179249157894457</v>
      </c>
      <c r="O350" s="130">
        <v>4.328798840612075</v>
      </c>
      <c r="P350" s="130">
        <v>-1.4977428453068857</v>
      </c>
      <c r="Q350" s="131">
        <v>0</v>
      </c>
      <c r="R350" s="131">
        <v>0</v>
      </c>
      <c r="S350" s="452">
        <v>-1.4977428453068857</v>
      </c>
    </row>
    <row r="351" spans="1:19">
      <c r="A351" s="469" t="s">
        <v>363</v>
      </c>
      <c r="B351" s="78"/>
      <c r="C351" s="130">
        <v>44247.207194338916</v>
      </c>
      <c r="D351" s="131">
        <v>43251.662831334972</v>
      </c>
      <c r="E351" s="131">
        <v>41643.252647522604</v>
      </c>
      <c r="F351" s="131">
        <v>42507.535090624995</v>
      </c>
      <c r="G351" s="131">
        <v>41445.188895058141</v>
      </c>
      <c r="H351" s="131">
        <v>40528.967606511622</v>
      </c>
      <c r="I351" s="130">
        <v>42688.887883102929</v>
      </c>
      <c r="J351" s="130">
        <v>39010.639516216215</v>
      </c>
      <c r="K351" s="131">
        <v>46436.244658854317</v>
      </c>
      <c r="L351" s="131">
        <v>41162.898900967295</v>
      </c>
      <c r="M351" s="131">
        <v>39397.513528638498</v>
      </c>
      <c r="N351" s="131">
        <v>44829.759869642854</v>
      </c>
      <c r="O351" s="130">
        <v>43756.600825887741</v>
      </c>
      <c r="P351" s="130">
        <v>40376.570129914529</v>
      </c>
      <c r="Q351" s="131">
        <v>38573.095888888885</v>
      </c>
      <c r="R351" s="131">
        <v>0</v>
      </c>
      <c r="S351" s="452">
        <v>39875.605062962961</v>
      </c>
    </row>
    <row r="352" spans="1:19">
      <c r="A352" s="469" t="s">
        <v>365</v>
      </c>
      <c r="B352" s="78"/>
      <c r="C352" s="130">
        <v>44978.440783942657</v>
      </c>
      <c r="D352" s="131">
        <v>44992.68283468976</v>
      </c>
      <c r="E352" s="131">
        <v>43054.379651493939</v>
      </c>
      <c r="F352" s="131">
        <v>44275.590021446689</v>
      </c>
      <c r="G352" s="131">
        <v>42646.203018523884</v>
      </c>
      <c r="H352" s="131">
        <v>41545.692904672898</v>
      </c>
      <c r="I352" s="130">
        <v>43959.861102362491</v>
      </c>
      <c r="J352" s="130">
        <v>39551.1905425</v>
      </c>
      <c r="K352" s="131">
        <v>49355.163059017359</v>
      </c>
      <c r="L352" s="131">
        <v>41904.960590800372</v>
      </c>
      <c r="M352" s="131">
        <v>39229.616163146551</v>
      </c>
      <c r="N352" s="131">
        <v>47726.916471497585</v>
      </c>
      <c r="O352" s="130">
        <v>45487.87791622588</v>
      </c>
      <c r="P352" s="130">
        <v>40363.982195238095</v>
      </c>
      <c r="Q352" s="131">
        <v>37892.874413636368</v>
      </c>
      <c r="R352" s="131">
        <v>0</v>
      </c>
      <c r="S352" s="452">
        <v>39724.401357647061</v>
      </c>
    </row>
    <row r="353" spans="1:19">
      <c r="A353" s="469" t="s">
        <v>367</v>
      </c>
      <c r="B353" s="78"/>
      <c r="C353" s="130">
        <v>1.6526095904586176</v>
      </c>
      <c r="D353" s="131">
        <v>4.025325015003709</v>
      </c>
      <c r="E353" s="131">
        <v>3.388608992470918</v>
      </c>
      <c r="F353" s="131">
        <v>4.1593918044230165</v>
      </c>
      <c r="G353" s="131">
        <v>2.897837253213603</v>
      </c>
      <c r="H353" s="131">
        <v>2.5086385324010161</v>
      </c>
      <c r="I353" s="130">
        <v>2.9772928794489331</v>
      </c>
      <c r="J353" s="130">
        <v>1.3856502558977151</v>
      </c>
      <c r="K353" s="131">
        <v>6.2858623077877844</v>
      </c>
      <c r="L353" s="131">
        <v>1.8027439991978782</v>
      </c>
      <c r="M353" s="131">
        <v>-0.42616233983878177</v>
      </c>
      <c r="N353" s="131">
        <v>6.4625744377823091</v>
      </c>
      <c r="O353" s="130">
        <v>3.9566078206739097</v>
      </c>
      <c r="P353" s="130">
        <v>-3.1176334780124954E-2</v>
      </c>
      <c r="Q353" s="131">
        <v>-1.7634609293791688</v>
      </c>
      <c r="R353" s="131">
        <v>0</v>
      </c>
      <c r="S353" s="452">
        <v>-0.37918849150289219</v>
      </c>
    </row>
    <row r="354" spans="1:19">
      <c r="A354" s="469" t="s">
        <v>369</v>
      </c>
      <c r="B354" s="78"/>
      <c r="C354" s="130">
        <v>50537.77631099533</v>
      </c>
      <c r="D354" s="131">
        <v>46516.885166104672</v>
      </c>
      <c r="E354" s="131">
        <v>44881.829462412905</v>
      </c>
      <c r="F354" s="131">
        <v>44221.411547555552</v>
      </c>
      <c r="G354" s="131">
        <v>44801.730074999999</v>
      </c>
      <c r="H354" s="131">
        <v>47786.307271038248</v>
      </c>
      <c r="I354" s="130">
        <v>47548.237675963857</v>
      </c>
      <c r="J354" s="130">
        <v>40372.282666666666</v>
      </c>
      <c r="K354" s="131">
        <v>45673.823004449383</v>
      </c>
      <c r="L354" s="131">
        <v>45965.999636717061</v>
      </c>
      <c r="M354" s="131">
        <v>41172.569257831325</v>
      </c>
      <c r="N354" s="131">
        <v>28185</v>
      </c>
      <c r="O354" s="130">
        <v>45410.584453153147</v>
      </c>
      <c r="P354" s="130">
        <v>0</v>
      </c>
      <c r="Q354" s="131">
        <v>24947</v>
      </c>
      <c r="R354" s="131">
        <v>0</v>
      </c>
      <c r="S354" s="452">
        <v>24947</v>
      </c>
    </row>
    <row r="355" spans="1:19">
      <c r="A355" s="469" t="s">
        <v>371</v>
      </c>
      <c r="B355" s="78"/>
      <c r="C355" s="130">
        <v>53395.312783088353</v>
      </c>
      <c r="D355" s="131">
        <v>48410.651960938143</v>
      </c>
      <c r="E355" s="131">
        <v>47103.136534921177</v>
      </c>
      <c r="F355" s="131">
        <v>45534.669768913511</v>
      </c>
      <c r="G355" s="131">
        <v>43751.059058725761</v>
      </c>
      <c r="H355" s="131">
        <v>49168.592681111106</v>
      </c>
      <c r="I355" s="130">
        <v>49744.05225430771</v>
      </c>
      <c r="J355" s="130">
        <v>0</v>
      </c>
      <c r="K355" s="131">
        <v>41244.39787398374</v>
      </c>
      <c r="L355" s="131">
        <v>46472.151392136024</v>
      </c>
      <c r="M355" s="131">
        <v>41515.043157518798</v>
      </c>
      <c r="N355" s="131">
        <v>0</v>
      </c>
      <c r="O355" s="130">
        <v>43117.61258039216</v>
      </c>
      <c r="P355" s="130">
        <v>0</v>
      </c>
      <c r="Q355" s="131">
        <v>25000</v>
      </c>
      <c r="R355" s="131">
        <v>0</v>
      </c>
      <c r="S355" s="452">
        <v>25000</v>
      </c>
    </row>
    <row r="356" spans="1:19">
      <c r="A356" s="469" t="s">
        <v>373</v>
      </c>
      <c r="B356" s="78"/>
      <c r="C356" s="130">
        <v>5.6542584195009749</v>
      </c>
      <c r="D356" s="131">
        <v>4.0711384437524565</v>
      </c>
      <c r="E356" s="131">
        <v>4.9492346883242488</v>
      </c>
      <c r="F356" s="131">
        <v>2.9697338357136918</v>
      </c>
      <c r="G356" s="131">
        <v>-2.3451572394980515</v>
      </c>
      <c r="H356" s="131">
        <v>2.8926391031487322</v>
      </c>
      <c r="I356" s="130">
        <v>4.6180777367777397</v>
      </c>
      <c r="J356" s="130">
        <v>-100</v>
      </c>
      <c r="K356" s="131">
        <v>-9.6979513408241385</v>
      </c>
      <c r="L356" s="131">
        <v>1.1011438006770891</v>
      </c>
      <c r="M356" s="131">
        <v>0.83180113813842693</v>
      </c>
      <c r="N356" s="131">
        <v>-100</v>
      </c>
      <c r="O356" s="130">
        <v>-5.0494216279609478</v>
      </c>
      <c r="P356" s="130">
        <v>0</v>
      </c>
      <c r="Q356" s="131">
        <v>0.21245039483705455</v>
      </c>
      <c r="R356" s="131">
        <v>0</v>
      </c>
      <c r="S356" s="452">
        <v>0.21245039483705455</v>
      </c>
    </row>
    <row r="357" spans="1:19">
      <c r="A357" s="469" t="s">
        <v>375</v>
      </c>
      <c r="B357" s="78"/>
      <c r="C357" s="130">
        <v>0</v>
      </c>
      <c r="D357" s="131">
        <v>0</v>
      </c>
      <c r="E357" s="131">
        <v>0</v>
      </c>
      <c r="F357" s="131">
        <v>0</v>
      </c>
      <c r="G357" s="131">
        <v>0</v>
      </c>
      <c r="H357" s="131">
        <v>0</v>
      </c>
      <c r="I357" s="130">
        <v>0</v>
      </c>
      <c r="J357" s="130">
        <v>56183.392485086333</v>
      </c>
      <c r="K357" s="131">
        <v>50410.92039629494</v>
      </c>
      <c r="L357" s="131">
        <v>48576.275957061807</v>
      </c>
      <c r="M357" s="131">
        <v>44626.981292135104</v>
      </c>
      <c r="N357" s="131">
        <v>0</v>
      </c>
      <c r="O357" s="130">
        <v>49402.10957594779</v>
      </c>
      <c r="P357" s="130">
        <v>45509.759080705728</v>
      </c>
      <c r="Q357" s="131">
        <v>42930.569981008201</v>
      </c>
      <c r="R357" s="131">
        <v>33423.37775639008</v>
      </c>
      <c r="S357" s="452">
        <v>43204.489235817877</v>
      </c>
    </row>
    <row r="358" spans="1:19">
      <c r="A358" s="469" t="s">
        <v>377</v>
      </c>
      <c r="B358" s="78"/>
      <c r="C358" s="130">
        <v>0</v>
      </c>
      <c r="D358" s="131">
        <v>0</v>
      </c>
      <c r="E358" s="131">
        <v>0</v>
      </c>
      <c r="F358" s="131">
        <v>0</v>
      </c>
      <c r="G358" s="131">
        <v>0</v>
      </c>
      <c r="H358" s="131">
        <v>0</v>
      </c>
      <c r="I358" s="130">
        <v>0</v>
      </c>
      <c r="J358" s="130">
        <v>56286.968463758923</v>
      </c>
      <c r="K358" s="131">
        <v>51372.610980209094</v>
      </c>
      <c r="L358" s="131">
        <v>49657.573469973169</v>
      </c>
      <c r="M358" s="131">
        <v>45676.641599815761</v>
      </c>
      <c r="N358" s="131">
        <v>0</v>
      </c>
      <c r="O358" s="130">
        <v>50445.942151370662</v>
      </c>
      <c r="P358" s="130">
        <v>45839.492787694966</v>
      </c>
      <c r="Q358" s="131">
        <v>44192.275317617234</v>
      </c>
      <c r="R358" s="131">
        <v>34482.075575237992</v>
      </c>
      <c r="S358" s="452">
        <v>43913.413931238254</v>
      </c>
    </row>
    <row r="359" spans="1:19">
      <c r="A359" s="469" t="s">
        <v>379</v>
      </c>
      <c r="B359" s="78"/>
      <c r="C359" s="130">
        <v>0</v>
      </c>
      <c r="D359" s="131">
        <v>0</v>
      </c>
      <c r="E359" s="131">
        <v>0</v>
      </c>
      <c r="F359" s="131">
        <v>0</v>
      </c>
      <c r="G359" s="131">
        <v>0</v>
      </c>
      <c r="H359" s="131">
        <v>0</v>
      </c>
      <c r="I359" s="130">
        <v>0</v>
      </c>
      <c r="J359" s="130">
        <v>0.18435337221774944</v>
      </c>
      <c r="K359" s="131">
        <v>1.9077028872990702</v>
      </c>
      <c r="L359" s="131">
        <v>2.2259786111787512</v>
      </c>
      <c r="M359" s="131">
        <v>2.3520755320854407</v>
      </c>
      <c r="N359" s="131">
        <v>0</v>
      </c>
      <c r="O359" s="130">
        <v>2.112931177196284</v>
      </c>
      <c r="P359" s="130">
        <v>0.72453406401140863</v>
      </c>
      <c r="Q359" s="131">
        <v>2.9389438275969582</v>
      </c>
      <c r="R359" s="131">
        <v>3.1675368856024835</v>
      </c>
      <c r="S359" s="452">
        <v>1.6408588736020895</v>
      </c>
    </row>
    <row r="360" spans="1:19">
      <c r="A360" s="469" t="s">
        <v>381</v>
      </c>
      <c r="B360" s="78"/>
      <c r="C360" s="130">
        <v>81433.13069913206</v>
      </c>
      <c r="D360" s="131">
        <v>74281.951840031674</v>
      </c>
      <c r="E360" s="131">
        <v>62011.006190104265</v>
      </c>
      <c r="F360" s="131">
        <v>59827.298751182912</v>
      </c>
      <c r="G360" s="131">
        <v>56623.087733783526</v>
      </c>
      <c r="H360" s="131">
        <v>55626.497813962305</v>
      </c>
      <c r="I360" s="130">
        <v>71243.174443001277</v>
      </c>
      <c r="J360" s="130">
        <v>54753.603977101091</v>
      </c>
      <c r="K360" s="131">
        <v>51947.87038657556</v>
      </c>
      <c r="L360" s="131">
        <v>48294.592125390045</v>
      </c>
      <c r="M360" s="131">
        <v>45142.732487999128</v>
      </c>
      <c r="N360" s="131">
        <v>54553.167952600088</v>
      </c>
      <c r="O360" s="130">
        <v>50188.461569031082</v>
      </c>
      <c r="P360" s="130">
        <v>45384.126612082568</v>
      </c>
      <c r="Q360" s="131">
        <v>42806.471485862472</v>
      </c>
      <c r="R360" s="131">
        <v>33423.37775639008</v>
      </c>
      <c r="S360" s="452">
        <v>43183.323701744761</v>
      </c>
    </row>
    <row r="361" spans="1:19">
      <c r="A361" s="469" t="s">
        <v>383</v>
      </c>
      <c r="B361" s="78"/>
      <c r="C361" s="130">
        <v>83508.957077602347</v>
      </c>
      <c r="D361" s="131">
        <v>75881.284717070026</v>
      </c>
      <c r="E361" s="131">
        <v>63536.789829631882</v>
      </c>
      <c r="F361" s="131">
        <v>61354.811343531808</v>
      </c>
      <c r="G361" s="131">
        <v>57874.349344080241</v>
      </c>
      <c r="H361" s="131">
        <v>57307.543573748415</v>
      </c>
      <c r="I361" s="130">
        <v>72997.97146246965</v>
      </c>
      <c r="J361" s="130">
        <v>54987.467202663429</v>
      </c>
      <c r="K361" s="131">
        <v>53462.165644622059</v>
      </c>
      <c r="L361" s="131">
        <v>49297.287910091953</v>
      </c>
      <c r="M361" s="131">
        <v>45576.256216099871</v>
      </c>
      <c r="N361" s="131">
        <v>57347.378781491716</v>
      </c>
      <c r="O361" s="130">
        <v>51451.692097044201</v>
      </c>
      <c r="P361" s="130">
        <v>45659.377434844864</v>
      </c>
      <c r="Q361" s="131">
        <v>44009.67154984596</v>
      </c>
      <c r="R361" s="131">
        <v>34482.075575237992</v>
      </c>
      <c r="S361" s="452">
        <v>43840.405358662356</v>
      </c>
    </row>
    <row r="362" spans="1:19">
      <c r="A362" s="471" t="s">
        <v>385</v>
      </c>
      <c r="B362" s="82"/>
      <c r="C362" s="455">
        <v>2.5491177370298641</v>
      </c>
      <c r="D362" s="456">
        <v>2.1530571524056903</v>
      </c>
      <c r="E362" s="456">
        <v>2.4605045672861574</v>
      </c>
      <c r="F362" s="456">
        <v>2.5532033440147481</v>
      </c>
      <c r="G362" s="456">
        <v>2.2098081548989139</v>
      </c>
      <c r="H362" s="456">
        <v>3.0220233626934636</v>
      </c>
      <c r="I362" s="455">
        <v>2.4631089689473531</v>
      </c>
      <c r="J362" s="455">
        <v>0.42711932836447364</v>
      </c>
      <c r="K362" s="456">
        <v>2.9150285599346248</v>
      </c>
      <c r="L362" s="456">
        <v>2.0762071705638396</v>
      </c>
      <c r="M362" s="456">
        <v>0.9603400242021064</v>
      </c>
      <c r="N362" s="456">
        <v>5.1219955389565079</v>
      </c>
      <c r="O362" s="455">
        <v>2.5169739986463306</v>
      </c>
      <c r="P362" s="455">
        <v>0.6064913953616039</v>
      </c>
      <c r="Q362" s="456">
        <v>2.8107901030358553</v>
      </c>
      <c r="R362" s="456">
        <v>3.1675368856024835</v>
      </c>
      <c r="S362" s="457">
        <v>1.521609734016482</v>
      </c>
    </row>
    <row r="363" spans="1:19">
      <c r="A363" s="472"/>
      <c r="B363" s="74"/>
      <c r="C363" s="159"/>
      <c r="D363" s="159"/>
      <c r="E363" s="155"/>
      <c r="F363" s="155"/>
      <c r="G363" s="155"/>
      <c r="H363" s="155"/>
      <c r="I363" s="155"/>
      <c r="J363" s="155"/>
      <c r="K363" s="155"/>
      <c r="L363" s="155"/>
      <c r="M363" s="155"/>
      <c r="N363" s="155"/>
      <c r="O363" s="155"/>
      <c r="P363" s="155"/>
      <c r="Q363" s="155"/>
      <c r="R363" s="155"/>
      <c r="S363" s="155"/>
    </row>
  </sheetData>
  <phoneticPr fontId="15" type="noConversion"/>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84" priority="229" stopIfTrue="1" operator="greaterThanOrEqual">
      <formula>10</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83" priority="230" stopIfTrue="1" operator="lessThanOrEqual">
      <formula>-5</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82" priority="227" stopIfTrue="1" operator="greaterThanOrEqual">
      <formula>10</formula>
    </cfRule>
    <cfRule type="cellIs" dxfId="281" priority="228" stopIfTrue="1" operator="lessThanOrEqual">
      <formula>-5</formula>
    </cfRule>
  </conditionalFormatting>
  <conditionalFormatting pivot="1" sqref="C8:S8 C56:S56 C77:S77 C98:S98 C119:S119 C140:S140 C161:S161 C182:S182 C203:S203 C224:S224 C245:S245 C266:S266 C287:S287 C308:S308 C329:S329 C350:S350 C68:S68 C89:S89 C110:S110 C131:S131 C152:S152 C173:S173 C194:S194 C215:S215 C236:S236 C257:S257 C278:S278 C299:S299 C320:S320 C341:S341 C362:S362 C65:S65 C86:S86 C107:S107 C128:S128 C149:S149 C170:S170 C191:S191 C212:S212 C233:S233 C254:S254 C275:S275 C296:S296 C317:S317 C338:S338 C359:S359 C62:S62 C83:S83 C104:S104 C125:S125 C146:S146 C167:S167 C188:S188 C209:S209 C230:S230 C251:S251 C272:S272 C293:S293 C314:S314 C335:S335 C356:S356 C59:S59 C80:S80 C101:S101 C122:S122 C143:S143 C164:S164 C185:S185 C206:S206 C227:S227 C248:S248 C269:S269 C290:S290 C311:S311 C332:S332 C353:S353 C53:S53 C74:S74 C95:S95 C116:S116 C137:S137 C158:S158 C179:S179 C200:S200 C221:S221 C242:S242 C263:S263 C284:S284 C305:S305 C326:S326 C347:S347 C50:S50 C71:S71 C92:S92 C113:S113 C134:S134 C155:S155 C176:S176 C197:S197 C218:S218 C239:S239 C260:S260 C281:S281 C302:S302 C323:S323 C344:S344 C11:S11 C14:S14 C17:S17 C20:S20 C23:S23 C26:S26 C32:S32 C35:S35 C38:S38 C41:S41 C44:S44 C47:S47 C29:S29">
    <cfRule type="cellIs" dxfId="280" priority="225" stopIfTrue="1" operator="greaterThanOrEqual">
      <formula>10</formula>
    </cfRule>
    <cfRule type="cellIs" dxfId="279" priority="226" stopIfTrue="1" operator="lessThanOrEqual">
      <formula>-5</formula>
    </cfRule>
  </conditionalFormatting>
  <conditionalFormatting pivot="1" sqref="C8:S8 C56:S56 C77:S77 C98:S98 C119:S119 C140:S140 C161:S161 C182:S182 C203:S203 C224:S224 C245:S245 C266:S266 C287:S287 C308:S308 C329:S329 C350:S350 C68:S68 C89:S89 C110:S110 C131:S131 C152:S152 C173:S173 C194:S194 C215:S215 C236:S236 C257:S257 C278:S278 C299:S299 C320:S320 C341:S341 C362:S362 C65:S65 C86:S86 C107:S107 C128:S128 C149:S149 C170:S170 C191:S191 C212:S212 C233:S233 C254:S254 C275:S275 C296:S296 C317:S317 C338:S338 C359:S359 C62:S62 C83:S83 C104:S104 C125:S125 C146:S146 C167:S167 C188:S188 C209:S209 C230:S230 C251:S251 C272:S272 C293:S293 C314:S314 C335:S335 C356:S356 C59:S59 C80:S80 C101:S101 C122:S122 C143:S143 C164:S164 C185:S185 C206:S206 C227:S227 C248:S248 C269:S269 C290:S290 C311:S311 C332:S332 C353:S353 C53:S53 C74:S74 C95:S95 C116:S116 C137:S137 C158:S158 C179:S179 C200:S200 C221:S221 C242:S242 C263:S263 C284:S284 C305:S305 C326:S326 C347:S347 C50:S50 C71:S71 C92:S92 C113:S113 C134:S134 C155:S155 C176:S176 C197:S197 C218:S218 C239:S239 C260:S260 C281:S281 C302:S302 C323:S323 C344:S344 C11:S11 C14:S14 C17:S17 C20:S20 C23:S23 C26:S26 C32:S32 C35:S35 C38:S38 C41:S41 C44:S44 C47:S47 C29:S29">
    <cfRule type="cellIs" dxfId="278" priority="223" stopIfTrue="1" operator="greaterThanOrEqual">
      <formula>10</formula>
    </cfRule>
    <cfRule type="cellIs" dxfId="277" priority="224" stopIfTrue="1" operator="lessThanOrEqual">
      <formula>-5</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76" priority="222" stopIfTrue="1" operator="greaterThanOrEqual">
      <formula>10</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75" priority="221" stopIfTrue="1" operator="lessThanOrEqual">
      <formula>-5</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74" priority="219" stopIfTrue="1" operator="greaterThanOrEqual">
      <formula>10</formula>
    </cfRule>
    <cfRule type="cellIs" dxfId="273" priority="220" stopIfTrue="1" operator="lessThanOrEqual">
      <formula>-5</formula>
    </cfRule>
  </conditionalFormatting>
  <conditionalFormatting pivot="1" sqref="C8:S8 C56:S56 C77:S77 C98:S98 C119:S119 C140:S140 C161:S161 C182:S182 C203:S203 C224:S224 C245:S245 C266:S266 C287:S287 C308:S308 C329:S329 C350:S350 C68:S68 C89:S89 C110:S110 C131:S131 C152:S152 C173:S173 C194:S194 C215:S215 C236:S236 C257:S257 C278:S278 C299:S299 C320:S320 C341:S341 C362:S362 C65:S65 C86:S86 C107:S107 C128:S128 C149:S149 C170:S170 C191:S191 C212:S212 C233:S233 C254:S254 C275:S275 C296:S296 C317:S317 C338:S338 C359:S359 C62:S62 C83:S83 C104:S104 C125:S125 C146:S146 C167:S167 C188:S188 C209:S209 C230:S230 C251:S251 C272:S272 C293:S293 C314:S314 C335:S335 C356:S356 C59:S59 C80:S80 C101:S101 C122:S122 C143:S143 C164:S164 C185:S185 C206:S206 C227:S227 C248:S248 C269:S269 C290:S290 C311:S311 C332:S332 C353:S353 C53:S53 C74:S74 C95:S95 C116:S116 C137:S137 C158:S158 C179:S179 C200:S200 C221:S221 C242:S242 C263:S263 C284:S284 C305:S305 C326:S326 C347:S347 C50:S50 C71:S71 C92:S92 C113:S113 C134:S134 C155:S155 C176:S176 C197:S197 C218:S218 C239:S239 C260:S260 C281:S281 C302:S302 C323:S323 C344:S344 C11:S11 C14:S14 C17:S17 C20:S20 C23:S23 C26:S26 C32:S32 C35:S35 C38:S38 C41:S41 C44:S44 C47:S47 C29:S29">
    <cfRule type="cellIs" dxfId="272" priority="217" stopIfTrue="1" operator="greaterThanOrEqual">
      <formula>10</formula>
    </cfRule>
    <cfRule type="cellIs" dxfId="271" priority="218" stopIfTrue="1" operator="lessThanOrEqual">
      <formula>-5</formula>
    </cfRule>
  </conditionalFormatting>
  <conditionalFormatting pivot="1" sqref="C8:S8 C56:S56 C77:S77 C98:S98 C119:S119 C140:S140 C161:S161 C182:S182 C203:S203 C224:S224 C245:S245 C266:S266 C287:S287 C308:S308 C329:S329 C350:S350 C68:S68 C89:S89 C110:S110 C131:S131 C152:S152 C173:S173 C194:S194 C215:S215 C236:S236 C257:S257 C278:S278 C299:S299 C320:S320 C341:S341 C362:S362 C65:S65 C86:S86 C107:S107 C128:S128 C149:S149 C170:S170 C191:S191 C212:S212 C233:S233 C254:S254 C275:S275 C296:S296 C317:S317 C338:S338 C359:S359 C62:S62 C83:S83 C104:S104 C125:S125 C146:S146 C167:S167 C188:S188 C209:S209 C230:S230 C251:S251 C272:S272 C293:S293 C314:S314 C335:S335 C356:S356 C59:S59 C80:S80 C101:S101 C122:S122 C143:S143 C164:S164 C185:S185 C206:S206 C227:S227 C248:S248 C269:S269 C290:S290 C311:S311 C332:S332 C353:S353 C53:S53 C74:S74 C95:S95 C116:S116 C137:S137 C158:S158 C179:S179 C200:S200 C221:S221 C242:S242 C263:S263 C284:S284 C305:S305 C326:S326 C347:S347 C50:S50 C71:S71 C92:S92 C113:S113 C134:S134 C155:S155 C176:S176 C197:S197 C218:S218 C239:S239 C260:S260 C281:S281 C302:S302 C323:S323 C344:S344 C11:S11 C14:S14 C17:S17 C20:S20 C23:S23 C26:S26 C32:S32 C35:S35 C38:S38 C41:S41 C44:S44 C47:S47 C29:S29">
    <cfRule type="cellIs" dxfId="270" priority="215" stopIfTrue="1" operator="greaterThanOrEqual">
      <formula>10</formula>
    </cfRule>
    <cfRule type="cellIs" dxfId="269" priority="216" stopIfTrue="1" operator="lessThanOrEqual">
      <formula>-5</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68" priority="214" stopIfTrue="1" operator="greaterThanOrEqual">
      <formula>10</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67" priority="213" stopIfTrue="1" operator="lessThanOrEqual">
      <formula>-5</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66" priority="211" stopIfTrue="1" operator="greaterThanOrEqual">
      <formula>10</formula>
    </cfRule>
    <cfRule type="cellIs" dxfId="265" priority="212" stopIfTrue="1" operator="lessThanOrEqual">
      <formula>-5</formula>
    </cfRule>
  </conditionalFormatting>
  <conditionalFormatting pivot="1" sqref="C8:S8 C56:S56 C77:S77 C98:S98 C119:S119 C140:S140 C161:S161 C182:S182 C203:S203 C224:S224 C245:S245 C266:S266 C287:S287 C308:S308 C329:S329 C350:S350 C68:S68 C89:S89 C110:S110 C131:S131 C152:S152 C173:S173 C194:S194 C215:S215 C236:S236 C257:S257 C278:S278 C299:S299 C320:S320 C341:S341 C362:S362 C65:S65 C86:S86 C107:S107 C128:S128 C149:S149 C170:S170 C191:S191 C212:S212 C233:S233 C254:S254 C275:S275 C296:S296 C317:S317 C338:S338 C359:S359 C62:S62 C83:S83 C104:S104 C125:S125 C146:S146 C167:S167 C188:S188 C209:S209 C230:S230 C251:S251 C272:S272 C293:S293 C314:S314 C335:S335 C356:S356 C59:S59 C80:S80 C101:S101 C122:S122 C143:S143 C164:S164 C185:S185 C206:S206 C227:S227 C248:S248 C269:S269 C290:S290 C311:S311 C332:S332 C353:S353 C53:S53 C74:S74 C95:S95 C116:S116 C137:S137 C158:S158 C179:S179 C200:S200 C221:S221 C242:S242 C263:S263 C284:S284 C305:S305 C326:S326 C347:S347 C50:S50 C71:S71 C92:S92 C113:S113 C134:S134 C155:S155 C176:S176 C197:S197 C218:S218 C239:S239 C260:S260 C281:S281 C302:S302 C323:S323 C344:S344 C11:S11 C14:S14 C17:S17 C20:S20 C23:S23 C26:S26 C32:S32 C35:S35 C38:S38 C41:S41 C44:S44 C47:S47 C29:S29">
    <cfRule type="cellIs" dxfId="264" priority="209" stopIfTrue="1" operator="greaterThanOrEqual">
      <formula>10</formula>
    </cfRule>
    <cfRule type="cellIs" dxfId="263" priority="210" stopIfTrue="1" operator="lessThanOrEqual">
      <formula>-5</formula>
    </cfRule>
  </conditionalFormatting>
  <conditionalFormatting pivot="1" sqref="C8:S8 C56:S56 C77:S77 C98:S98 C119:S119 C140:S140 C161:S161 C182:S182 C203:S203 C224:S224 C245:S245 C266:S266 C287:S287 C308:S308 C329:S329 C350:S350 C68:S68 C89:S89 C110:S110 C131:S131 C152:S152 C173:S173 C194:S194 C215:S215 C236:S236 C257:S257 C278:S278 C299:S299 C320:S320 C341:S341 C362:S362 C65:S65 C86:S86 C107:S107 C128:S128 C149:S149 C170:S170 C191:S191 C212:S212 C233:S233 C254:S254 C275:S275 C296:S296 C317:S317 C338:S338 C359:S359 C62:S62 C83:S83 C104:S104 C125:S125 C146:S146 C167:S167 C188:S188 C209:S209 C230:S230 C251:S251 C272:S272 C293:S293 C314:S314 C335:S335 C356:S356 C59:S59 C80:S80 C101:S101 C122:S122 C143:S143 C164:S164 C185:S185 C206:S206 C227:S227 C248:S248 C269:S269 C290:S290 C311:S311 C332:S332 C353:S353 C53:S53 C74:S74 C95:S95 C116:S116 C137:S137 C158:S158 C179:S179 C200:S200 C221:S221 C242:S242 C263:S263 C284:S284 C305:S305 C326:S326 C347:S347 C50:S50 C71:S71 C92:S92 C113:S113 C134:S134 C155:S155 C176:S176 C197:S197 C218:S218 C239:S239 C260:S260 C281:S281 C302:S302 C323:S323 C344:S344 C11:S11 C14:S14 C17:S17 C20:S20 C23:S23 C26:S26 C32:S32 C35:S35 C38:S38 C41:S41 C44:S44 C47:S47 C29:S29">
    <cfRule type="cellIs" dxfId="262" priority="207" stopIfTrue="1" operator="greaterThanOrEqual">
      <formula>10</formula>
    </cfRule>
    <cfRule type="cellIs" dxfId="261" priority="208" stopIfTrue="1" operator="lessThanOrEqual">
      <formula>-5</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60" priority="206" stopIfTrue="1" operator="greaterThanOrEqual">
      <formula>10</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59" priority="205" stopIfTrue="1" operator="lessThanOrEqual">
      <formula>-5</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58" priority="203" stopIfTrue="1" operator="greaterThanOrEqual">
      <formula>10</formula>
    </cfRule>
    <cfRule type="cellIs" dxfId="257" priority="204" stopIfTrue="1" operator="lessThanOrEqual">
      <formula>-5</formula>
    </cfRule>
  </conditionalFormatting>
  <conditionalFormatting pivot="1" sqref="C8:S8 C56:S56 C77:S77 C98:S98 C119:S119 C140:S140 C161:S161 C182:S182 C203:S203 C224:S224 C245:S245 C266:S266 C287:S287 C308:S308 C329:S329 C350:S350 C68:S68 C89:S89 C110:S110 C131:S131 C152:S152 C173:S173 C194:S194 C215:S215 C236:S236 C257:S257 C278:S278 C299:S299 C320:S320 C341:S341 C362:S362 C65:S65 C86:S86 C107:S107 C128:S128 C149:S149 C170:S170 C191:S191 C212:S212 C233:S233 C254:S254 C275:S275 C296:S296 C317:S317 C338:S338 C359:S359 C62:S62 C83:S83 C104:S104 C125:S125 C146:S146 C167:S167 C188:S188 C209:S209 C230:S230 C251:S251 C272:S272 C293:S293 C314:S314 C335:S335 C356:S356 C59:S59 C80:S80 C101:S101 C122:S122 C143:S143 C164:S164 C185:S185 C206:S206 C227:S227 C248:S248 C269:S269 C290:S290 C311:S311 C332:S332 C353:S353 C53:S53 C74:S74 C95:S95 C116:S116 C137:S137 C158:S158 C179:S179 C200:S200 C221:S221 C242:S242 C263:S263 C284:S284 C305:S305 C326:S326 C347:S347 C50:S50 C71:S71 C92:S92 C113:S113 C134:S134 C155:S155 C176:S176 C197:S197 C218:S218 C239:S239 C260:S260 C281:S281 C302:S302 C323:S323 C344:S344 C11:S11 C14:S14 C17:S17 C20:S20 C23:S23 C26:S26 C32:S32 C35:S35 C38:S38 C41:S41 C44:S44 C47:S47 C29:S29">
    <cfRule type="cellIs" dxfId="256" priority="201" stopIfTrue="1" operator="greaterThanOrEqual">
      <formula>10</formula>
    </cfRule>
    <cfRule type="cellIs" dxfId="255" priority="202" stopIfTrue="1" operator="lessThanOrEqual">
      <formula>-5</formula>
    </cfRule>
  </conditionalFormatting>
  <conditionalFormatting pivot="1" sqref="C8:S8 C56:S56 C77:S77 C98:S98 C119:S119 C140:S140 C161:S161 C182:S182 C203:S203 C224:S224 C245:S245 C266:S266 C287:S287 C308:S308 C329:S329 C350:S350 C68:S68 C89:S89 C110:S110 C131:S131 C152:S152 C173:S173 C194:S194 C215:S215 C236:S236 C257:S257 C278:S278 C299:S299 C320:S320 C341:S341 C362:S362 C65:S65 C86:S86 C107:S107 C128:S128 C149:S149 C170:S170 C191:S191 C212:S212 C233:S233 C254:S254 C275:S275 C296:S296 C317:S317 C338:S338 C359:S359 C62:S62 C83:S83 C104:S104 C125:S125 C146:S146 C167:S167 C188:S188 C209:S209 C230:S230 C251:S251 C272:S272 C293:S293 C314:S314 C335:S335 C356:S356 C59:S59 C80:S80 C101:S101 C122:S122 C143:S143 C164:S164 C185:S185 C206:S206 C227:S227 C248:S248 C269:S269 C290:S290 C311:S311 C332:S332 C353:S353 C53:S53 C74:S74 C95:S95 C116:S116 C137:S137 C158:S158 C179:S179 C200:S200 C221:S221 C242:S242 C263:S263 C284:S284 C305:S305 C326:S326 C347:S347 C50:S50 C71:S71 C92:S92 C113:S113 C134:S134 C155:S155 C176:S176 C197:S197 C218:S218 C239:S239 C260:S260 C281:S281 C302:S302 C323:S323 C344:S344 C11:S11 C14:S14 C17:S17 C20:S20 C23:S23 C26:S26 C32:S32 C35:S35 C38:S38 C41:S41 C44:S44 C47:S47 C29:S29">
    <cfRule type="cellIs" dxfId="254" priority="199" stopIfTrue="1" operator="greaterThanOrEqual">
      <formula>10</formula>
    </cfRule>
    <cfRule type="cellIs" dxfId="253" priority="200" stopIfTrue="1" operator="lessThanOrEqual">
      <formula>-5</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52" priority="198" stopIfTrue="1" operator="greaterThanOrEqual">
      <formula>10</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51" priority="197" stopIfTrue="1" operator="lessThanOrEqual">
      <formula>-5</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50" priority="195" stopIfTrue="1" operator="greaterThanOrEqual">
      <formula>10</formula>
    </cfRule>
    <cfRule type="cellIs" dxfId="249" priority="196" stopIfTrue="1" operator="lessThanOrEqual">
      <formula>-5</formula>
    </cfRule>
  </conditionalFormatting>
  <conditionalFormatting pivot="1" sqref="C8:S8 C56:S56 C77:S77 C98:S98 C119:S119 C140:S140 C161:S161 C182:S182 C203:S203 C224:S224 C245:S245 C266:S266 C287:S287 C308:S308 C329:S329 C350:S350 C68:S68 C89:S89 C110:S110 C131:S131 C152:S152 C173:S173 C194:S194 C215:S215 C236:S236 C257:S257 C278:S278 C299:S299 C320:S320 C341:S341 C362:S362 C65:S65 C86:S86 C107:S107 C128:S128 C149:S149 C170:S170 C191:S191 C212:S212 C233:S233 C254:S254 C275:S275 C296:S296 C317:S317 C338:S338 C359:S359 C62:S62 C83:S83 C104:S104 C125:S125 C146:S146 C167:S167 C188:S188 C209:S209 C230:S230 C251:S251 C272:S272 C293:S293 C314:S314 C335:S335 C356:S356 C59:S59 C80:S80 C101:S101 C122:S122 C143:S143 C164:S164 C185:S185 C206:S206 C227:S227 C248:S248 C269:S269 C290:S290 C311:S311 C332:S332 C353:S353 C53:S53 C74:S74 C95:S95 C116:S116 C137:S137 C158:S158 C179:S179 C200:S200 C221:S221 C242:S242 C263:S263 C284:S284 C305:S305 C326:S326 C347:S347 C50:S50 C71:S71 C92:S92 C113:S113 C134:S134 C155:S155 C176:S176 C197:S197 C218:S218 C239:S239 C260:S260 C281:S281 C302:S302 C323:S323 C344:S344 C11:S11 C14:S14 C17:S17 C20:S20 C23:S23 C26:S26 C32:S32 C35:S35 C38:S38 C41:S41 C44:S44 C47:S47 C29:S29">
    <cfRule type="cellIs" dxfId="248" priority="193" stopIfTrue="1" operator="greaterThanOrEqual">
      <formula>10</formula>
    </cfRule>
    <cfRule type="cellIs" dxfId="247" priority="194" stopIfTrue="1" operator="lessThanOrEqual">
      <formula>-5</formula>
    </cfRule>
  </conditionalFormatting>
  <conditionalFormatting pivot="1" sqref="C8:S8 C56:S56 C77:S77 C98:S98 C119:S119 C140:S140 C161:S161 C182:S182 C203:S203 C224:S224 C245:S245 C266:S266 C287:S287 C308:S308 C329:S329 C350:S350 C68:S68 C89:S89 C110:S110 C131:S131 C152:S152 C173:S173 C194:S194 C215:S215 C236:S236 C257:S257 C278:S278 C299:S299 C320:S320 C341:S341 C362:S362 C65:S65 C86:S86 C107:S107 C128:S128 C149:S149 C170:S170 C191:S191 C212:S212 C233:S233 C254:S254 C275:S275 C296:S296 C317:S317 C338:S338 C359:S359 C62:S62 C83:S83 C104:S104 C125:S125 C146:S146 C167:S167 C188:S188 C209:S209 C230:S230 C251:S251 C272:S272 C293:S293 C314:S314 C335:S335 C356:S356 C59:S59 C80:S80 C101:S101 C122:S122 C143:S143 C164:S164 C185:S185 C206:S206 C227:S227 C248:S248 C269:S269 C290:S290 C311:S311 C332:S332 C353:S353 C53:S53 C74:S74 C95:S95 C116:S116 C137:S137 C158:S158 C179:S179 C200:S200 C221:S221 C242:S242 C263:S263 C284:S284 C305:S305 C326:S326 C347:S347 C50:S50 C71:S71 C92:S92 C113:S113 C134:S134 C155:S155 C176:S176 C197:S197 C218:S218 C239:S239 C260:S260 C281:S281 C302:S302 C323:S323 C344:S344 C11:S11 C14:S14 C17:S17 C20:S20 C23:S23 C26:S26 C32:S32 C35:S35 C38:S38 C41:S41 C44:S44 C47:S47 C29:S29">
    <cfRule type="cellIs" dxfId="246" priority="191" stopIfTrue="1" operator="greaterThanOrEqual">
      <formula>10</formula>
    </cfRule>
    <cfRule type="cellIs" dxfId="245" priority="192" stopIfTrue="1" operator="lessThanOrEqual">
      <formula>-5</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44" priority="190" stopIfTrue="1" operator="greaterThanOrEqual">
      <formula>10</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43" priority="189" stopIfTrue="1" operator="lessThanOrEqual">
      <formula>-5</formula>
    </cfRule>
  </conditionalFormatting>
  <conditionalFormatting pivot="1" sqref="C14:S14 C26:S26 C23:S23 C20:S20 C17:S17 C11:S11 C8:S8 C35:S35 C56:S56 C77:S77 C98:S98 C119:S119 C140:S140 C161:S161 C182:S182 C203:S203 C224:S224 C245:S245 C266:S266 C287:S287 C308:S308 C329:S329 C350:S350 C47:S47 C68:S68 C89:S89 C110:S110 C131:S131 C152:S152 C173:S173 C194:S194 C215:S215 C236:S236 C257:S257 C278:S278 C299:S299 C320:S320 C341:S341 C362:S362 C44:S44 C65:S65 C86:S86 C107:S107 C128:S128 C149:S149 C170:S170 C191:S191 C212:S212 C233:S233 C254:S254 C275:S275 C296:S296 C317:S317 C338:S338 C359:S359 C41:S41 C62:S62 C83:S83 C104:S104 C125:S125 C146:S146 C167:S167 C188:S188 C209:S209 C230:S230 C251:S251 C272:S272 C293:S293 C314:S314 C335:S335 C356:S356 C38:S38 C59:S59 C80:S80 C101:S101 C122:S122 C143:S143 C164:S164 C185:S185 C206:S206 C227:S227 C248:S248 C269:S269 C290:S290 C311:S311 C332:S332 C353:S353 C32:S32 C53:S53 C74:S74 C95:S95 C116:S116 C137:S137 C158:S158 C179:S179 C200:S200 C221:S221 C242:S242 C263:S263 C284:S284 C305:S305 C326:S326 C347:S347 C29:S29 C50:S50 C71:S71 C92:S92 C113:S113 C134:S134 C155:S155 C176:S176 C197:S197 C218:S218 C239:S239 C260:S260 C281:S281 C302:S302 C323:S323 C344:S344">
    <cfRule type="cellIs" dxfId="242" priority="187" stopIfTrue="1" operator="greaterThanOrEqual">
      <formula>10</formula>
    </cfRule>
    <cfRule type="cellIs" dxfId="241" priority="188" stopIfTrue="1" operator="lessThanOrEqual">
      <formula>-5</formula>
    </cfRule>
  </conditionalFormatting>
  <conditionalFormatting pivot="1" sqref="C8:S8 C56:S56 C77:S77 C98:S98 C119:S119 C140:S140 C161:S161 C182:S182 C203:S203 C224:S224 C245:S245 C266:S266 C287:S287 C308:S308 C329:S329 C350:S350 C68:S68 C89:S89 C110:S110 C131:S131 C152:S152 C173:S173 C194:S194 C215:S215 C236:S236 C257:S257 C278:S278 C299:S299 C320:S320 C341:S341 C362:S362 C65:S65 C86:S86 C107:S107 C128:S128 C149:S149 C170:S170 C191:S191 C212:S212 C233:S233 C254:S254 C275:S275 C296:S296 C317:S317 C338:S338 C359:S359 C62:S62 C83:S83 C104:S104 C125:S125 C146:S146 C167:S167 C188:S188 C209:S209 C230:S230 C251:S251 C272:S272 C293:S293 C314:S314 C335:S335 C356:S356 C59:S59 C80:S80 C101:S101 C122:S122 C143:S143 C164:S164 C185:S185 C206:S206 C227:S227 C248:S248 C269:S269 C290:S290 C311:S311 C332:S332 C353:S353 C53:S53 C74:S74 C95:S95 C116:S116 C137:S137 C158:S158 C179:S179 C200:S200 C221:S221 C242:S242 C263:S263 C284:S284 C305:S305 C326:S326 C347:S347 C50:S50 C71:S71 C92:S92 C113:S113 C134:S134 C155:S155 C176:S176 C197:S197 C218:S218 C239:S239 C260:S260 C281:S281 C302:S302 C323:S323 C344:S344 C11:S11 C14:S14 C17:S17 C20:S20 C23:S23 C26:S26 C32:S32 C35:S35 C38:S38 C41:S41 C44:S44 C47:S47 C29:S29">
    <cfRule type="cellIs" dxfId="240" priority="185" stopIfTrue="1" operator="greaterThanOrEqual">
      <formula>10</formula>
    </cfRule>
    <cfRule type="cellIs" dxfId="239" priority="18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38" priority="184"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37" priority="183"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36" priority="181" stopIfTrue="1" operator="greaterThanOrEqual">
      <formula>10</formula>
    </cfRule>
    <cfRule type="cellIs" dxfId="235" priority="18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34" priority="179" stopIfTrue="1" operator="greaterThanOrEqual">
      <formula>10</formula>
    </cfRule>
    <cfRule type="cellIs" dxfId="233" priority="18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32" priority="177" stopIfTrue="1" operator="greaterThanOrEqual">
      <formula>10</formula>
    </cfRule>
    <cfRule type="cellIs" dxfId="231" priority="17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30" priority="176"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29" priority="175"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28" priority="173" stopIfTrue="1" operator="greaterThanOrEqual">
      <formula>10</formula>
    </cfRule>
    <cfRule type="cellIs" dxfId="227" priority="17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26" priority="171" stopIfTrue="1" operator="greaterThanOrEqual">
      <formula>10</formula>
    </cfRule>
    <cfRule type="cellIs" dxfId="225" priority="17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24" priority="169" stopIfTrue="1" operator="greaterThanOrEqual">
      <formula>10</formula>
    </cfRule>
    <cfRule type="cellIs" dxfId="223" priority="17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22" priority="168"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21" priority="167"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20" priority="165" stopIfTrue="1" operator="greaterThanOrEqual">
      <formula>10</formula>
    </cfRule>
    <cfRule type="cellIs" dxfId="219" priority="16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18" priority="163" stopIfTrue="1" operator="greaterThanOrEqual">
      <formula>10</formula>
    </cfRule>
    <cfRule type="cellIs" dxfId="217" priority="16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16" priority="161" stopIfTrue="1" operator="greaterThanOrEqual">
      <formula>10</formula>
    </cfRule>
    <cfRule type="cellIs" dxfId="215" priority="16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14" priority="160"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13" priority="159"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12" priority="157" stopIfTrue="1" operator="greaterThanOrEqual">
      <formula>10</formula>
    </cfRule>
    <cfRule type="cellIs" dxfId="211" priority="15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10" priority="155" stopIfTrue="1" operator="greaterThanOrEqual">
      <formula>10</formula>
    </cfRule>
    <cfRule type="cellIs" dxfId="209" priority="15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08" priority="153" stopIfTrue="1" operator="greaterThanOrEqual">
      <formula>10</formula>
    </cfRule>
    <cfRule type="cellIs" dxfId="207" priority="15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06" priority="152"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05" priority="151"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04" priority="149" stopIfTrue="1" operator="greaterThanOrEqual">
      <formula>10</formula>
    </cfRule>
    <cfRule type="cellIs" dxfId="203" priority="15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02" priority="147" stopIfTrue="1" operator="greaterThanOrEqual">
      <formula>10</formula>
    </cfRule>
    <cfRule type="cellIs" dxfId="201" priority="14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00" priority="145" stopIfTrue="1" operator="greaterThanOrEqual">
      <formula>10</formula>
    </cfRule>
    <cfRule type="cellIs" dxfId="199" priority="14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98" priority="144"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97" priority="143"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96" priority="141" stopIfTrue="1" operator="greaterThanOrEqual">
      <formula>10</formula>
    </cfRule>
    <cfRule type="cellIs" dxfId="195" priority="14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94" priority="139" stopIfTrue="1" operator="greaterThanOrEqual">
      <formula>10</formula>
    </cfRule>
    <cfRule type="cellIs" dxfId="193" priority="14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92" priority="138"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91" priority="137"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90" priority="135" stopIfTrue="1" operator="greaterThanOrEqual">
      <formula>10</formula>
    </cfRule>
    <cfRule type="cellIs" dxfId="189" priority="13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88" priority="133" stopIfTrue="1" operator="greaterThanOrEqual">
      <formula>10</formula>
    </cfRule>
    <cfRule type="cellIs" dxfId="187" priority="13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86" priority="131" stopIfTrue="1" operator="greaterThanOrEqual">
      <formula>10</formula>
    </cfRule>
    <cfRule type="cellIs" dxfId="185" priority="13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84" priority="130"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83" priority="129"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82" priority="127" stopIfTrue="1" operator="greaterThanOrEqual">
      <formula>10</formula>
    </cfRule>
    <cfRule type="cellIs" dxfId="181" priority="12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80" priority="125" stopIfTrue="1" operator="greaterThanOrEqual">
      <formula>10</formula>
    </cfRule>
    <cfRule type="cellIs" dxfId="179" priority="12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78" priority="123" stopIfTrue="1" operator="greaterThanOrEqual">
      <formula>10</formula>
    </cfRule>
    <cfRule type="cellIs" dxfId="177" priority="12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76" priority="122"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75" priority="121"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74" priority="119" stopIfTrue="1" operator="greaterThanOrEqual">
      <formula>10</formula>
    </cfRule>
    <cfRule type="cellIs" dxfId="173" priority="12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72" priority="117" stopIfTrue="1" operator="greaterThanOrEqual">
      <formula>10</formula>
    </cfRule>
    <cfRule type="cellIs" dxfId="171" priority="11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70" priority="115" stopIfTrue="1" operator="greaterThanOrEqual">
      <formula>10</formula>
    </cfRule>
    <cfRule type="cellIs" dxfId="169" priority="11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68" priority="114"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67" priority="113"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66" priority="111" stopIfTrue="1" operator="greaterThanOrEqual">
      <formula>10</formula>
    </cfRule>
    <cfRule type="cellIs" dxfId="165" priority="11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64" priority="109" stopIfTrue="1" operator="greaterThanOrEqual">
      <formula>10</formula>
    </cfRule>
    <cfRule type="cellIs" dxfId="163" priority="11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62" priority="107" stopIfTrue="1" operator="greaterThanOrEqual">
      <formula>10</formula>
    </cfRule>
    <cfRule type="cellIs" dxfId="161" priority="10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60" priority="106"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59" priority="105"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58" priority="103" stopIfTrue="1" operator="greaterThanOrEqual">
      <formula>10</formula>
    </cfRule>
    <cfRule type="cellIs" dxfId="157" priority="10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56" priority="101" stopIfTrue="1" operator="greaterThanOrEqual">
      <formula>10</formula>
    </cfRule>
    <cfRule type="cellIs" dxfId="155" priority="10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54" priority="99" stopIfTrue="1" operator="greaterThanOrEqual">
      <formula>10</formula>
    </cfRule>
    <cfRule type="cellIs" dxfId="153" priority="10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52" priority="98"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51" priority="97"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50" priority="95" stopIfTrue="1" operator="greaterThanOrEqual">
      <formula>10</formula>
    </cfRule>
    <cfRule type="cellIs" dxfId="149" priority="9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48" priority="93" stopIfTrue="1" operator="greaterThanOrEqual">
      <formula>10</formula>
    </cfRule>
    <cfRule type="cellIs" dxfId="147" priority="9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46" priority="92"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45" priority="91"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44" priority="89" stopIfTrue="1" operator="greaterThanOrEqual">
      <formula>10</formula>
    </cfRule>
    <cfRule type="cellIs" dxfId="143" priority="9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42" priority="87" stopIfTrue="1" operator="greaterThanOrEqual">
      <formula>10</formula>
    </cfRule>
    <cfRule type="cellIs" dxfId="141" priority="8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40" priority="85" stopIfTrue="1" operator="greaterThanOrEqual">
      <formula>10</formula>
    </cfRule>
    <cfRule type="cellIs" dxfId="139" priority="8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38" priority="84"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37" priority="83"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36" priority="81" stopIfTrue="1" operator="greaterThanOrEqual">
      <formula>10</formula>
    </cfRule>
    <cfRule type="cellIs" dxfId="135" priority="8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34" priority="79" stopIfTrue="1" operator="greaterThanOrEqual">
      <formula>10</formula>
    </cfRule>
    <cfRule type="cellIs" dxfId="133" priority="8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32" priority="77" stopIfTrue="1" operator="greaterThanOrEqual">
      <formula>10</formula>
    </cfRule>
    <cfRule type="cellIs" dxfId="131" priority="7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30" priority="76"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29" priority="75"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28" priority="73" stopIfTrue="1" operator="greaterThanOrEqual">
      <formula>10</formula>
    </cfRule>
    <cfRule type="cellIs" dxfId="127" priority="7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26" priority="71" stopIfTrue="1" operator="greaterThanOrEqual">
      <formula>10</formula>
    </cfRule>
    <cfRule type="cellIs" dxfId="125" priority="7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24" priority="69" stopIfTrue="1" operator="greaterThanOrEqual">
      <formula>10</formula>
    </cfRule>
    <cfRule type="cellIs" dxfId="123" priority="7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22" priority="68"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21" priority="67"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20" priority="65" stopIfTrue="1" operator="greaterThanOrEqual">
      <formula>10</formula>
    </cfRule>
    <cfRule type="cellIs" dxfId="119" priority="6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18" priority="63" stopIfTrue="1" operator="greaterThanOrEqual">
      <formula>10</formula>
    </cfRule>
    <cfRule type="cellIs" dxfId="117" priority="6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16" priority="61" stopIfTrue="1" operator="greaterThanOrEqual">
      <formula>10</formula>
    </cfRule>
    <cfRule type="cellIs" dxfId="115" priority="6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14" priority="60"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13" priority="59"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12" priority="57" stopIfTrue="1" operator="greaterThanOrEqual">
      <formula>10</formula>
    </cfRule>
    <cfRule type="cellIs" dxfId="111" priority="5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10" priority="55" stopIfTrue="1" operator="greaterThanOrEqual">
      <formula>10</formula>
    </cfRule>
    <cfRule type="cellIs" dxfId="109" priority="5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08" priority="53" stopIfTrue="1" operator="greaterThanOrEqual">
      <formula>10</formula>
    </cfRule>
    <cfRule type="cellIs" dxfId="107" priority="5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06" priority="52"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05" priority="51"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04" priority="49" stopIfTrue="1" operator="greaterThanOrEqual">
      <formula>10</formula>
    </cfRule>
    <cfRule type="cellIs" dxfId="103" priority="5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02" priority="47" stopIfTrue="1" operator="greaterThanOrEqual">
      <formula>10</formula>
    </cfRule>
    <cfRule type="cellIs" dxfId="101" priority="4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00" priority="46"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99" priority="45"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98" priority="43" stopIfTrue="1" operator="greaterThanOrEqual">
      <formula>10</formula>
    </cfRule>
    <cfRule type="cellIs" dxfId="97" priority="4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96" priority="41" stopIfTrue="1" operator="greaterThanOrEqual">
      <formula>10</formula>
    </cfRule>
    <cfRule type="cellIs" dxfId="95" priority="4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94" priority="39" stopIfTrue="1" operator="greaterThanOrEqual">
      <formula>10</formula>
    </cfRule>
    <cfRule type="cellIs" dxfId="93" priority="4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92" priority="38"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91" priority="37"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90" priority="35" stopIfTrue="1" operator="greaterThanOrEqual">
      <formula>10</formula>
    </cfRule>
    <cfRule type="cellIs" dxfId="89" priority="3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88" priority="33" stopIfTrue="1" operator="greaterThanOrEqual">
      <formula>10</formula>
    </cfRule>
    <cfRule type="cellIs" dxfId="87" priority="3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86" priority="31" stopIfTrue="1" operator="greaterThanOrEqual">
      <formula>10</formula>
    </cfRule>
    <cfRule type="cellIs" dxfId="85" priority="3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84" priority="30"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83" priority="29"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82" priority="27" stopIfTrue="1" operator="greaterThanOrEqual">
      <formula>10</formula>
    </cfRule>
    <cfRule type="cellIs" dxfId="81" priority="2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80" priority="25" stopIfTrue="1" operator="greaterThanOrEqual">
      <formula>10</formula>
    </cfRule>
    <cfRule type="cellIs" dxfId="79" priority="2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78" priority="23" stopIfTrue="1" operator="greaterThanOrEqual">
      <formula>10</formula>
    </cfRule>
    <cfRule type="cellIs" dxfId="77" priority="2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76" priority="22"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75" priority="21"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74" priority="19" stopIfTrue="1" operator="greaterThanOrEqual">
      <formula>10</formula>
    </cfRule>
    <cfRule type="cellIs" dxfId="73" priority="2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72" priority="17" stopIfTrue="1" operator="greaterThanOrEqual">
      <formula>10</formula>
    </cfRule>
    <cfRule type="cellIs" dxfId="71" priority="1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70" priority="15" stopIfTrue="1" operator="greaterThanOrEqual">
      <formula>10</formula>
    </cfRule>
    <cfRule type="cellIs" dxfId="69" priority="16"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68" priority="14"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67" priority="13"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66" priority="11" stopIfTrue="1" operator="greaterThanOrEqual">
      <formula>10</formula>
    </cfRule>
    <cfRule type="cellIs" dxfId="65" priority="12"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64" priority="9" stopIfTrue="1" operator="greaterThanOrEqual">
      <formula>10</formula>
    </cfRule>
    <cfRule type="cellIs" dxfId="63" priority="10"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62" priority="7" stopIfTrue="1" operator="greaterThanOrEqual">
      <formula>10</formula>
    </cfRule>
    <cfRule type="cellIs" dxfId="61" priority="8"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60" priority="6" stopIfTrue="1" operator="greaterThanOrEqual">
      <formula>10</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59" priority="5"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58" priority="3" stopIfTrue="1" operator="greaterThanOrEqual">
      <formula>10</formula>
    </cfRule>
    <cfRule type="cellIs" dxfId="57" priority="4" stopIfTrue="1" operator="lessThanOrEqual">
      <formula>-5</formula>
    </cfRule>
  </conditionalFormatting>
  <conditionalFormatting pivot="1"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56" priority="1" stopIfTrue="1" operator="greaterThanOrEqual">
      <formula>10</formula>
    </cfRule>
    <cfRule type="cellIs" dxfId="55" priority="2" stopIfTrue="1" operator="lessThanOrEqual">
      <formula>-5</formula>
    </cfRule>
  </conditionalFormatting>
  <pageMargins left="0.5" right="0.5" top="1" bottom="1" header="0.5" footer="0.5"/>
  <pageSetup scale="92" pageOrder="overThenDown" orientation="landscape" cellComments="asDisplayed" r:id="rId2"/>
  <headerFooter alignWithMargins="0">
    <oddHeader>&amp;L&amp;"Arial,Bold"&amp;10SREB-State Data Exchange&amp;C&amp;"Arial,Bold"&amp;10Preliminary Tables&amp;R&amp;"Arial,Bold"&amp;10Part 9: Salaries</oddHeader>
    <oddFooter>&amp;L&amp;"Arial,Bold"&amp;10For Agency Review Only&amp;R&amp;"Arial,Bold"&amp;10October 2009</oddFooter>
  </headerFooter>
  <rowBreaks count="15" manualBreakCount="15">
    <brk id="26" min="2" max="18" man="1"/>
    <brk id="47" min="2" max="18" man="1"/>
    <brk id="68" min="2" max="18" man="1"/>
    <brk id="89" min="2" max="18" man="1"/>
    <brk id="110" min="2" max="18" man="1"/>
    <brk id="131" min="2" max="18" man="1"/>
    <brk id="152" min="2" max="18" man="1"/>
    <brk id="173" min="2" max="18" man="1"/>
    <brk id="194" min="2" max="18" man="1"/>
    <brk id="215" min="2" max="18" man="1"/>
    <brk id="236" min="2" max="18" man="1"/>
    <brk id="257" min="2" max="18" man="1"/>
    <brk id="278" min="2" max="18" man="1"/>
    <brk id="299" min="2" max="18" man="1"/>
    <brk id="320" min="2" max="18" man="1"/>
  </rowBreaks>
  <colBreaks count="1" manualBreakCount="1">
    <brk id="9" max="1048575" man="1"/>
  </colBreaks>
</worksheet>
</file>

<file path=xl/worksheets/sheet6.xml><?xml version="1.0" encoding="utf-8"?>
<worksheet xmlns="http://schemas.openxmlformats.org/spreadsheetml/2006/main" xmlns:r="http://schemas.openxmlformats.org/officeDocument/2006/relationships">
  <sheetPr>
    <tabColor rgb="FFFFFF00"/>
  </sheetPr>
  <dimension ref="A1:S363"/>
  <sheetViews>
    <sheetView topLeftCell="D343" workbookViewId="0">
      <selection activeCell="D343" sqref="A1:XFD1048576"/>
    </sheetView>
  </sheetViews>
  <sheetFormatPr defaultRowHeight="15.75"/>
  <sheetData>
    <row r="1" spans="1:19">
      <c r="A1" s="468"/>
      <c r="B1" s="74"/>
      <c r="C1" s="159"/>
      <c r="D1" s="159"/>
      <c r="E1" s="155"/>
      <c r="F1" s="155"/>
      <c r="G1" s="155"/>
      <c r="H1" s="155"/>
      <c r="I1" s="155"/>
      <c r="J1" s="155"/>
      <c r="K1" s="155"/>
      <c r="L1" s="155"/>
      <c r="M1" s="155"/>
      <c r="N1" s="155"/>
      <c r="O1" s="155"/>
      <c r="P1" s="155"/>
      <c r="Q1" s="155"/>
      <c r="R1" s="155"/>
      <c r="S1" s="155"/>
    </row>
    <row r="2" spans="1:19">
      <c r="A2" s="472"/>
      <c r="B2" s="74"/>
      <c r="C2" s="159"/>
      <c r="D2" s="159"/>
      <c r="E2" s="155"/>
      <c r="F2" s="155"/>
      <c r="G2" s="155"/>
      <c r="H2" s="155"/>
      <c r="I2" s="155"/>
      <c r="J2" s="155"/>
      <c r="K2" s="155"/>
      <c r="L2" s="155"/>
      <c r="M2" s="155"/>
      <c r="N2" s="155"/>
      <c r="O2" s="155"/>
      <c r="P2" s="155"/>
      <c r="Q2" s="155"/>
      <c r="R2" s="155"/>
      <c r="S2" s="155"/>
    </row>
    <row r="3" spans="1:19">
      <c r="A3" s="469"/>
      <c r="B3" s="78"/>
      <c r="C3" s="77"/>
      <c r="D3" s="78"/>
      <c r="E3" s="78"/>
      <c r="F3" s="78"/>
      <c r="G3" s="78"/>
      <c r="H3" s="78"/>
      <c r="I3" s="78"/>
      <c r="J3" s="78"/>
      <c r="K3" s="78"/>
      <c r="L3" s="78"/>
      <c r="M3" s="78"/>
      <c r="N3" s="78"/>
      <c r="O3" s="78"/>
      <c r="P3" s="78"/>
      <c r="Q3" s="78"/>
      <c r="R3" s="78"/>
      <c r="S3" s="202"/>
    </row>
    <row r="4" spans="1:19">
      <c r="A4" s="482"/>
      <c r="B4" s="483"/>
      <c r="C4" s="484"/>
      <c r="D4" s="483"/>
      <c r="E4" s="483"/>
      <c r="F4" s="483"/>
      <c r="G4" s="483"/>
      <c r="H4" s="483"/>
      <c r="I4" s="484"/>
      <c r="J4" s="484"/>
      <c r="K4" s="483"/>
      <c r="L4" s="483"/>
      <c r="M4" s="483"/>
      <c r="N4" s="483"/>
      <c r="O4" s="484"/>
      <c r="P4" s="484"/>
      <c r="Q4" s="483"/>
      <c r="R4" s="483"/>
      <c r="S4" s="485"/>
    </row>
    <row r="5" spans="1:19">
      <c r="A5" s="469"/>
      <c r="B5" s="77"/>
      <c r="C5" s="130"/>
      <c r="D5" s="131"/>
      <c r="E5" s="131"/>
      <c r="F5" s="131"/>
      <c r="G5" s="131"/>
      <c r="H5" s="131"/>
      <c r="I5" s="79"/>
      <c r="J5" s="130"/>
      <c r="K5" s="131"/>
      <c r="L5" s="131"/>
      <c r="M5" s="131"/>
      <c r="N5" s="131"/>
      <c r="O5" s="79"/>
      <c r="P5" s="130"/>
      <c r="Q5" s="131"/>
      <c r="R5" s="131"/>
      <c r="S5" s="203"/>
    </row>
    <row r="6" spans="1:19">
      <c r="A6" s="469"/>
      <c r="B6" s="77"/>
      <c r="C6" s="127"/>
      <c r="D6" s="129"/>
      <c r="E6" s="129"/>
      <c r="F6" s="129"/>
      <c r="G6" s="129"/>
      <c r="H6" s="129"/>
      <c r="I6" s="127"/>
      <c r="J6" s="127"/>
      <c r="K6" s="129"/>
      <c r="L6" s="129"/>
      <c r="M6" s="129"/>
      <c r="N6" s="129"/>
      <c r="O6" s="127"/>
      <c r="P6" s="127"/>
      <c r="Q6" s="129"/>
      <c r="R6" s="129"/>
      <c r="S6" s="128"/>
    </row>
    <row r="7" spans="1:19">
      <c r="A7" s="470"/>
      <c r="B7" s="80"/>
      <c r="C7" s="458"/>
      <c r="D7" s="459"/>
      <c r="E7" s="459"/>
      <c r="F7" s="459"/>
      <c r="G7" s="459"/>
      <c r="H7" s="459"/>
      <c r="I7" s="458"/>
      <c r="J7" s="458"/>
      <c r="K7" s="459"/>
      <c r="L7" s="459"/>
      <c r="M7" s="459"/>
      <c r="N7" s="459"/>
      <c r="O7" s="458"/>
      <c r="P7" s="458"/>
      <c r="Q7" s="459"/>
      <c r="R7" s="459"/>
      <c r="S7" s="460"/>
    </row>
    <row r="8" spans="1:19">
      <c r="A8" s="470"/>
      <c r="B8" s="461"/>
      <c r="C8" s="462"/>
      <c r="D8" s="463"/>
      <c r="E8" s="463"/>
      <c r="F8" s="463"/>
      <c r="G8" s="463"/>
      <c r="H8" s="463"/>
      <c r="I8" s="462"/>
      <c r="J8" s="462"/>
      <c r="K8" s="463"/>
      <c r="L8" s="463"/>
      <c r="M8" s="463"/>
      <c r="N8" s="463"/>
      <c r="O8" s="462"/>
      <c r="P8" s="462"/>
      <c r="Q8" s="463"/>
      <c r="R8" s="463"/>
      <c r="S8" s="464"/>
    </row>
    <row r="9" spans="1:19">
      <c r="A9" s="470"/>
      <c r="B9" s="77"/>
      <c r="C9" s="127"/>
      <c r="D9" s="129"/>
      <c r="E9" s="129"/>
      <c r="F9" s="129"/>
      <c r="G9" s="129"/>
      <c r="H9" s="129"/>
      <c r="I9" s="127"/>
      <c r="J9" s="127"/>
      <c r="K9" s="129"/>
      <c r="L9" s="129"/>
      <c r="M9" s="129"/>
      <c r="N9" s="129"/>
      <c r="O9" s="127"/>
      <c r="P9" s="127"/>
      <c r="Q9" s="129"/>
      <c r="R9" s="129"/>
      <c r="S9" s="128"/>
    </row>
    <row r="10" spans="1:19">
      <c r="A10" s="470"/>
      <c r="B10" s="80"/>
      <c r="C10" s="458"/>
      <c r="D10" s="459"/>
      <c r="E10" s="459"/>
      <c r="F10" s="459"/>
      <c r="G10" s="459"/>
      <c r="H10" s="459"/>
      <c r="I10" s="458"/>
      <c r="J10" s="458"/>
      <c r="K10" s="459"/>
      <c r="L10" s="459"/>
      <c r="M10" s="459"/>
      <c r="N10" s="459"/>
      <c r="O10" s="458"/>
      <c r="P10" s="458"/>
      <c r="Q10" s="459"/>
      <c r="R10" s="459"/>
      <c r="S10" s="460"/>
    </row>
    <row r="11" spans="1:19">
      <c r="A11" s="470"/>
      <c r="B11" s="461"/>
      <c r="C11" s="462"/>
      <c r="D11" s="463"/>
      <c r="E11" s="463"/>
      <c r="F11" s="463"/>
      <c r="G11" s="463"/>
      <c r="H11" s="463"/>
      <c r="I11" s="462"/>
      <c r="J11" s="462"/>
      <c r="K11" s="463"/>
      <c r="L11" s="463"/>
      <c r="M11" s="463"/>
      <c r="N11" s="463"/>
      <c r="O11" s="462"/>
      <c r="P11" s="462"/>
      <c r="Q11" s="463"/>
      <c r="R11" s="463"/>
      <c r="S11" s="464"/>
    </row>
    <row r="12" spans="1:19">
      <c r="A12" s="470"/>
      <c r="B12" s="77"/>
      <c r="C12" s="127"/>
      <c r="D12" s="129"/>
      <c r="E12" s="129"/>
      <c r="F12" s="129"/>
      <c r="G12" s="129"/>
      <c r="H12" s="129"/>
      <c r="I12" s="127"/>
      <c r="J12" s="127"/>
      <c r="K12" s="129"/>
      <c r="L12" s="129"/>
      <c r="M12" s="129"/>
      <c r="N12" s="129"/>
      <c r="O12" s="127"/>
      <c r="P12" s="127"/>
      <c r="Q12" s="129"/>
      <c r="R12" s="129"/>
      <c r="S12" s="128"/>
    </row>
    <row r="13" spans="1:19">
      <c r="A13" s="470"/>
      <c r="B13" s="80"/>
      <c r="C13" s="458"/>
      <c r="D13" s="459"/>
      <c r="E13" s="459"/>
      <c r="F13" s="459"/>
      <c r="G13" s="459"/>
      <c r="H13" s="459"/>
      <c r="I13" s="458"/>
      <c r="J13" s="458"/>
      <c r="K13" s="459"/>
      <c r="L13" s="459"/>
      <c r="M13" s="459"/>
      <c r="N13" s="459"/>
      <c r="O13" s="458"/>
      <c r="P13" s="458"/>
      <c r="Q13" s="459"/>
      <c r="R13" s="459"/>
      <c r="S13" s="460"/>
    </row>
    <row r="14" spans="1:19">
      <c r="A14" s="470"/>
      <c r="B14" s="461"/>
      <c r="C14" s="462"/>
      <c r="D14" s="463"/>
      <c r="E14" s="463"/>
      <c r="F14" s="463"/>
      <c r="G14" s="463"/>
      <c r="H14" s="463"/>
      <c r="I14" s="462"/>
      <c r="J14" s="462"/>
      <c r="K14" s="463"/>
      <c r="L14" s="463"/>
      <c r="M14" s="463"/>
      <c r="N14" s="463"/>
      <c r="O14" s="462"/>
      <c r="P14" s="462"/>
      <c r="Q14" s="463"/>
      <c r="R14" s="463"/>
      <c r="S14" s="464"/>
    </row>
    <row r="15" spans="1:19">
      <c r="A15" s="470"/>
      <c r="B15" s="77"/>
      <c r="C15" s="127"/>
      <c r="D15" s="129"/>
      <c r="E15" s="129"/>
      <c r="F15" s="129"/>
      <c r="G15" s="129"/>
      <c r="H15" s="129"/>
      <c r="I15" s="127"/>
      <c r="J15" s="127"/>
      <c r="K15" s="129"/>
      <c r="L15" s="129"/>
      <c r="M15" s="129"/>
      <c r="N15" s="129"/>
      <c r="O15" s="127"/>
      <c r="P15" s="127"/>
      <c r="Q15" s="129"/>
      <c r="R15" s="129"/>
      <c r="S15" s="128"/>
    </row>
    <row r="16" spans="1:19">
      <c r="A16" s="470"/>
      <c r="B16" s="80"/>
      <c r="C16" s="458"/>
      <c r="D16" s="459"/>
      <c r="E16" s="459"/>
      <c r="F16" s="459"/>
      <c r="G16" s="459"/>
      <c r="H16" s="459"/>
      <c r="I16" s="458"/>
      <c r="J16" s="458"/>
      <c r="K16" s="459"/>
      <c r="L16" s="459"/>
      <c r="M16" s="459"/>
      <c r="N16" s="459"/>
      <c r="O16" s="458"/>
      <c r="P16" s="458"/>
      <c r="Q16" s="459"/>
      <c r="R16" s="459"/>
      <c r="S16" s="460"/>
    </row>
    <row r="17" spans="1:19">
      <c r="A17" s="470"/>
      <c r="B17" s="461"/>
      <c r="C17" s="462"/>
      <c r="D17" s="463"/>
      <c r="E17" s="463"/>
      <c r="F17" s="463"/>
      <c r="G17" s="463"/>
      <c r="H17" s="463"/>
      <c r="I17" s="462"/>
      <c r="J17" s="462"/>
      <c r="K17" s="463"/>
      <c r="L17" s="463"/>
      <c r="M17" s="463"/>
      <c r="N17" s="463"/>
      <c r="O17" s="462"/>
      <c r="P17" s="462"/>
      <c r="Q17" s="463"/>
      <c r="R17" s="463"/>
      <c r="S17" s="464"/>
    </row>
    <row r="18" spans="1:19">
      <c r="A18" s="470"/>
      <c r="B18" s="77"/>
      <c r="C18" s="127"/>
      <c r="D18" s="129"/>
      <c r="E18" s="129"/>
      <c r="F18" s="129"/>
      <c r="G18" s="129"/>
      <c r="H18" s="129"/>
      <c r="I18" s="127"/>
      <c r="J18" s="127"/>
      <c r="K18" s="129"/>
      <c r="L18" s="129"/>
      <c r="M18" s="129"/>
      <c r="N18" s="129"/>
      <c r="O18" s="127"/>
      <c r="P18" s="127"/>
      <c r="Q18" s="129"/>
      <c r="R18" s="129"/>
      <c r="S18" s="128"/>
    </row>
    <row r="19" spans="1:19">
      <c r="A19" s="470"/>
      <c r="B19" s="80"/>
      <c r="C19" s="458"/>
      <c r="D19" s="459"/>
      <c r="E19" s="459"/>
      <c r="F19" s="459"/>
      <c r="G19" s="459"/>
      <c r="H19" s="459"/>
      <c r="I19" s="458"/>
      <c r="J19" s="458"/>
      <c r="K19" s="459"/>
      <c r="L19" s="459"/>
      <c r="M19" s="459"/>
      <c r="N19" s="459"/>
      <c r="O19" s="458"/>
      <c r="P19" s="458"/>
      <c r="Q19" s="459"/>
      <c r="R19" s="459"/>
      <c r="S19" s="460"/>
    </row>
    <row r="20" spans="1:19">
      <c r="A20" s="470"/>
      <c r="B20" s="461"/>
      <c r="C20" s="462"/>
      <c r="D20" s="463"/>
      <c r="E20" s="463"/>
      <c r="F20" s="463"/>
      <c r="G20" s="463"/>
      <c r="H20" s="463"/>
      <c r="I20" s="462"/>
      <c r="J20" s="462"/>
      <c r="K20" s="463"/>
      <c r="L20" s="463"/>
      <c r="M20" s="463"/>
      <c r="N20" s="463"/>
      <c r="O20" s="462"/>
      <c r="P20" s="462"/>
      <c r="Q20" s="463"/>
      <c r="R20" s="463"/>
      <c r="S20" s="464"/>
    </row>
    <row r="21" spans="1:19">
      <c r="A21" s="470"/>
      <c r="B21" s="77"/>
      <c r="C21" s="127"/>
      <c r="D21" s="129"/>
      <c r="E21" s="129"/>
      <c r="F21" s="129"/>
      <c r="G21" s="129"/>
      <c r="H21" s="129"/>
      <c r="I21" s="127"/>
      <c r="J21" s="127"/>
      <c r="K21" s="129"/>
      <c r="L21" s="129"/>
      <c r="M21" s="129"/>
      <c r="N21" s="129"/>
      <c r="O21" s="127"/>
      <c r="P21" s="127"/>
      <c r="Q21" s="129"/>
      <c r="R21" s="129"/>
      <c r="S21" s="128"/>
    </row>
    <row r="22" spans="1:19">
      <c r="A22" s="470"/>
      <c r="B22" s="80"/>
      <c r="C22" s="458"/>
      <c r="D22" s="459"/>
      <c r="E22" s="459"/>
      <c r="F22" s="459"/>
      <c r="G22" s="459"/>
      <c r="H22" s="459"/>
      <c r="I22" s="458"/>
      <c r="J22" s="458"/>
      <c r="K22" s="459"/>
      <c r="L22" s="459"/>
      <c r="M22" s="459"/>
      <c r="N22" s="459"/>
      <c r="O22" s="458"/>
      <c r="P22" s="458"/>
      <c r="Q22" s="459"/>
      <c r="R22" s="459"/>
      <c r="S22" s="460"/>
    </row>
    <row r="23" spans="1:19">
      <c r="A23" s="470"/>
      <c r="B23" s="461"/>
      <c r="C23" s="462"/>
      <c r="D23" s="463"/>
      <c r="E23" s="463"/>
      <c r="F23" s="463"/>
      <c r="G23" s="463"/>
      <c r="H23" s="463"/>
      <c r="I23" s="462"/>
      <c r="J23" s="462"/>
      <c r="K23" s="463"/>
      <c r="L23" s="463"/>
      <c r="M23" s="463"/>
      <c r="N23" s="463"/>
      <c r="O23" s="462"/>
      <c r="P23" s="462"/>
      <c r="Q23" s="463"/>
      <c r="R23" s="463"/>
      <c r="S23" s="464"/>
    </row>
    <row r="24" spans="1:19">
      <c r="A24" s="470"/>
      <c r="B24" s="77"/>
      <c r="C24" s="127"/>
      <c r="D24" s="129"/>
      <c r="E24" s="129"/>
      <c r="F24" s="129"/>
      <c r="G24" s="129"/>
      <c r="H24" s="129"/>
      <c r="I24" s="127"/>
      <c r="J24" s="127"/>
      <c r="K24" s="129"/>
      <c r="L24" s="129"/>
      <c r="M24" s="129"/>
      <c r="N24" s="129"/>
      <c r="O24" s="127"/>
      <c r="P24" s="127"/>
      <c r="Q24" s="129"/>
      <c r="R24" s="129"/>
      <c r="S24" s="128"/>
    </row>
    <row r="25" spans="1:19">
      <c r="A25" s="470"/>
      <c r="B25" s="80"/>
      <c r="C25" s="458"/>
      <c r="D25" s="459"/>
      <c r="E25" s="459"/>
      <c r="F25" s="459"/>
      <c r="G25" s="459"/>
      <c r="H25" s="459"/>
      <c r="I25" s="458"/>
      <c r="J25" s="458"/>
      <c r="K25" s="459"/>
      <c r="L25" s="459"/>
      <c r="M25" s="459"/>
      <c r="N25" s="459"/>
      <c r="O25" s="458"/>
      <c r="P25" s="458"/>
      <c r="Q25" s="459"/>
      <c r="R25" s="459"/>
      <c r="S25" s="460"/>
    </row>
    <row r="26" spans="1:19">
      <c r="A26" s="475"/>
      <c r="B26" s="476"/>
      <c r="C26" s="477"/>
      <c r="D26" s="478"/>
      <c r="E26" s="478"/>
      <c r="F26" s="478"/>
      <c r="G26" s="478"/>
      <c r="H26" s="478"/>
      <c r="I26" s="477"/>
      <c r="J26" s="477"/>
      <c r="K26" s="478"/>
      <c r="L26" s="478"/>
      <c r="M26" s="478"/>
      <c r="N26" s="478"/>
      <c r="O26" s="477"/>
      <c r="P26" s="477"/>
      <c r="Q26" s="478"/>
      <c r="R26" s="478"/>
      <c r="S26" s="479"/>
    </row>
    <row r="27" spans="1:19">
      <c r="A27" s="473"/>
      <c r="B27" s="80"/>
      <c r="C27" s="458"/>
      <c r="D27" s="474"/>
      <c r="E27" s="474"/>
      <c r="F27" s="474"/>
      <c r="G27" s="474"/>
      <c r="H27" s="474"/>
      <c r="I27" s="458"/>
      <c r="J27" s="458"/>
      <c r="K27" s="474"/>
      <c r="L27" s="474"/>
      <c r="M27" s="474"/>
      <c r="N27" s="474"/>
      <c r="O27" s="458"/>
      <c r="P27" s="458"/>
      <c r="Q27" s="474"/>
      <c r="R27" s="474"/>
      <c r="S27" s="460"/>
    </row>
    <row r="28" spans="1:19">
      <c r="A28" s="470"/>
      <c r="B28" s="80"/>
      <c r="C28" s="458"/>
      <c r="D28" s="459"/>
      <c r="E28" s="459"/>
      <c r="F28" s="459"/>
      <c r="G28" s="459"/>
      <c r="H28" s="459"/>
      <c r="I28" s="458"/>
      <c r="J28" s="458"/>
      <c r="K28" s="459"/>
      <c r="L28" s="459"/>
      <c r="M28" s="459"/>
      <c r="N28" s="459"/>
      <c r="O28" s="458"/>
      <c r="P28" s="458"/>
      <c r="Q28" s="459"/>
      <c r="R28" s="459"/>
      <c r="S28" s="460"/>
    </row>
    <row r="29" spans="1:19">
      <c r="A29" s="470"/>
      <c r="B29" s="461"/>
      <c r="C29" s="462"/>
      <c r="D29" s="463"/>
      <c r="E29" s="463"/>
      <c r="F29" s="463"/>
      <c r="G29" s="463"/>
      <c r="H29" s="463"/>
      <c r="I29" s="462"/>
      <c r="J29" s="462"/>
      <c r="K29" s="463"/>
      <c r="L29" s="463"/>
      <c r="M29" s="463"/>
      <c r="N29" s="463"/>
      <c r="O29" s="462"/>
      <c r="P29" s="462"/>
      <c r="Q29" s="463"/>
      <c r="R29" s="463"/>
      <c r="S29" s="464"/>
    </row>
    <row r="30" spans="1:19">
      <c r="A30" s="470"/>
      <c r="B30" s="77"/>
      <c r="C30" s="127"/>
      <c r="D30" s="129"/>
      <c r="E30" s="129"/>
      <c r="F30" s="129"/>
      <c r="G30" s="129"/>
      <c r="H30" s="129"/>
      <c r="I30" s="127"/>
      <c r="J30" s="127"/>
      <c r="K30" s="129"/>
      <c r="L30" s="129"/>
      <c r="M30" s="129"/>
      <c r="N30" s="129"/>
      <c r="O30" s="127"/>
      <c r="P30" s="127"/>
      <c r="Q30" s="129"/>
      <c r="R30" s="129"/>
      <c r="S30" s="128"/>
    </row>
    <row r="31" spans="1:19">
      <c r="A31" s="470"/>
      <c r="B31" s="80"/>
      <c r="C31" s="458"/>
      <c r="D31" s="459"/>
      <c r="E31" s="459"/>
      <c r="F31" s="459"/>
      <c r="G31" s="459"/>
      <c r="H31" s="459"/>
      <c r="I31" s="458"/>
      <c r="J31" s="458"/>
      <c r="K31" s="459"/>
      <c r="L31" s="459"/>
      <c r="M31" s="459"/>
      <c r="N31" s="459"/>
      <c r="O31" s="458"/>
      <c r="P31" s="458"/>
      <c r="Q31" s="459"/>
      <c r="R31" s="459"/>
      <c r="S31" s="460"/>
    </row>
    <row r="32" spans="1:19">
      <c r="A32" s="470"/>
      <c r="B32" s="461"/>
      <c r="C32" s="462"/>
      <c r="D32" s="463"/>
      <c r="E32" s="463"/>
      <c r="F32" s="463"/>
      <c r="G32" s="463"/>
      <c r="H32" s="463"/>
      <c r="I32" s="462"/>
      <c r="J32" s="462"/>
      <c r="K32" s="463"/>
      <c r="L32" s="463"/>
      <c r="M32" s="463"/>
      <c r="N32" s="463"/>
      <c r="O32" s="462"/>
      <c r="P32" s="462"/>
      <c r="Q32" s="463"/>
      <c r="R32" s="463"/>
      <c r="S32" s="464"/>
    </row>
    <row r="33" spans="1:19">
      <c r="A33" s="470"/>
      <c r="B33" s="77"/>
      <c r="C33" s="127"/>
      <c r="D33" s="129"/>
      <c r="E33" s="129"/>
      <c r="F33" s="129"/>
      <c r="G33" s="129"/>
      <c r="H33" s="129"/>
      <c r="I33" s="127"/>
      <c r="J33" s="127"/>
      <c r="K33" s="129"/>
      <c r="L33" s="129"/>
      <c r="M33" s="129"/>
      <c r="N33" s="129"/>
      <c r="O33" s="127"/>
      <c r="P33" s="127"/>
      <c r="Q33" s="129"/>
      <c r="R33" s="129"/>
      <c r="S33" s="128"/>
    </row>
    <row r="34" spans="1:19">
      <c r="A34" s="470"/>
      <c r="B34" s="80"/>
      <c r="C34" s="458"/>
      <c r="D34" s="459"/>
      <c r="E34" s="459"/>
      <c r="F34" s="459"/>
      <c r="G34" s="459"/>
      <c r="H34" s="459"/>
      <c r="I34" s="458"/>
      <c r="J34" s="458"/>
      <c r="K34" s="459"/>
      <c r="L34" s="459"/>
      <c r="M34" s="459"/>
      <c r="N34" s="459"/>
      <c r="O34" s="458"/>
      <c r="P34" s="458"/>
      <c r="Q34" s="459"/>
      <c r="R34" s="459"/>
      <c r="S34" s="460"/>
    </row>
    <row r="35" spans="1:19">
      <c r="A35" s="470"/>
      <c r="B35" s="461"/>
      <c r="C35" s="462"/>
      <c r="D35" s="463"/>
      <c r="E35" s="463"/>
      <c r="F35" s="463"/>
      <c r="G35" s="463"/>
      <c r="H35" s="463"/>
      <c r="I35" s="462"/>
      <c r="J35" s="462"/>
      <c r="K35" s="463"/>
      <c r="L35" s="463"/>
      <c r="M35" s="463"/>
      <c r="N35" s="463"/>
      <c r="O35" s="462"/>
      <c r="P35" s="462"/>
      <c r="Q35" s="463"/>
      <c r="R35" s="463"/>
      <c r="S35" s="464"/>
    </row>
    <row r="36" spans="1:19">
      <c r="A36" s="470"/>
      <c r="B36" s="77"/>
      <c r="C36" s="127"/>
      <c r="D36" s="129"/>
      <c r="E36" s="129"/>
      <c r="F36" s="129"/>
      <c r="G36" s="129"/>
      <c r="H36" s="129"/>
      <c r="I36" s="127"/>
      <c r="J36" s="127"/>
      <c r="K36" s="129"/>
      <c r="L36" s="129"/>
      <c r="M36" s="129"/>
      <c r="N36" s="129"/>
      <c r="O36" s="127"/>
      <c r="P36" s="127"/>
      <c r="Q36" s="129"/>
      <c r="R36" s="129"/>
      <c r="S36" s="128"/>
    </row>
    <row r="37" spans="1:19">
      <c r="A37" s="470"/>
      <c r="B37" s="80"/>
      <c r="C37" s="458"/>
      <c r="D37" s="459"/>
      <c r="E37" s="459"/>
      <c r="F37" s="459"/>
      <c r="G37" s="459"/>
      <c r="H37" s="459"/>
      <c r="I37" s="458"/>
      <c r="J37" s="458"/>
      <c r="K37" s="459"/>
      <c r="L37" s="459"/>
      <c r="M37" s="459"/>
      <c r="N37" s="459"/>
      <c r="O37" s="458"/>
      <c r="P37" s="458"/>
      <c r="Q37" s="459"/>
      <c r="R37" s="459"/>
      <c r="S37" s="460"/>
    </row>
    <row r="38" spans="1:19">
      <c r="A38" s="470"/>
      <c r="B38" s="461"/>
      <c r="C38" s="462"/>
      <c r="D38" s="463"/>
      <c r="E38" s="463"/>
      <c r="F38" s="463"/>
      <c r="G38" s="463"/>
      <c r="H38" s="463"/>
      <c r="I38" s="462"/>
      <c r="J38" s="462"/>
      <c r="K38" s="463"/>
      <c r="L38" s="463"/>
      <c r="M38" s="463"/>
      <c r="N38" s="463"/>
      <c r="O38" s="462"/>
      <c r="P38" s="462"/>
      <c r="Q38" s="463"/>
      <c r="R38" s="463"/>
      <c r="S38" s="464"/>
    </row>
    <row r="39" spans="1:19">
      <c r="A39" s="470"/>
      <c r="B39" s="77"/>
      <c r="C39" s="127"/>
      <c r="D39" s="129"/>
      <c r="E39" s="129"/>
      <c r="F39" s="129"/>
      <c r="G39" s="129"/>
      <c r="H39" s="129"/>
      <c r="I39" s="127"/>
      <c r="J39" s="127"/>
      <c r="K39" s="129"/>
      <c r="L39" s="129"/>
      <c r="M39" s="129"/>
      <c r="N39" s="129"/>
      <c r="O39" s="127"/>
      <c r="P39" s="127"/>
      <c r="Q39" s="129"/>
      <c r="R39" s="129"/>
      <c r="S39" s="128"/>
    </row>
    <row r="40" spans="1:19">
      <c r="A40" s="470"/>
      <c r="B40" s="80"/>
      <c r="C40" s="458"/>
      <c r="D40" s="459"/>
      <c r="E40" s="459"/>
      <c r="F40" s="459"/>
      <c r="G40" s="459"/>
      <c r="H40" s="459"/>
      <c r="I40" s="458"/>
      <c r="J40" s="458"/>
      <c r="K40" s="459"/>
      <c r="L40" s="459"/>
      <c r="M40" s="459"/>
      <c r="N40" s="459"/>
      <c r="O40" s="458"/>
      <c r="P40" s="458"/>
      <c r="Q40" s="459"/>
      <c r="R40" s="459"/>
      <c r="S40" s="460"/>
    </row>
    <row r="41" spans="1:19">
      <c r="A41" s="470"/>
      <c r="B41" s="461"/>
      <c r="C41" s="462"/>
      <c r="D41" s="463"/>
      <c r="E41" s="463"/>
      <c r="F41" s="463"/>
      <c r="G41" s="463"/>
      <c r="H41" s="463"/>
      <c r="I41" s="462"/>
      <c r="J41" s="462"/>
      <c r="K41" s="463"/>
      <c r="L41" s="463"/>
      <c r="M41" s="463"/>
      <c r="N41" s="463"/>
      <c r="O41" s="462"/>
      <c r="P41" s="462"/>
      <c r="Q41" s="463"/>
      <c r="R41" s="463"/>
      <c r="S41" s="464"/>
    </row>
    <row r="42" spans="1:19">
      <c r="A42" s="470"/>
      <c r="B42" s="77"/>
      <c r="C42" s="127"/>
      <c r="D42" s="129"/>
      <c r="E42" s="129"/>
      <c r="F42" s="129"/>
      <c r="G42" s="129"/>
      <c r="H42" s="129"/>
      <c r="I42" s="127"/>
      <c r="J42" s="127"/>
      <c r="K42" s="129"/>
      <c r="L42" s="129"/>
      <c r="M42" s="129"/>
      <c r="N42" s="129"/>
      <c r="O42" s="127"/>
      <c r="P42" s="127"/>
      <c r="Q42" s="129"/>
      <c r="R42" s="129"/>
      <c r="S42" s="128"/>
    </row>
    <row r="43" spans="1:19">
      <c r="A43" s="470"/>
      <c r="B43" s="80"/>
      <c r="C43" s="458"/>
      <c r="D43" s="459"/>
      <c r="E43" s="459"/>
      <c r="F43" s="459"/>
      <c r="G43" s="459"/>
      <c r="H43" s="459"/>
      <c r="I43" s="458"/>
      <c r="J43" s="458"/>
      <c r="K43" s="459"/>
      <c r="L43" s="459"/>
      <c r="M43" s="459"/>
      <c r="N43" s="459"/>
      <c r="O43" s="458"/>
      <c r="P43" s="458"/>
      <c r="Q43" s="459"/>
      <c r="R43" s="459"/>
      <c r="S43" s="460"/>
    </row>
    <row r="44" spans="1:19">
      <c r="A44" s="470"/>
      <c r="B44" s="461"/>
      <c r="C44" s="462"/>
      <c r="D44" s="463"/>
      <c r="E44" s="463"/>
      <c r="F44" s="463"/>
      <c r="G44" s="463"/>
      <c r="H44" s="463"/>
      <c r="I44" s="462"/>
      <c r="J44" s="462"/>
      <c r="K44" s="463"/>
      <c r="L44" s="463"/>
      <c r="M44" s="463"/>
      <c r="N44" s="463"/>
      <c r="O44" s="462"/>
      <c r="P44" s="462"/>
      <c r="Q44" s="463"/>
      <c r="R44" s="463"/>
      <c r="S44" s="464"/>
    </row>
    <row r="45" spans="1:19">
      <c r="A45" s="470"/>
      <c r="B45" s="77"/>
      <c r="C45" s="127"/>
      <c r="D45" s="129"/>
      <c r="E45" s="129"/>
      <c r="F45" s="129"/>
      <c r="G45" s="129"/>
      <c r="H45" s="129"/>
      <c r="I45" s="127"/>
      <c r="J45" s="127"/>
      <c r="K45" s="129"/>
      <c r="L45" s="129"/>
      <c r="M45" s="129"/>
      <c r="N45" s="129"/>
      <c r="O45" s="127"/>
      <c r="P45" s="127"/>
      <c r="Q45" s="129"/>
      <c r="R45" s="129"/>
      <c r="S45" s="128"/>
    </row>
    <row r="46" spans="1:19">
      <c r="A46" s="470"/>
      <c r="B46" s="80"/>
      <c r="C46" s="458"/>
      <c r="D46" s="459"/>
      <c r="E46" s="459"/>
      <c r="F46" s="459"/>
      <c r="G46" s="459"/>
      <c r="H46" s="459"/>
      <c r="I46" s="458"/>
      <c r="J46" s="458"/>
      <c r="K46" s="459"/>
      <c r="L46" s="459"/>
      <c r="M46" s="459"/>
      <c r="N46" s="459"/>
      <c r="O46" s="458"/>
      <c r="P46" s="458"/>
      <c r="Q46" s="459"/>
      <c r="R46" s="459"/>
      <c r="S46" s="460"/>
    </row>
    <row r="47" spans="1:19">
      <c r="A47" s="475"/>
      <c r="B47" s="476"/>
      <c r="C47" s="477"/>
      <c r="D47" s="478"/>
      <c r="E47" s="478"/>
      <c r="F47" s="478"/>
      <c r="G47" s="478"/>
      <c r="H47" s="478"/>
      <c r="I47" s="477"/>
      <c r="J47" s="477"/>
      <c r="K47" s="478"/>
      <c r="L47" s="478"/>
      <c r="M47" s="478"/>
      <c r="N47" s="478"/>
      <c r="O47" s="477"/>
      <c r="P47" s="477"/>
      <c r="Q47" s="478"/>
      <c r="R47" s="478"/>
      <c r="S47" s="479"/>
    </row>
    <row r="48" spans="1:19">
      <c r="A48" s="473"/>
      <c r="B48" s="80"/>
      <c r="C48" s="458"/>
      <c r="D48" s="474"/>
      <c r="E48" s="474"/>
      <c r="F48" s="474"/>
      <c r="G48" s="474"/>
      <c r="H48" s="474"/>
      <c r="I48" s="458"/>
      <c r="J48" s="458"/>
      <c r="K48" s="474"/>
      <c r="L48" s="474"/>
      <c r="M48" s="474"/>
      <c r="N48" s="474"/>
      <c r="O48" s="458"/>
      <c r="P48" s="458"/>
      <c r="Q48" s="474"/>
      <c r="R48" s="474"/>
      <c r="S48" s="460"/>
    </row>
    <row r="49" spans="1:19">
      <c r="A49" s="470"/>
      <c r="B49" s="80"/>
      <c r="C49" s="458"/>
      <c r="D49" s="459"/>
      <c r="E49" s="459"/>
      <c r="F49" s="459"/>
      <c r="G49" s="459"/>
      <c r="H49" s="459"/>
      <c r="I49" s="458"/>
      <c r="J49" s="458"/>
      <c r="K49" s="459"/>
      <c r="L49" s="459"/>
      <c r="M49" s="459"/>
      <c r="N49" s="459"/>
      <c r="O49" s="458"/>
      <c r="P49" s="458"/>
      <c r="Q49" s="459"/>
      <c r="R49" s="459"/>
      <c r="S49" s="460"/>
    </row>
    <row r="50" spans="1:19">
      <c r="A50" s="470"/>
      <c r="B50" s="461"/>
      <c r="C50" s="462"/>
      <c r="D50" s="463"/>
      <c r="E50" s="463"/>
      <c r="F50" s="463"/>
      <c r="G50" s="463"/>
      <c r="H50" s="463"/>
      <c r="I50" s="462"/>
      <c r="J50" s="462"/>
      <c r="K50" s="463"/>
      <c r="L50" s="463"/>
      <c r="M50" s="463"/>
      <c r="N50" s="463"/>
      <c r="O50" s="462"/>
      <c r="P50" s="462"/>
      <c r="Q50" s="463"/>
      <c r="R50" s="463"/>
      <c r="S50" s="464"/>
    </row>
    <row r="51" spans="1:19">
      <c r="A51" s="470"/>
      <c r="B51" s="77"/>
      <c r="C51" s="127"/>
      <c r="D51" s="129"/>
      <c r="E51" s="129"/>
      <c r="F51" s="129"/>
      <c r="G51" s="129"/>
      <c r="H51" s="129"/>
      <c r="I51" s="127"/>
      <c r="J51" s="127"/>
      <c r="K51" s="129"/>
      <c r="L51" s="129"/>
      <c r="M51" s="129"/>
      <c r="N51" s="129"/>
      <c r="O51" s="127"/>
      <c r="P51" s="127"/>
      <c r="Q51" s="129"/>
      <c r="R51" s="129"/>
      <c r="S51" s="128"/>
    </row>
    <row r="52" spans="1:19">
      <c r="A52" s="470"/>
      <c r="B52" s="80"/>
      <c r="C52" s="458"/>
      <c r="D52" s="459"/>
      <c r="E52" s="459"/>
      <c r="F52" s="459"/>
      <c r="G52" s="459"/>
      <c r="H52" s="459"/>
      <c r="I52" s="458"/>
      <c r="J52" s="458"/>
      <c r="K52" s="459"/>
      <c r="L52" s="459"/>
      <c r="M52" s="459"/>
      <c r="N52" s="459"/>
      <c r="O52" s="458"/>
      <c r="P52" s="458"/>
      <c r="Q52" s="459"/>
      <c r="R52" s="459"/>
      <c r="S52" s="460"/>
    </row>
    <row r="53" spans="1:19">
      <c r="A53" s="470"/>
      <c r="B53" s="461"/>
      <c r="C53" s="462"/>
      <c r="D53" s="463"/>
      <c r="E53" s="463"/>
      <c r="F53" s="463"/>
      <c r="G53" s="463"/>
      <c r="H53" s="463"/>
      <c r="I53" s="462"/>
      <c r="J53" s="462"/>
      <c r="K53" s="463"/>
      <c r="L53" s="463"/>
      <c r="M53" s="463"/>
      <c r="N53" s="463"/>
      <c r="O53" s="462"/>
      <c r="P53" s="462"/>
      <c r="Q53" s="463"/>
      <c r="R53" s="463"/>
      <c r="S53" s="464"/>
    </row>
    <row r="54" spans="1:19">
      <c r="A54" s="470"/>
      <c r="B54" s="77"/>
      <c r="C54" s="127"/>
      <c r="D54" s="129"/>
      <c r="E54" s="129"/>
      <c r="F54" s="129"/>
      <c r="G54" s="129"/>
      <c r="H54" s="129"/>
      <c r="I54" s="127"/>
      <c r="J54" s="127"/>
      <c r="K54" s="129"/>
      <c r="L54" s="129"/>
      <c r="M54" s="129"/>
      <c r="N54" s="129"/>
      <c r="O54" s="127"/>
      <c r="P54" s="127"/>
      <c r="Q54" s="129"/>
      <c r="R54" s="129"/>
      <c r="S54" s="128"/>
    </row>
    <row r="55" spans="1:19">
      <c r="A55" s="470"/>
      <c r="B55" s="80"/>
      <c r="C55" s="458"/>
      <c r="D55" s="459"/>
      <c r="E55" s="459"/>
      <c r="F55" s="459"/>
      <c r="G55" s="459"/>
      <c r="H55" s="459"/>
      <c r="I55" s="458"/>
      <c r="J55" s="458"/>
      <c r="K55" s="459"/>
      <c r="L55" s="459"/>
      <c r="M55" s="459"/>
      <c r="N55" s="459"/>
      <c r="O55" s="458"/>
      <c r="P55" s="458"/>
      <c r="Q55" s="459"/>
      <c r="R55" s="459"/>
      <c r="S55" s="460"/>
    </row>
    <row r="56" spans="1:19">
      <c r="A56" s="470"/>
      <c r="B56" s="461"/>
      <c r="C56" s="462"/>
      <c r="D56" s="463"/>
      <c r="E56" s="463"/>
      <c r="F56" s="463"/>
      <c r="G56" s="463"/>
      <c r="H56" s="463"/>
      <c r="I56" s="462"/>
      <c r="J56" s="462"/>
      <c r="K56" s="463"/>
      <c r="L56" s="463"/>
      <c r="M56" s="463"/>
      <c r="N56" s="463"/>
      <c r="O56" s="462"/>
      <c r="P56" s="462"/>
      <c r="Q56" s="463"/>
      <c r="R56" s="463"/>
      <c r="S56" s="464"/>
    </row>
    <row r="57" spans="1:19">
      <c r="A57" s="470"/>
      <c r="B57" s="77"/>
      <c r="C57" s="127"/>
      <c r="D57" s="129"/>
      <c r="E57" s="129"/>
      <c r="F57" s="129"/>
      <c r="G57" s="129"/>
      <c r="H57" s="129"/>
      <c r="I57" s="127"/>
      <c r="J57" s="127"/>
      <c r="K57" s="129"/>
      <c r="L57" s="129"/>
      <c r="M57" s="129"/>
      <c r="N57" s="129"/>
      <c r="O57" s="127"/>
      <c r="P57" s="127"/>
      <c r="Q57" s="129"/>
      <c r="R57" s="129"/>
      <c r="S57" s="128"/>
    </row>
    <row r="58" spans="1:19">
      <c r="A58" s="470"/>
      <c r="B58" s="80"/>
      <c r="C58" s="458"/>
      <c r="D58" s="459"/>
      <c r="E58" s="459"/>
      <c r="F58" s="459"/>
      <c r="G58" s="459"/>
      <c r="H58" s="459"/>
      <c r="I58" s="458"/>
      <c r="J58" s="458"/>
      <c r="K58" s="459"/>
      <c r="L58" s="459"/>
      <c r="M58" s="459"/>
      <c r="N58" s="459"/>
      <c r="O58" s="458"/>
      <c r="P58" s="458"/>
      <c r="Q58" s="459"/>
      <c r="R58" s="459"/>
      <c r="S58" s="460"/>
    </row>
    <row r="59" spans="1:19">
      <c r="A59" s="470"/>
      <c r="B59" s="461"/>
      <c r="C59" s="462"/>
      <c r="D59" s="463"/>
      <c r="E59" s="463"/>
      <c r="F59" s="463"/>
      <c r="G59" s="463"/>
      <c r="H59" s="463"/>
      <c r="I59" s="462"/>
      <c r="J59" s="462"/>
      <c r="K59" s="463"/>
      <c r="L59" s="463"/>
      <c r="M59" s="463"/>
      <c r="N59" s="463"/>
      <c r="O59" s="462"/>
      <c r="P59" s="462"/>
      <c r="Q59" s="463"/>
      <c r="R59" s="463"/>
      <c r="S59" s="464"/>
    </row>
    <row r="60" spans="1:19">
      <c r="A60" s="470"/>
      <c r="B60" s="77"/>
      <c r="C60" s="127"/>
      <c r="D60" s="129"/>
      <c r="E60" s="129"/>
      <c r="F60" s="129"/>
      <c r="G60" s="129"/>
      <c r="H60" s="129"/>
      <c r="I60" s="127"/>
      <c r="J60" s="127"/>
      <c r="K60" s="129"/>
      <c r="L60" s="129"/>
      <c r="M60" s="129"/>
      <c r="N60" s="129"/>
      <c r="O60" s="127"/>
      <c r="P60" s="127"/>
      <c r="Q60" s="129"/>
      <c r="R60" s="129"/>
      <c r="S60" s="128"/>
    </row>
    <row r="61" spans="1:19">
      <c r="A61" s="470"/>
      <c r="B61" s="80"/>
      <c r="C61" s="458"/>
      <c r="D61" s="459"/>
      <c r="E61" s="459"/>
      <c r="F61" s="459"/>
      <c r="G61" s="459"/>
      <c r="H61" s="459"/>
      <c r="I61" s="458"/>
      <c r="J61" s="458"/>
      <c r="K61" s="459"/>
      <c r="L61" s="459"/>
      <c r="M61" s="459"/>
      <c r="N61" s="459"/>
      <c r="O61" s="458"/>
      <c r="P61" s="458"/>
      <c r="Q61" s="459"/>
      <c r="R61" s="459"/>
      <c r="S61" s="460"/>
    </row>
    <row r="62" spans="1:19">
      <c r="A62" s="470"/>
      <c r="B62" s="461"/>
      <c r="C62" s="462"/>
      <c r="D62" s="463"/>
      <c r="E62" s="463"/>
      <c r="F62" s="463"/>
      <c r="G62" s="463"/>
      <c r="H62" s="463"/>
      <c r="I62" s="462"/>
      <c r="J62" s="462"/>
      <c r="K62" s="463"/>
      <c r="L62" s="463"/>
      <c r="M62" s="463"/>
      <c r="N62" s="463"/>
      <c r="O62" s="462"/>
      <c r="P62" s="462"/>
      <c r="Q62" s="463"/>
      <c r="R62" s="463"/>
      <c r="S62" s="464"/>
    </row>
    <row r="63" spans="1:19">
      <c r="A63" s="470"/>
      <c r="B63" s="77"/>
      <c r="C63" s="127"/>
      <c r="D63" s="129"/>
      <c r="E63" s="129"/>
      <c r="F63" s="129"/>
      <c r="G63" s="129"/>
      <c r="H63" s="129"/>
      <c r="I63" s="127"/>
      <c r="J63" s="127"/>
      <c r="K63" s="129"/>
      <c r="L63" s="129"/>
      <c r="M63" s="129"/>
      <c r="N63" s="129"/>
      <c r="O63" s="127"/>
      <c r="P63" s="127"/>
      <c r="Q63" s="129"/>
      <c r="R63" s="129"/>
      <c r="S63" s="128"/>
    </row>
    <row r="64" spans="1:19">
      <c r="A64" s="470"/>
      <c r="B64" s="80"/>
      <c r="C64" s="458"/>
      <c r="D64" s="459"/>
      <c r="E64" s="459"/>
      <c r="F64" s="459"/>
      <c r="G64" s="459"/>
      <c r="H64" s="459"/>
      <c r="I64" s="458"/>
      <c r="J64" s="458"/>
      <c r="K64" s="459"/>
      <c r="L64" s="459"/>
      <c r="M64" s="459"/>
      <c r="N64" s="459"/>
      <c r="O64" s="458"/>
      <c r="P64" s="458"/>
      <c r="Q64" s="459"/>
      <c r="R64" s="459"/>
      <c r="S64" s="460"/>
    </row>
    <row r="65" spans="1:19">
      <c r="A65" s="470"/>
      <c r="B65" s="461"/>
      <c r="C65" s="462"/>
      <c r="D65" s="463"/>
      <c r="E65" s="463"/>
      <c r="F65" s="463"/>
      <c r="G65" s="463"/>
      <c r="H65" s="463"/>
      <c r="I65" s="462"/>
      <c r="J65" s="462"/>
      <c r="K65" s="463"/>
      <c r="L65" s="463"/>
      <c r="M65" s="463"/>
      <c r="N65" s="463"/>
      <c r="O65" s="462"/>
      <c r="P65" s="462"/>
      <c r="Q65" s="463"/>
      <c r="R65" s="463"/>
      <c r="S65" s="464"/>
    </row>
    <row r="66" spans="1:19">
      <c r="A66" s="470"/>
      <c r="B66" s="77"/>
      <c r="C66" s="127"/>
      <c r="D66" s="129"/>
      <c r="E66" s="129"/>
      <c r="F66" s="129"/>
      <c r="G66" s="129"/>
      <c r="H66" s="129"/>
      <c r="I66" s="127"/>
      <c r="J66" s="127"/>
      <c r="K66" s="129"/>
      <c r="L66" s="129"/>
      <c r="M66" s="129"/>
      <c r="N66" s="129"/>
      <c r="O66" s="127"/>
      <c r="P66" s="127"/>
      <c r="Q66" s="129"/>
      <c r="R66" s="129"/>
      <c r="S66" s="128"/>
    </row>
    <row r="67" spans="1:19">
      <c r="A67" s="470"/>
      <c r="B67" s="80"/>
      <c r="C67" s="458"/>
      <c r="D67" s="459"/>
      <c r="E67" s="459"/>
      <c r="F67" s="459"/>
      <c r="G67" s="459"/>
      <c r="H67" s="459"/>
      <c r="I67" s="458"/>
      <c r="J67" s="458"/>
      <c r="K67" s="459"/>
      <c r="L67" s="459"/>
      <c r="M67" s="459"/>
      <c r="N67" s="459"/>
      <c r="O67" s="458"/>
      <c r="P67" s="458"/>
      <c r="Q67" s="459"/>
      <c r="R67" s="459"/>
      <c r="S67" s="460"/>
    </row>
    <row r="68" spans="1:19">
      <c r="A68" s="475"/>
      <c r="B68" s="476"/>
      <c r="C68" s="477"/>
      <c r="D68" s="478"/>
      <c r="E68" s="478"/>
      <c r="F68" s="478"/>
      <c r="G68" s="478"/>
      <c r="H68" s="478"/>
      <c r="I68" s="477"/>
      <c r="J68" s="477"/>
      <c r="K68" s="478"/>
      <c r="L68" s="478"/>
      <c r="M68" s="478"/>
      <c r="N68" s="478"/>
      <c r="O68" s="477"/>
      <c r="P68" s="477"/>
      <c r="Q68" s="478"/>
      <c r="R68" s="478"/>
      <c r="S68" s="479"/>
    </row>
    <row r="69" spans="1:19">
      <c r="A69" s="473"/>
      <c r="B69" s="80"/>
      <c r="C69" s="458"/>
      <c r="D69" s="474"/>
      <c r="E69" s="474"/>
      <c r="F69" s="474"/>
      <c r="G69" s="474"/>
      <c r="H69" s="474"/>
      <c r="I69" s="458"/>
      <c r="J69" s="458"/>
      <c r="K69" s="474"/>
      <c r="L69" s="474"/>
      <c r="M69" s="474"/>
      <c r="N69" s="474"/>
      <c r="O69" s="458"/>
      <c r="P69" s="458"/>
      <c r="Q69" s="474"/>
      <c r="R69" s="474"/>
      <c r="S69" s="460"/>
    </row>
    <row r="70" spans="1:19">
      <c r="A70" s="470"/>
      <c r="B70" s="80"/>
      <c r="C70" s="458"/>
      <c r="D70" s="459"/>
      <c r="E70" s="459"/>
      <c r="F70" s="459"/>
      <c r="G70" s="459"/>
      <c r="H70" s="459"/>
      <c r="I70" s="458"/>
      <c r="J70" s="458"/>
      <c r="K70" s="459"/>
      <c r="L70" s="459"/>
      <c r="M70" s="459"/>
      <c r="N70" s="459"/>
      <c r="O70" s="458"/>
      <c r="P70" s="458"/>
      <c r="Q70" s="459"/>
      <c r="R70" s="459"/>
      <c r="S70" s="460"/>
    </row>
    <row r="71" spans="1:19">
      <c r="A71" s="470"/>
      <c r="B71" s="461"/>
      <c r="C71" s="462"/>
      <c r="D71" s="463"/>
      <c r="E71" s="463"/>
      <c r="F71" s="463"/>
      <c r="G71" s="463"/>
      <c r="H71" s="463"/>
      <c r="I71" s="462"/>
      <c r="J71" s="462"/>
      <c r="K71" s="463"/>
      <c r="L71" s="463"/>
      <c r="M71" s="463"/>
      <c r="N71" s="463"/>
      <c r="O71" s="462"/>
      <c r="P71" s="462"/>
      <c r="Q71" s="463"/>
      <c r="R71" s="463"/>
      <c r="S71" s="464"/>
    </row>
    <row r="72" spans="1:19">
      <c r="A72" s="470"/>
      <c r="B72" s="77"/>
      <c r="C72" s="127"/>
      <c r="D72" s="129"/>
      <c r="E72" s="129"/>
      <c r="F72" s="129"/>
      <c r="G72" s="129"/>
      <c r="H72" s="129"/>
      <c r="I72" s="127"/>
      <c r="J72" s="127"/>
      <c r="K72" s="129"/>
      <c r="L72" s="129"/>
      <c r="M72" s="129"/>
      <c r="N72" s="129"/>
      <c r="O72" s="127"/>
      <c r="P72" s="127"/>
      <c r="Q72" s="129"/>
      <c r="R72" s="129"/>
      <c r="S72" s="128"/>
    </row>
    <row r="73" spans="1:19">
      <c r="A73" s="470"/>
      <c r="B73" s="80"/>
      <c r="C73" s="458"/>
      <c r="D73" s="459"/>
      <c r="E73" s="459"/>
      <c r="F73" s="459"/>
      <c r="G73" s="459"/>
      <c r="H73" s="459"/>
      <c r="I73" s="458"/>
      <c r="J73" s="458"/>
      <c r="K73" s="459"/>
      <c r="L73" s="459"/>
      <c r="M73" s="459"/>
      <c r="N73" s="459"/>
      <c r="O73" s="458"/>
      <c r="P73" s="458"/>
      <c r="Q73" s="459"/>
      <c r="R73" s="459"/>
      <c r="S73" s="460"/>
    </row>
    <row r="74" spans="1:19">
      <c r="A74" s="470"/>
      <c r="B74" s="461"/>
      <c r="C74" s="462"/>
      <c r="D74" s="463"/>
      <c r="E74" s="463"/>
      <c r="F74" s="463"/>
      <c r="G74" s="463"/>
      <c r="H74" s="463"/>
      <c r="I74" s="462"/>
      <c r="J74" s="462"/>
      <c r="K74" s="463"/>
      <c r="L74" s="463"/>
      <c r="M74" s="463"/>
      <c r="N74" s="463"/>
      <c r="O74" s="462"/>
      <c r="P74" s="462"/>
      <c r="Q74" s="463"/>
      <c r="R74" s="463"/>
      <c r="S74" s="464"/>
    </row>
    <row r="75" spans="1:19">
      <c r="A75" s="470"/>
      <c r="B75" s="77"/>
      <c r="C75" s="127"/>
      <c r="D75" s="129"/>
      <c r="E75" s="129"/>
      <c r="F75" s="129"/>
      <c r="G75" s="129"/>
      <c r="H75" s="129"/>
      <c r="I75" s="127"/>
      <c r="J75" s="127"/>
      <c r="K75" s="129"/>
      <c r="L75" s="129"/>
      <c r="M75" s="129"/>
      <c r="N75" s="129"/>
      <c r="O75" s="127"/>
      <c r="P75" s="127"/>
      <c r="Q75" s="129"/>
      <c r="R75" s="129"/>
      <c r="S75" s="128"/>
    </row>
    <row r="76" spans="1:19">
      <c r="A76" s="470"/>
      <c r="B76" s="80"/>
      <c r="C76" s="458"/>
      <c r="D76" s="459"/>
      <c r="E76" s="459"/>
      <c r="F76" s="459"/>
      <c r="G76" s="459"/>
      <c r="H76" s="459"/>
      <c r="I76" s="458"/>
      <c r="J76" s="458"/>
      <c r="K76" s="459"/>
      <c r="L76" s="459"/>
      <c r="M76" s="459"/>
      <c r="N76" s="459"/>
      <c r="O76" s="458"/>
      <c r="P76" s="458"/>
      <c r="Q76" s="459"/>
      <c r="R76" s="459"/>
      <c r="S76" s="460"/>
    </row>
    <row r="77" spans="1:19">
      <c r="A77" s="470"/>
      <c r="B77" s="461"/>
      <c r="C77" s="462"/>
      <c r="D77" s="463"/>
      <c r="E77" s="463"/>
      <c r="F77" s="463"/>
      <c r="G77" s="463"/>
      <c r="H77" s="463"/>
      <c r="I77" s="462"/>
      <c r="J77" s="462"/>
      <c r="K77" s="463"/>
      <c r="L77" s="463"/>
      <c r="M77" s="463"/>
      <c r="N77" s="463"/>
      <c r="O77" s="462"/>
      <c r="P77" s="462"/>
      <c r="Q77" s="463"/>
      <c r="R77" s="463"/>
      <c r="S77" s="464"/>
    </row>
    <row r="78" spans="1:19">
      <c r="A78" s="470"/>
      <c r="B78" s="77"/>
      <c r="C78" s="127"/>
      <c r="D78" s="129"/>
      <c r="E78" s="129"/>
      <c r="F78" s="129"/>
      <c r="G78" s="129"/>
      <c r="H78" s="129"/>
      <c r="I78" s="127"/>
      <c r="J78" s="127"/>
      <c r="K78" s="129"/>
      <c r="L78" s="129"/>
      <c r="M78" s="129"/>
      <c r="N78" s="129"/>
      <c r="O78" s="127"/>
      <c r="P78" s="127"/>
      <c r="Q78" s="129"/>
      <c r="R78" s="129"/>
      <c r="S78" s="128"/>
    </row>
    <row r="79" spans="1:19">
      <c r="A79" s="470"/>
      <c r="B79" s="80"/>
      <c r="C79" s="458"/>
      <c r="D79" s="459"/>
      <c r="E79" s="459"/>
      <c r="F79" s="459"/>
      <c r="G79" s="459"/>
      <c r="H79" s="459"/>
      <c r="I79" s="458"/>
      <c r="J79" s="458"/>
      <c r="K79" s="459"/>
      <c r="L79" s="459"/>
      <c r="M79" s="459"/>
      <c r="N79" s="459"/>
      <c r="O79" s="458"/>
      <c r="P79" s="458"/>
      <c r="Q79" s="459"/>
      <c r="R79" s="459"/>
      <c r="S79" s="460"/>
    </row>
    <row r="80" spans="1:19">
      <c r="A80" s="470"/>
      <c r="B80" s="461"/>
      <c r="C80" s="462"/>
      <c r="D80" s="463"/>
      <c r="E80" s="463"/>
      <c r="F80" s="463"/>
      <c r="G80" s="463"/>
      <c r="H80" s="463"/>
      <c r="I80" s="462"/>
      <c r="J80" s="462"/>
      <c r="K80" s="463"/>
      <c r="L80" s="463"/>
      <c r="M80" s="463"/>
      <c r="N80" s="463"/>
      <c r="O80" s="462"/>
      <c r="P80" s="462"/>
      <c r="Q80" s="463"/>
      <c r="R80" s="463"/>
      <c r="S80" s="464"/>
    </row>
    <row r="81" spans="1:19">
      <c r="A81" s="470"/>
      <c r="B81" s="77"/>
      <c r="C81" s="127"/>
      <c r="D81" s="129"/>
      <c r="E81" s="129"/>
      <c r="F81" s="129"/>
      <c r="G81" s="129"/>
      <c r="H81" s="129"/>
      <c r="I81" s="127"/>
      <c r="J81" s="127"/>
      <c r="K81" s="129"/>
      <c r="L81" s="129"/>
      <c r="M81" s="129"/>
      <c r="N81" s="129"/>
      <c r="O81" s="127"/>
      <c r="P81" s="127"/>
      <c r="Q81" s="129"/>
      <c r="R81" s="129"/>
      <c r="S81" s="128"/>
    </row>
    <row r="82" spans="1:19">
      <c r="A82" s="470"/>
      <c r="B82" s="80"/>
      <c r="C82" s="458"/>
      <c r="D82" s="459"/>
      <c r="E82" s="459"/>
      <c r="F82" s="459"/>
      <c r="G82" s="459"/>
      <c r="H82" s="459"/>
      <c r="I82" s="458"/>
      <c r="J82" s="458"/>
      <c r="K82" s="459"/>
      <c r="L82" s="459"/>
      <c r="M82" s="459"/>
      <c r="N82" s="459"/>
      <c r="O82" s="458"/>
      <c r="P82" s="458"/>
      <c r="Q82" s="459"/>
      <c r="R82" s="459"/>
      <c r="S82" s="460"/>
    </row>
    <row r="83" spans="1:19">
      <c r="A83" s="470"/>
      <c r="B83" s="461"/>
      <c r="C83" s="462"/>
      <c r="D83" s="463"/>
      <c r="E83" s="463"/>
      <c r="F83" s="463"/>
      <c r="G83" s="463"/>
      <c r="H83" s="463"/>
      <c r="I83" s="462"/>
      <c r="J83" s="462"/>
      <c r="K83" s="463"/>
      <c r="L83" s="463"/>
      <c r="M83" s="463"/>
      <c r="N83" s="463"/>
      <c r="O83" s="462"/>
      <c r="P83" s="462"/>
      <c r="Q83" s="463"/>
      <c r="R83" s="463"/>
      <c r="S83" s="464"/>
    </row>
    <row r="84" spans="1:19">
      <c r="A84" s="470"/>
      <c r="B84" s="77"/>
      <c r="C84" s="127"/>
      <c r="D84" s="129"/>
      <c r="E84" s="129"/>
      <c r="F84" s="129"/>
      <c r="G84" s="129"/>
      <c r="H84" s="129"/>
      <c r="I84" s="127"/>
      <c r="J84" s="127"/>
      <c r="K84" s="129"/>
      <c r="L84" s="129"/>
      <c r="M84" s="129"/>
      <c r="N84" s="129"/>
      <c r="O84" s="127"/>
      <c r="P84" s="127"/>
      <c r="Q84" s="129"/>
      <c r="R84" s="129"/>
      <c r="S84" s="128"/>
    </row>
    <row r="85" spans="1:19">
      <c r="A85" s="470"/>
      <c r="B85" s="80"/>
      <c r="C85" s="458"/>
      <c r="D85" s="459"/>
      <c r="E85" s="459"/>
      <c r="F85" s="459"/>
      <c r="G85" s="459"/>
      <c r="H85" s="459"/>
      <c r="I85" s="458"/>
      <c r="J85" s="458"/>
      <c r="K85" s="459"/>
      <c r="L85" s="459"/>
      <c r="M85" s="459"/>
      <c r="N85" s="459"/>
      <c r="O85" s="458"/>
      <c r="P85" s="458"/>
      <c r="Q85" s="459"/>
      <c r="R85" s="459"/>
      <c r="S85" s="460"/>
    </row>
    <row r="86" spans="1:19">
      <c r="A86" s="470"/>
      <c r="B86" s="461"/>
      <c r="C86" s="462"/>
      <c r="D86" s="463"/>
      <c r="E86" s="463"/>
      <c r="F86" s="463"/>
      <c r="G86" s="463"/>
      <c r="H86" s="463"/>
      <c r="I86" s="462"/>
      <c r="J86" s="462"/>
      <c r="K86" s="463"/>
      <c r="L86" s="463"/>
      <c r="M86" s="463"/>
      <c r="N86" s="463"/>
      <c r="O86" s="462"/>
      <c r="P86" s="462"/>
      <c r="Q86" s="463"/>
      <c r="R86" s="463"/>
      <c r="S86" s="464"/>
    </row>
    <row r="87" spans="1:19">
      <c r="A87" s="470"/>
      <c r="B87" s="77"/>
      <c r="C87" s="127"/>
      <c r="D87" s="129"/>
      <c r="E87" s="129"/>
      <c r="F87" s="129"/>
      <c r="G87" s="129"/>
      <c r="H87" s="129"/>
      <c r="I87" s="127"/>
      <c r="J87" s="127"/>
      <c r="K87" s="129"/>
      <c r="L87" s="129"/>
      <c r="M87" s="129"/>
      <c r="N87" s="129"/>
      <c r="O87" s="127"/>
      <c r="P87" s="127"/>
      <c r="Q87" s="129"/>
      <c r="R87" s="129"/>
      <c r="S87" s="128"/>
    </row>
    <row r="88" spans="1:19">
      <c r="A88" s="470"/>
      <c r="B88" s="80"/>
      <c r="C88" s="458"/>
      <c r="D88" s="459"/>
      <c r="E88" s="459"/>
      <c r="F88" s="459"/>
      <c r="G88" s="459"/>
      <c r="H88" s="459"/>
      <c r="I88" s="458"/>
      <c r="J88" s="458"/>
      <c r="K88" s="459"/>
      <c r="L88" s="459"/>
      <c r="M88" s="459"/>
      <c r="N88" s="459"/>
      <c r="O88" s="458"/>
      <c r="P88" s="458"/>
      <c r="Q88" s="459"/>
      <c r="R88" s="459"/>
      <c r="S88" s="460"/>
    </row>
    <row r="89" spans="1:19">
      <c r="A89" s="475"/>
      <c r="B89" s="476"/>
      <c r="C89" s="477"/>
      <c r="D89" s="478"/>
      <c r="E89" s="478"/>
      <c r="F89" s="478"/>
      <c r="G89" s="478"/>
      <c r="H89" s="478"/>
      <c r="I89" s="477"/>
      <c r="J89" s="477"/>
      <c r="K89" s="478"/>
      <c r="L89" s="478"/>
      <c r="M89" s="478"/>
      <c r="N89" s="478"/>
      <c r="O89" s="477"/>
      <c r="P89" s="477"/>
      <c r="Q89" s="478"/>
      <c r="R89" s="478"/>
      <c r="S89" s="479"/>
    </row>
    <row r="90" spans="1:19">
      <c r="A90" s="473"/>
      <c r="B90" s="80"/>
      <c r="C90" s="458"/>
      <c r="D90" s="474"/>
      <c r="E90" s="474"/>
      <c r="F90" s="474"/>
      <c r="G90" s="474"/>
      <c r="H90" s="474"/>
      <c r="I90" s="458"/>
      <c r="J90" s="458"/>
      <c r="K90" s="474"/>
      <c r="L90" s="474"/>
      <c r="M90" s="474"/>
      <c r="N90" s="474"/>
      <c r="O90" s="458"/>
      <c r="P90" s="458"/>
      <c r="Q90" s="474"/>
      <c r="R90" s="474"/>
      <c r="S90" s="460"/>
    </row>
    <row r="91" spans="1:19">
      <c r="A91" s="470"/>
      <c r="B91" s="80"/>
      <c r="C91" s="458"/>
      <c r="D91" s="459"/>
      <c r="E91" s="459"/>
      <c r="F91" s="459"/>
      <c r="G91" s="459"/>
      <c r="H91" s="459"/>
      <c r="I91" s="458"/>
      <c r="J91" s="458"/>
      <c r="K91" s="459"/>
      <c r="L91" s="459"/>
      <c r="M91" s="459"/>
      <c r="N91" s="459"/>
      <c r="O91" s="458"/>
      <c r="P91" s="458"/>
      <c r="Q91" s="459"/>
      <c r="R91" s="459"/>
      <c r="S91" s="460"/>
    </row>
    <row r="92" spans="1:19">
      <c r="A92" s="470"/>
      <c r="B92" s="461"/>
      <c r="C92" s="462"/>
      <c r="D92" s="463"/>
      <c r="E92" s="463"/>
      <c r="F92" s="463"/>
      <c r="G92" s="463"/>
      <c r="H92" s="463"/>
      <c r="I92" s="462"/>
      <c r="J92" s="462"/>
      <c r="K92" s="463"/>
      <c r="L92" s="463"/>
      <c r="M92" s="463"/>
      <c r="N92" s="463"/>
      <c r="O92" s="462"/>
      <c r="P92" s="462"/>
      <c r="Q92" s="463"/>
      <c r="R92" s="463"/>
      <c r="S92" s="464"/>
    </row>
    <row r="93" spans="1:19">
      <c r="A93" s="470"/>
      <c r="B93" s="77"/>
      <c r="C93" s="127"/>
      <c r="D93" s="129"/>
      <c r="E93" s="129"/>
      <c r="F93" s="129"/>
      <c r="G93" s="129"/>
      <c r="H93" s="129"/>
      <c r="I93" s="127"/>
      <c r="J93" s="127"/>
      <c r="K93" s="129"/>
      <c r="L93" s="129"/>
      <c r="M93" s="129"/>
      <c r="N93" s="129"/>
      <c r="O93" s="127"/>
      <c r="P93" s="127"/>
      <c r="Q93" s="129"/>
      <c r="R93" s="129"/>
      <c r="S93" s="128"/>
    </row>
    <row r="94" spans="1:19">
      <c r="A94" s="470"/>
      <c r="B94" s="80"/>
      <c r="C94" s="458"/>
      <c r="D94" s="459"/>
      <c r="E94" s="459"/>
      <c r="F94" s="459"/>
      <c r="G94" s="459"/>
      <c r="H94" s="459"/>
      <c r="I94" s="458"/>
      <c r="J94" s="458"/>
      <c r="K94" s="459"/>
      <c r="L94" s="459"/>
      <c r="M94" s="459"/>
      <c r="N94" s="459"/>
      <c r="O94" s="458"/>
      <c r="P94" s="458"/>
      <c r="Q94" s="459"/>
      <c r="R94" s="459"/>
      <c r="S94" s="460"/>
    </row>
    <row r="95" spans="1:19">
      <c r="A95" s="470"/>
      <c r="B95" s="461"/>
      <c r="C95" s="462"/>
      <c r="D95" s="463"/>
      <c r="E95" s="463"/>
      <c r="F95" s="463"/>
      <c r="G95" s="463"/>
      <c r="H95" s="463"/>
      <c r="I95" s="462"/>
      <c r="J95" s="462"/>
      <c r="K95" s="463"/>
      <c r="L95" s="463"/>
      <c r="M95" s="463"/>
      <c r="N95" s="463"/>
      <c r="O95" s="462"/>
      <c r="P95" s="462"/>
      <c r="Q95" s="463"/>
      <c r="R95" s="463"/>
      <c r="S95" s="464"/>
    </row>
    <row r="96" spans="1:19">
      <c r="A96" s="470"/>
      <c r="B96" s="77"/>
      <c r="C96" s="127"/>
      <c r="D96" s="129"/>
      <c r="E96" s="129"/>
      <c r="F96" s="129"/>
      <c r="G96" s="129"/>
      <c r="H96" s="129"/>
      <c r="I96" s="127"/>
      <c r="J96" s="127"/>
      <c r="K96" s="129"/>
      <c r="L96" s="129"/>
      <c r="M96" s="129"/>
      <c r="N96" s="129"/>
      <c r="O96" s="127"/>
      <c r="P96" s="127"/>
      <c r="Q96" s="129"/>
      <c r="R96" s="129"/>
      <c r="S96" s="128"/>
    </row>
    <row r="97" spans="1:19">
      <c r="A97" s="470"/>
      <c r="B97" s="80"/>
      <c r="C97" s="458"/>
      <c r="D97" s="459"/>
      <c r="E97" s="459"/>
      <c r="F97" s="459"/>
      <c r="G97" s="459"/>
      <c r="H97" s="459"/>
      <c r="I97" s="458"/>
      <c r="J97" s="458"/>
      <c r="K97" s="459"/>
      <c r="L97" s="459"/>
      <c r="M97" s="459"/>
      <c r="N97" s="459"/>
      <c r="O97" s="458"/>
      <c r="P97" s="458"/>
      <c r="Q97" s="459"/>
      <c r="R97" s="459"/>
      <c r="S97" s="460"/>
    </row>
    <row r="98" spans="1:19">
      <c r="A98" s="470"/>
      <c r="B98" s="461"/>
      <c r="C98" s="462"/>
      <c r="D98" s="463"/>
      <c r="E98" s="463"/>
      <c r="F98" s="463"/>
      <c r="G98" s="463"/>
      <c r="H98" s="463"/>
      <c r="I98" s="462"/>
      <c r="J98" s="462"/>
      <c r="K98" s="463"/>
      <c r="L98" s="463"/>
      <c r="M98" s="463"/>
      <c r="N98" s="463"/>
      <c r="O98" s="462"/>
      <c r="P98" s="462"/>
      <c r="Q98" s="463"/>
      <c r="R98" s="463"/>
      <c r="S98" s="464"/>
    </row>
    <row r="99" spans="1:19">
      <c r="A99" s="470"/>
      <c r="B99" s="77"/>
      <c r="C99" s="127"/>
      <c r="D99" s="129"/>
      <c r="E99" s="129"/>
      <c r="F99" s="129"/>
      <c r="G99" s="129"/>
      <c r="H99" s="129"/>
      <c r="I99" s="127"/>
      <c r="J99" s="127"/>
      <c r="K99" s="129"/>
      <c r="L99" s="129"/>
      <c r="M99" s="129"/>
      <c r="N99" s="129"/>
      <c r="O99" s="127"/>
      <c r="P99" s="127"/>
      <c r="Q99" s="129"/>
      <c r="R99" s="129"/>
      <c r="S99" s="128"/>
    </row>
    <row r="100" spans="1:19">
      <c r="A100" s="470"/>
      <c r="B100" s="80"/>
      <c r="C100" s="458"/>
      <c r="D100" s="459"/>
      <c r="E100" s="459"/>
      <c r="F100" s="459"/>
      <c r="G100" s="459"/>
      <c r="H100" s="459"/>
      <c r="I100" s="458"/>
      <c r="J100" s="458"/>
      <c r="K100" s="459"/>
      <c r="L100" s="459"/>
      <c r="M100" s="459"/>
      <c r="N100" s="459"/>
      <c r="O100" s="458"/>
      <c r="P100" s="458"/>
      <c r="Q100" s="459"/>
      <c r="R100" s="459"/>
      <c r="S100" s="460"/>
    </row>
    <row r="101" spans="1:19">
      <c r="A101" s="470"/>
      <c r="B101" s="461"/>
      <c r="C101" s="462"/>
      <c r="D101" s="463"/>
      <c r="E101" s="463"/>
      <c r="F101" s="463"/>
      <c r="G101" s="463"/>
      <c r="H101" s="463"/>
      <c r="I101" s="462"/>
      <c r="J101" s="462"/>
      <c r="K101" s="463"/>
      <c r="L101" s="463"/>
      <c r="M101" s="463"/>
      <c r="N101" s="463"/>
      <c r="O101" s="462"/>
      <c r="P101" s="462"/>
      <c r="Q101" s="463"/>
      <c r="R101" s="463"/>
      <c r="S101" s="464"/>
    </row>
    <row r="102" spans="1:19">
      <c r="A102" s="470"/>
      <c r="B102" s="77"/>
      <c r="C102" s="127"/>
      <c r="D102" s="129"/>
      <c r="E102" s="129"/>
      <c r="F102" s="129"/>
      <c r="G102" s="129"/>
      <c r="H102" s="129"/>
      <c r="I102" s="127"/>
      <c r="J102" s="127"/>
      <c r="K102" s="129"/>
      <c r="L102" s="129"/>
      <c r="M102" s="129"/>
      <c r="N102" s="129"/>
      <c r="O102" s="127"/>
      <c r="P102" s="127"/>
      <c r="Q102" s="129"/>
      <c r="R102" s="129"/>
      <c r="S102" s="128"/>
    </row>
    <row r="103" spans="1:19">
      <c r="A103" s="470"/>
      <c r="B103" s="80"/>
      <c r="C103" s="458"/>
      <c r="D103" s="459"/>
      <c r="E103" s="459"/>
      <c r="F103" s="459"/>
      <c r="G103" s="459"/>
      <c r="H103" s="459"/>
      <c r="I103" s="458"/>
      <c r="J103" s="458"/>
      <c r="K103" s="459"/>
      <c r="L103" s="459"/>
      <c r="M103" s="459"/>
      <c r="N103" s="459"/>
      <c r="O103" s="458"/>
      <c r="P103" s="458"/>
      <c r="Q103" s="459"/>
      <c r="R103" s="459"/>
      <c r="S103" s="460"/>
    </row>
    <row r="104" spans="1:19">
      <c r="A104" s="470"/>
      <c r="B104" s="461"/>
      <c r="C104" s="462"/>
      <c r="D104" s="463"/>
      <c r="E104" s="463"/>
      <c r="F104" s="463"/>
      <c r="G104" s="463"/>
      <c r="H104" s="463"/>
      <c r="I104" s="462"/>
      <c r="J104" s="462"/>
      <c r="K104" s="463"/>
      <c r="L104" s="463"/>
      <c r="M104" s="463"/>
      <c r="N104" s="463"/>
      <c r="O104" s="462"/>
      <c r="P104" s="462"/>
      <c r="Q104" s="463"/>
      <c r="R104" s="463"/>
      <c r="S104" s="464"/>
    </row>
    <row r="105" spans="1:19">
      <c r="A105" s="470"/>
      <c r="B105" s="77"/>
      <c r="C105" s="127"/>
      <c r="D105" s="129"/>
      <c r="E105" s="129"/>
      <c r="F105" s="129"/>
      <c r="G105" s="129"/>
      <c r="H105" s="129"/>
      <c r="I105" s="127"/>
      <c r="J105" s="127"/>
      <c r="K105" s="129"/>
      <c r="L105" s="129"/>
      <c r="M105" s="129"/>
      <c r="N105" s="129"/>
      <c r="O105" s="127"/>
      <c r="P105" s="127"/>
      <c r="Q105" s="129"/>
      <c r="R105" s="129"/>
      <c r="S105" s="128"/>
    </row>
    <row r="106" spans="1:19">
      <c r="A106" s="470"/>
      <c r="B106" s="80"/>
      <c r="C106" s="458"/>
      <c r="D106" s="459"/>
      <c r="E106" s="459"/>
      <c r="F106" s="459"/>
      <c r="G106" s="459"/>
      <c r="H106" s="459"/>
      <c r="I106" s="458"/>
      <c r="J106" s="458"/>
      <c r="K106" s="459"/>
      <c r="L106" s="459"/>
      <c r="M106" s="459"/>
      <c r="N106" s="459"/>
      <c r="O106" s="458"/>
      <c r="P106" s="458"/>
      <c r="Q106" s="459"/>
      <c r="R106" s="459"/>
      <c r="S106" s="460"/>
    </row>
    <row r="107" spans="1:19">
      <c r="A107" s="470"/>
      <c r="B107" s="461"/>
      <c r="C107" s="462"/>
      <c r="D107" s="463"/>
      <c r="E107" s="463"/>
      <c r="F107" s="463"/>
      <c r="G107" s="463"/>
      <c r="H107" s="463"/>
      <c r="I107" s="462"/>
      <c r="J107" s="462"/>
      <c r="K107" s="463"/>
      <c r="L107" s="463"/>
      <c r="M107" s="463"/>
      <c r="N107" s="463"/>
      <c r="O107" s="462"/>
      <c r="P107" s="462"/>
      <c r="Q107" s="463"/>
      <c r="R107" s="463"/>
      <c r="S107" s="464"/>
    </row>
    <row r="108" spans="1:19">
      <c r="A108" s="470"/>
      <c r="B108" s="77"/>
      <c r="C108" s="127"/>
      <c r="D108" s="129"/>
      <c r="E108" s="129"/>
      <c r="F108" s="129"/>
      <c r="G108" s="129"/>
      <c r="H108" s="129"/>
      <c r="I108" s="127"/>
      <c r="J108" s="127"/>
      <c r="K108" s="129"/>
      <c r="L108" s="129"/>
      <c r="M108" s="129"/>
      <c r="N108" s="129"/>
      <c r="O108" s="127"/>
      <c r="P108" s="127"/>
      <c r="Q108" s="129"/>
      <c r="R108" s="129"/>
      <c r="S108" s="128"/>
    </row>
    <row r="109" spans="1:19">
      <c r="A109" s="470"/>
      <c r="B109" s="80"/>
      <c r="C109" s="458"/>
      <c r="D109" s="459"/>
      <c r="E109" s="459"/>
      <c r="F109" s="459"/>
      <c r="G109" s="459"/>
      <c r="H109" s="459"/>
      <c r="I109" s="458"/>
      <c r="J109" s="458"/>
      <c r="K109" s="459"/>
      <c r="L109" s="459"/>
      <c r="M109" s="459"/>
      <c r="N109" s="459"/>
      <c r="O109" s="458"/>
      <c r="P109" s="458"/>
      <c r="Q109" s="459"/>
      <c r="R109" s="459"/>
      <c r="S109" s="460"/>
    </row>
    <row r="110" spans="1:19">
      <c r="A110" s="475"/>
      <c r="B110" s="476"/>
      <c r="C110" s="477"/>
      <c r="D110" s="478"/>
      <c r="E110" s="478"/>
      <c r="F110" s="478"/>
      <c r="G110" s="478"/>
      <c r="H110" s="478"/>
      <c r="I110" s="477"/>
      <c r="J110" s="477"/>
      <c r="K110" s="478"/>
      <c r="L110" s="478"/>
      <c r="M110" s="478"/>
      <c r="N110" s="478"/>
      <c r="O110" s="477"/>
      <c r="P110" s="477"/>
      <c r="Q110" s="478"/>
      <c r="R110" s="478"/>
      <c r="S110" s="479"/>
    </row>
    <row r="111" spans="1:19">
      <c r="A111" s="473"/>
      <c r="B111" s="80"/>
      <c r="C111" s="458"/>
      <c r="D111" s="474"/>
      <c r="E111" s="474"/>
      <c r="F111" s="474"/>
      <c r="G111" s="474"/>
      <c r="H111" s="474"/>
      <c r="I111" s="458"/>
      <c r="J111" s="458"/>
      <c r="K111" s="474"/>
      <c r="L111" s="474"/>
      <c r="M111" s="474"/>
      <c r="N111" s="474"/>
      <c r="O111" s="458"/>
      <c r="P111" s="458"/>
      <c r="Q111" s="474"/>
      <c r="R111" s="474"/>
      <c r="S111" s="460"/>
    </row>
    <row r="112" spans="1:19">
      <c r="A112" s="470"/>
      <c r="B112" s="80"/>
      <c r="C112" s="458"/>
      <c r="D112" s="459"/>
      <c r="E112" s="459"/>
      <c r="F112" s="459"/>
      <c r="G112" s="459"/>
      <c r="H112" s="459"/>
      <c r="I112" s="458"/>
      <c r="J112" s="458"/>
      <c r="K112" s="459"/>
      <c r="L112" s="459"/>
      <c r="M112" s="459"/>
      <c r="N112" s="459"/>
      <c r="O112" s="458"/>
      <c r="P112" s="458"/>
      <c r="Q112" s="459"/>
      <c r="R112" s="459"/>
      <c r="S112" s="460"/>
    </row>
    <row r="113" spans="1:19">
      <c r="A113" s="470"/>
      <c r="B113" s="461"/>
      <c r="C113" s="462"/>
      <c r="D113" s="463"/>
      <c r="E113" s="463"/>
      <c r="F113" s="463"/>
      <c r="G113" s="463"/>
      <c r="H113" s="463"/>
      <c r="I113" s="462"/>
      <c r="J113" s="462"/>
      <c r="K113" s="463"/>
      <c r="L113" s="463"/>
      <c r="M113" s="463"/>
      <c r="N113" s="463"/>
      <c r="O113" s="462"/>
      <c r="P113" s="462"/>
      <c r="Q113" s="463"/>
      <c r="R113" s="463"/>
      <c r="S113" s="464"/>
    </row>
    <row r="114" spans="1:19">
      <c r="A114" s="470"/>
      <c r="B114" s="77"/>
      <c r="C114" s="127"/>
      <c r="D114" s="129"/>
      <c r="E114" s="129"/>
      <c r="F114" s="129"/>
      <c r="G114" s="129"/>
      <c r="H114" s="129"/>
      <c r="I114" s="127"/>
      <c r="J114" s="127"/>
      <c r="K114" s="129"/>
      <c r="L114" s="129"/>
      <c r="M114" s="129"/>
      <c r="N114" s="129"/>
      <c r="O114" s="127"/>
      <c r="P114" s="127"/>
      <c r="Q114" s="129"/>
      <c r="R114" s="129"/>
      <c r="S114" s="128"/>
    </row>
    <row r="115" spans="1:19">
      <c r="A115" s="470"/>
      <c r="B115" s="80"/>
      <c r="C115" s="458"/>
      <c r="D115" s="459"/>
      <c r="E115" s="459"/>
      <c r="F115" s="459"/>
      <c r="G115" s="459"/>
      <c r="H115" s="459"/>
      <c r="I115" s="458"/>
      <c r="J115" s="458"/>
      <c r="K115" s="459"/>
      <c r="L115" s="459"/>
      <c r="M115" s="459"/>
      <c r="N115" s="459"/>
      <c r="O115" s="458"/>
      <c r="P115" s="458"/>
      <c r="Q115" s="459"/>
      <c r="R115" s="459"/>
      <c r="S115" s="460"/>
    </row>
    <row r="116" spans="1:19">
      <c r="A116" s="470"/>
      <c r="B116" s="461"/>
      <c r="C116" s="462"/>
      <c r="D116" s="463"/>
      <c r="E116" s="463"/>
      <c r="F116" s="463"/>
      <c r="G116" s="463"/>
      <c r="H116" s="463"/>
      <c r="I116" s="462"/>
      <c r="J116" s="462"/>
      <c r="K116" s="463"/>
      <c r="L116" s="463"/>
      <c r="M116" s="463"/>
      <c r="N116" s="463"/>
      <c r="O116" s="462"/>
      <c r="P116" s="462"/>
      <c r="Q116" s="463"/>
      <c r="R116" s="463"/>
      <c r="S116" s="464"/>
    </row>
    <row r="117" spans="1:19">
      <c r="A117" s="470"/>
      <c r="B117" s="77"/>
      <c r="C117" s="127"/>
      <c r="D117" s="129"/>
      <c r="E117" s="129"/>
      <c r="F117" s="129"/>
      <c r="G117" s="129"/>
      <c r="H117" s="129"/>
      <c r="I117" s="127"/>
      <c r="J117" s="127"/>
      <c r="K117" s="129"/>
      <c r="L117" s="129"/>
      <c r="M117" s="129"/>
      <c r="N117" s="129"/>
      <c r="O117" s="127"/>
      <c r="P117" s="127"/>
      <c r="Q117" s="129"/>
      <c r="R117" s="129"/>
      <c r="S117" s="128"/>
    </row>
    <row r="118" spans="1:19">
      <c r="A118" s="470"/>
      <c r="B118" s="80"/>
      <c r="C118" s="458"/>
      <c r="D118" s="459"/>
      <c r="E118" s="459"/>
      <c r="F118" s="459"/>
      <c r="G118" s="459"/>
      <c r="H118" s="459"/>
      <c r="I118" s="458"/>
      <c r="J118" s="458"/>
      <c r="K118" s="459"/>
      <c r="L118" s="459"/>
      <c r="M118" s="459"/>
      <c r="N118" s="459"/>
      <c r="O118" s="458"/>
      <c r="P118" s="458"/>
      <c r="Q118" s="459"/>
      <c r="R118" s="459"/>
      <c r="S118" s="460"/>
    </row>
    <row r="119" spans="1:19">
      <c r="A119" s="470"/>
      <c r="B119" s="461"/>
      <c r="C119" s="462"/>
      <c r="D119" s="463"/>
      <c r="E119" s="463"/>
      <c r="F119" s="463"/>
      <c r="G119" s="463"/>
      <c r="H119" s="463"/>
      <c r="I119" s="462"/>
      <c r="J119" s="462"/>
      <c r="K119" s="463"/>
      <c r="L119" s="463"/>
      <c r="M119" s="463"/>
      <c r="N119" s="463"/>
      <c r="O119" s="462"/>
      <c r="P119" s="462"/>
      <c r="Q119" s="463"/>
      <c r="R119" s="463"/>
      <c r="S119" s="464"/>
    </row>
    <row r="120" spans="1:19">
      <c r="A120" s="470"/>
      <c r="B120" s="77"/>
      <c r="C120" s="127"/>
      <c r="D120" s="129"/>
      <c r="E120" s="129"/>
      <c r="F120" s="129"/>
      <c r="G120" s="129"/>
      <c r="H120" s="129"/>
      <c r="I120" s="127"/>
      <c r="J120" s="127"/>
      <c r="K120" s="129"/>
      <c r="L120" s="129"/>
      <c r="M120" s="129"/>
      <c r="N120" s="129"/>
      <c r="O120" s="127"/>
      <c r="P120" s="127"/>
      <c r="Q120" s="129"/>
      <c r="R120" s="129"/>
      <c r="S120" s="128"/>
    </row>
    <row r="121" spans="1:19">
      <c r="A121" s="470"/>
      <c r="B121" s="80"/>
      <c r="C121" s="458"/>
      <c r="D121" s="459"/>
      <c r="E121" s="459"/>
      <c r="F121" s="459"/>
      <c r="G121" s="459"/>
      <c r="H121" s="459"/>
      <c r="I121" s="458"/>
      <c r="J121" s="458"/>
      <c r="K121" s="459"/>
      <c r="L121" s="459"/>
      <c r="M121" s="459"/>
      <c r="N121" s="459"/>
      <c r="O121" s="458"/>
      <c r="P121" s="458"/>
      <c r="Q121" s="459"/>
      <c r="R121" s="459"/>
      <c r="S121" s="460"/>
    </row>
    <row r="122" spans="1:19">
      <c r="A122" s="470"/>
      <c r="B122" s="461"/>
      <c r="C122" s="462"/>
      <c r="D122" s="463"/>
      <c r="E122" s="463"/>
      <c r="F122" s="463"/>
      <c r="G122" s="463"/>
      <c r="H122" s="463"/>
      <c r="I122" s="462"/>
      <c r="J122" s="462"/>
      <c r="K122" s="463"/>
      <c r="L122" s="463"/>
      <c r="M122" s="463"/>
      <c r="N122" s="463"/>
      <c r="O122" s="462"/>
      <c r="P122" s="462"/>
      <c r="Q122" s="463"/>
      <c r="R122" s="463"/>
      <c r="S122" s="464"/>
    </row>
    <row r="123" spans="1:19">
      <c r="A123" s="470"/>
      <c r="B123" s="77"/>
      <c r="C123" s="127"/>
      <c r="D123" s="129"/>
      <c r="E123" s="129"/>
      <c r="F123" s="129"/>
      <c r="G123" s="129"/>
      <c r="H123" s="129"/>
      <c r="I123" s="127"/>
      <c r="J123" s="127"/>
      <c r="K123" s="129"/>
      <c r="L123" s="129"/>
      <c r="M123" s="129"/>
      <c r="N123" s="129"/>
      <c r="O123" s="127"/>
      <c r="P123" s="127"/>
      <c r="Q123" s="129"/>
      <c r="R123" s="129"/>
      <c r="S123" s="128"/>
    </row>
    <row r="124" spans="1:19">
      <c r="A124" s="470"/>
      <c r="B124" s="80"/>
      <c r="C124" s="458"/>
      <c r="D124" s="459"/>
      <c r="E124" s="459"/>
      <c r="F124" s="459"/>
      <c r="G124" s="459"/>
      <c r="H124" s="459"/>
      <c r="I124" s="458"/>
      <c r="J124" s="458"/>
      <c r="K124" s="459"/>
      <c r="L124" s="459"/>
      <c r="M124" s="459"/>
      <c r="N124" s="459"/>
      <c r="O124" s="458"/>
      <c r="P124" s="458"/>
      <c r="Q124" s="459"/>
      <c r="R124" s="459"/>
      <c r="S124" s="460"/>
    </row>
    <row r="125" spans="1:19">
      <c r="A125" s="470"/>
      <c r="B125" s="461"/>
      <c r="C125" s="462"/>
      <c r="D125" s="463"/>
      <c r="E125" s="463"/>
      <c r="F125" s="463"/>
      <c r="G125" s="463"/>
      <c r="H125" s="463"/>
      <c r="I125" s="462"/>
      <c r="J125" s="462"/>
      <c r="K125" s="463"/>
      <c r="L125" s="463"/>
      <c r="M125" s="463"/>
      <c r="N125" s="463"/>
      <c r="O125" s="462"/>
      <c r="P125" s="462"/>
      <c r="Q125" s="463"/>
      <c r="R125" s="463"/>
      <c r="S125" s="464"/>
    </row>
    <row r="126" spans="1:19">
      <c r="A126" s="470"/>
      <c r="B126" s="77"/>
      <c r="C126" s="127"/>
      <c r="D126" s="129"/>
      <c r="E126" s="129"/>
      <c r="F126" s="129"/>
      <c r="G126" s="129"/>
      <c r="H126" s="129"/>
      <c r="I126" s="127"/>
      <c r="J126" s="127"/>
      <c r="K126" s="129"/>
      <c r="L126" s="129"/>
      <c r="M126" s="129"/>
      <c r="N126" s="129"/>
      <c r="O126" s="127"/>
      <c r="P126" s="127"/>
      <c r="Q126" s="129"/>
      <c r="R126" s="129"/>
      <c r="S126" s="128"/>
    </row>
    <row r="127" spans="1:19">
      <c r="A127" s="470"/>
      <c r="B127" s="80"/>
      <c r="C127" s="458"/>
      <c r="D127" s="459"/>
      <c r="E127" s="459"/>
      <c r="F127" s="459"/>
      <c r="G127" s="459"/>
      <c r="H127" s="459"/>
      <c r="I127" s="458"/>
      <c r="J127" s="458"/>
      <c r="K127" s="459"/>
      <c r="L127" s="459"/>
      <c r="M127" s="459"/>
      <c r="N127" s="459"/>
      <c r="O127" s="458"/>
      <c r="P127" s="458"/>
      <c r="Q127" s="459"/>
      <c r="R127" s="459"/>
      <c r="S127" s="460"/>
    </row>
    <row r="128" spans="1:19">
      <c r="A128" s="470"/>
      <c r="B128" s="461"/>
      <c r="C128" s="462"/>
      <c r="D128" s="463"/>
      <c r="E128" s="463"/>
      <c r="F128" s="463"/>
      <c r="G128" s="463"/>
      <c r="H128" s="463"/>
      <c r="I128" s="462"/>
      <c r="J128" s="462"/>
      <c r="K128" s="463"/>
      <c r="L128" s="463"/>
      <c r="M128" s="463"/>
      <c r="N128" s="463"/>
      <c r="O128" s="462"/>
      <c r="P128" s="462"/>
      <c r="Q128" s="463"/>
      <c r="R128" s="463"/>
      <c r="S128" s="464"/>
    </row>
    <row r="129" spans="1:19">
      <c r="A129" s="470"/>
      <c r="B129" s="77"/>
      <c r="C129" s="127"/>
      <c r="D129" s="129"/>
      <c r="E129" s="129"/>
      <c r="F129" s="129"/>
      <c r="G129" s="129"/>
      <c r="H129" s="129"/>
      <c r="I129" s="127"/>
      <c r="J129" s="127"/>
      <c r="K129" s="129"/>
      <c r="L129" s="129"/>
      <c r="M129" s="129"/>
      <c r="N129" s="129"/>
      <c r="O129" s="127"/>
      <c r="P129" s="127"/>
      <c r="Q129" s="129"/>
      <c r="R129" s="129"/>
      <c r="S129" s="128"/>
    </row>
    <row r="130" spans="1:19">
      <c r="A130" s="470"/>
      <c r="B130" s="80"/>
      <c r="C130" s="458"/>
      <c r="D130" s="459"/>
      <c r="E130" s="459"/>
      <c r="F130" s="459"/>
      <c r="G130" s="459"/>
      <c r="H130" s="459"/>
      <c r="I130" s="458"/>
      <c r="J130" s="458"/>
      <c r="K130" s="459"/>
      <c r="L130" s="459"/>
      <c r="M130" s="459"/>
      <c r="N130" s="459"/>
      <c r="O130" s="458"/>
      <c r="P130" s="458"/>
      <c r="Q130" s="459"/>
      <c r="R130" s="459"/>
      <c r="S130" s="460"/>
    </row>
    <row r="131" spans="1:19">
      <c r="A131" s="475"/>
      <c r="B131" s="476"/>
      <c r="C131" s="477"/>
      <c r="D131" s="478"/>
      <c r="E131" s="478"/>
      <c r="F131" s="478"/>
      <c r="G131" s="478"/>
      <c r="H131" s="478"/>
      <c r="I131" s="477"/>
      <c r="J131" s="477"/>
      <c r="K131" s="478"/>
      <c r="L131" s="478"/>
      <c r="M131" s="478"/>
      <c r="N131" s="478"/>
      <c r="O131" s="477"/>
      <c r="P131" s="477"/>
      <c r="Q131" s="478"/>
      <c r="R131" s="478"/>
      <c r="S131" s="479"/>
    </row>
    <row r="132" spans="1:19">
      <c r="A132" s="473"/>
      <c r="B132" s="80"/>
      <c r="C132" s="458"/>
      <c r="D132" s="474"/>
      <c r="E132" s="474"/>
      <c r="F132" s="474"/>
      <c r="G132" s="474"/>
      <c r="H132" s="474"/>
      <c r="I132" s="458"/>
      <c r="J132" s="458"/>
      <c r="K132" s="474"/>
      <c r="L132" s="474"/>
      <c r="M132" s="474"/>
      <c r="N132" s="474"/>
      <c r="O132" s="458"/>
      <c r="P132" s="458"/>
      <c r="Q132" s="474"/>
      <c r="R132" s="474"/>
      <c r="S132" s="460"/>
    </row>
    <row r="133" spans="1:19">
      <c r="A133" s="470"/>
      <c r="B133" s="80"/>
      <c r="C133" s="458"/>
      <c r="D133" s="459"/>
      <c r="E133" s="459"/>
      <c r="F133" s="459"/>
      <c r="G133" s="459"/>
      <c r="H133" s="459"/>
      <c r="I133" s="458"/>
      <c r="J133" s="458"/>
      <c r="K133" s="459"/>
      <c r="L133" s="459"/>
      <c r="M133" s="459"/>
      <c r="N133" s="459"/>
      <c r="O133" s="458"/>
      <c r="P133" s="458"/>
      <c r="Q133" s="459"/>
      <c r="R133" s="459"/>
      <c r="S133" s="460"/>
    </row>
    <row r="134" spans="1:19">
      <c r="A134" s="470"/>
      <c r="B134" s="461"/>
      <c r="C134" s="462"/>
      <c r="D134" s="463"/>
      <c r="E134" s="463"/>
      <c r="F134" s="463"/>
      <c r="G134" s="463"/>
      <c r="H134" s="463"/>
      <c r="I134" s="462"/>
      <c r="J134" s="462"/>
      <c r="K134" s="463"/>
      <c r="L134" s="463"/>
      <c r="M134" s="463"/>
      <c r="N134" s="463"/>
      <c r="O134" s="462"/>
      <c r="P134" s="462"/>
      <c r="Q134" s="463"/>
      <c r="R134" s="463"/>
      <c r="S134" s="464"/>
    </row>
    <row r="135" spans="1:19">
      <c r="A135" s="470"/>
      <c r="B135" s="77"/>
      <c r="C135" s="127"/>
      <c r="D135" s="129"/>
      <c r="E135" s="129"/>
      <c r="F135" s="129"/>
      <c r="G135" s="129"/>
      <c r="H135" s="129"/>
      <c r="I135" s="127"/>
      <c r="J135" s="127"/>
      <c r="K135" s="129"/>
      <c r="L135" s="129"/>
      <c r="M135" s="129"/>
      <c r="N135" s="129"/>
      <c r="O135" s="127"/>
      <c r="P135" s="127"/>
      <c r="Q135" s="129"/>
      <c r="R135" s="129"/>
      <c r="S135" s="128"/>
    </row>
    <row r="136" spans="1:19">
      <c r="A136" s="470"/>
      <c r="B136" s="80"/>
      <c r="C136" s="458"/>
      <c r="D136" s="459"/>
      <c r="E136" s="459"/>
      <c r="F136" s="459"/>
      <c r="G136" s="459"/>
      <c r="H136" s="459"/>
      <c r="I136" s="458"/>
      <c r="J136" s="458"/>
      <c r="K136" s="459"/>
      <c r="L136" s="459"/>
      <c r="M136" s="459"/>
      <c r="N136" s="459"/>
      <c r="O136" s="458"/>
      <c r="P136" s="458"/>
      <c r="Q136" s="459"/>
      <c r="R136" s="459"/>
      <c r="S136" s="460"/>
    </row>
    <row r="137" spans="1:19">
      <c r="A137" s="470"/>
      <c r="B137" s="461"/>
      <c r="C137" s="462"/>
      <c r="D137" s="463"/>
      <c r="E137" s="463"/>
      <c r="F137" s="463"/>
      <c r="G137" s="463"/>
      <c r="H137" s="463"/>
      <c r="I137" s="462"/>
      <c r="J137" s="462"/>
      <c r="K137" s="463"/>
      <c r="L137" s="463"/>
      <c r="M137" s="463"/>
      <c r="N137" s="463"/>
      <c r="O137" s="462"/>
      <c r="P137" s="462"/>
      <c r="Q137" s="463"/>
      <c r="R137" s="463"/>
      <c r="S137" s="464"/>
    </row>
    <row r="138" spans="1:19">
      <c r="A138" s="470"/>
      <c r="B138" s="77"/>
      <c r="C138" s="127"/>
      <c r="D138" s="129"/>
      <c r="E138" s="129"/>
      <c r="F138" s="129"/>
      <c r="G138" s="129"/>
      <c r="H138" s="129"/>
      <c r="I138" s="127"/>
      <c r="J138" s="127"/>
      <c r="K138" s="129"/>
      <c r="L138" s="129"/>
      <c r="M138" s="129"/>
      <c r="N138" s="129"/>
      <c r="O138" s="127"/>
      <c r="P138" s="127"/>
      <c r="Q138" s="129"/>
      <c r="R138" s="129"/>
      <c r="S138" s="128"/>
    </row>
    <row r="139" spans="1:19">
      <c r="A139" s="470"/>
      <c r="B139" s="80"/>
      <c r="C139" s="458"/>
      <c r="D139" s="459"/>
      <c r="E139" s="459"/>
      <c r="F139" s="459"/>
      <c r="G139" s="459"/>
      <c r="H139" s="459"/>
      <c r="I139" s="458"/>
      <c r="J139" s="458"/>
      <c r="K139" s="459"/>
      <c r="L139" s="459"/>
      <c r="M139" s="459"/>
      <c r="N139" s="459"/>
      <c r="O139" s="458"/>
      <c r="P139" s="458"/>
      <c r="Q139" s="459"/>
      <c r="R139" s="459"/>
      <c r="S139" s="460"/>
    </row>
    <row r="140" spans="1:19">
      <c r="A140" s="470"/>
      <c r="B140" s="461"/>
      <c r="C140" s="462"/>
      <c r="D140" s="463"/>
      <c r="E140" s="463"/>
      <c r="F140" s="463"/>
      <c r="G140" s="463"/>
      <c r="H140" s="463"/>
      <c r="I140" s="462"/>
      <c r="J140" s="462"/>
      <c r="K140" s="463"/>
      <c r="L140" s="463"/>
      <c r="M140" s="463"/>
      <c r="N140" s="463"/>
      <c r="O140" s="462"/>
      <c r="P140" s="462"/>
      <c r="Q140" s="463"/>
      <c r="R140" s="463"/>
      <c r="S140" s="464"/>
    </row>
    <row r="141" spans="1:19">
      <c r="A141" s="470"/>
      <c r="B141" s="77"/>
      <c r="C141" s="127"/>
      <c r="D141" s="129"/>
      <c r="E141" s="129"/>
      <c r="F141" s="129"/>
      <c r="G141" s="129"/>
      <c r="H141" s="129"/>
      <c r="I141" s="127"/>
      <c r="J141" s="127"/>
      <c r="K141" s="129"/>
      <c r="L141" s="129"/>
      <c r="M141" s="129"/>
      <c r="N141" s="129"/>
      <c r="O141" s="127"/>
      <c r="P141" s="127"/>
      <c r="Q141" s="129"/>
      <c r="R141" s="129"/>
      <c r="S141" s="128"/>
    </row>
    <row r="142" spans="1:19">
      <c r="A142" s="470"/>
      <c r="B142" s="80"/>
      <c r="C142" s="458"/>
      <c r="D142" s="459"/>
      <c r="E142" s="459"/>
      <c r="F142" s="459"/>
      <c r="G142" s="459"/>
      <c r="H142" s="459"/>
      <c r="I142" s="458"/>
      <c r="J142" s="458"/>
      <c r="K142" s="459"/>
      <c r="L142" s="459"/>
      <c r="M142" s="459"/>
      <c r="N142" s="459"/>
      <c r="O142" s="458"/>
      <c r="P142" s="458"/>
      <c r="Q142" s="459"/>
      <c r="R142" s="459"/>
      <c r="S142" s="460"/>
    </row>
    <row r="143" spans="1:19">
      <c r="A143" s="470"/>
      <c r="B143" s="461"/>
      <c r="C143" s="462"/>
      <c r="D143" s="463"/>
      <c r="E143" s="463"/>
      <c r="F143" s="463"/>
      <c r="G143" s="463"/>
      <c r="H143" s="463"/>
      <c r="I143" s="462"/>
      <c r="J143" s="462"/>
      <c r="K143" s="463"/>
      <c r="L143" s="463"/>
      <c r="M143" s="463"/>
      <c r="N143" s="463"/>
      <c r="O143" s="462"/>
      <c r="P143" s="462"/>
      <c r="Q143" s="463"/>
      <c r="R143" s="463"/>
      <c r="S143" s="464"/>
    </row>
    <row r="144" spans="1:19">
      <c r="A144" s="470"/>
      <c r="B144" s="77"/>
      <c r="C144" s="127"/>
      <c r="D144" s="129"/>
      <c r="E144" s="129"/>
      <c r="F144" s="129"/>
      <c r="G144" s="129"/>
      <c r="H144" s="129"/>
      <c r="I144" s="127"/>
      <c r="J144" s="127"/>
      <c r="K144" s="129"/>
      <c r="L144" s="129"/>
      <c r="M144" s="129"/>
      <c r="N144" s="129"/>
      <c r="O144" s="127"/>
      <c r="P144" s="127"/>
      <c r="Q144" s="129"/>
      <c r="R144" s="129"/>
      <c r="S144" s="128"/>
    </row>
    <row r="145" spans="1:19">
      <c r="A145" s="470"/>
      <c r="B145" s="80"/>
      <c r="C145" s="458"/>
      <c r="D145" s="459"/>
      <c r="E145" s="459"/>
      <c r="F145" s="459"/>
      <c r="G145" s="459"/>
      <c r="H145" s="459"/>
      <c r="I145" s="458"/>
      <c r="J145" s="458"/>
      <c r="K145" s="459"/>
      <c r="L145" s="459"/>
      <c r="M145" s="459"/>
      <c r="N145" s="459"/>
      <c r="O145" s="458"/>
      <c r="P145" s="458"/>
      <c r="Q145" s="459"/>
      <c r="R145" s="459"/>
      <c r="S145" s="460"/>
    </row>
    <row r="146" spans="1:19">
      <c r="A146" s="470"/>
      <c r="B146" s="461"/>
      <c r="C146" s="462"/>
      <c r="D146" s="463"/>
      <c r="E146" s="463"/>
      <c r="F146" s="463"/>
      <c r="G146" s="463"/>
      <c r="H146" s="463"/>
      <c r="I146" s="462"/>
      <c r="J146" s="462"/>
      <c r="K146" s="463"/>
      <c r="L146" s="463"/>
      <c r="M146" s="463"/>
      <c r="N146" s="463"/>
      <c r="O146" s="462"/>
      <c r="P146" s="462"/>
      <c r="Q146" s="463"/>
      <c r="R146" s="463"/>
      <c r="S146" s="464"/>
    </row>
    <row r="147" spans="1:19">
      <c r="A147" s="470"/>
      <c r="B147" s="77"/>
      <c r="C147" s="127"/>
      <c r="D147" s="129"/>
      <c r="E147" s="129"/>
      <c r="F147" s="129"/>
      <c r="G147" s="129"/>
      <c r="H147" s="129"/>
      <c r="I147" s="127"/>
      <c r="J147" s="127"/>
      <c r="K147" s="129"/>
      <c r="L147" s="129"/>
      <c r="M147" s="129"/>
      <c r="N147" s="129"/>
      <c r="O147" s="127"/>
      <c r="P147" s="127"/>
      <c r="Q147" s="129"/>
      <c r="R147" s="129"/>
      <c r="S147" s="128"/>
    </row>
    <row r="148" spans="1:19">
      <c r="A148" s="470"/>
      <c r="B148" s="80"/>
      <c r="C148" s="458"/>
      <c r="D148" s="459"/>
      <c r="E148" s="459"/>
      <c r="F148" s="459"/>
      <c r="G148" s="459"/>
      <c r="H148" s="459"/>
      <c r="I148" s="458"/>
      <c r="J148" s="458"/>
      <c r="K148" s="459"/>
      <c r="L148" s="459"/>
      <c r="M148" s="459"/>
      <c r="N148" s="459"/>
      <c r="O148" s="458"/>
      <c r="P148" s="458"/>
      <c r="Q148" s="459"/>
      <c r="R148" s="459"/>
      <c r="S148" s="460"/>
    </row>
    <row r="149" spans="1:19">
      <c r="A149" s="470"/>
      <c r="B149" s="461"/>
      <c r="C149" s="462"/>
      <c r="D149" s="463"/>
      <c r="E149" s="463"/>
      <c r="F149" s="463"/>
      <c r="G149" s="463"/>
      <c r="H149" s="463"/>
      <c r="I149" s="462"/>
      <c r="J149" s="462"/>
      <c r="K149" s="463"/>
      <c r="L149" s="463"/>
      <c r="M149" s="463"/>
      <c r="N149" s="463"/>
      <c r="O149" s="462"/>
      <c r="P149" s="462"/>
      <c r="Q149" s="463"/>
      <c r="R149" s="463"/>
      <c r="S149" s="464"/>
    </row>
    <row r="150" spans="1:19">
      <c r="A150" s="470"/>
      <c r="B150" s="77"/>
      <c r="C150" s="127"/>
      <c r="D150" s="129"/>
      <c r="E150" s="129"/>
      <c r="F150" s="129"/>
      <c r="G150" s="129"/>
      <c r="H150" s="129"/>
      <c r="I150" s="127"/>
      <c r="J150" s="127"/>
      <c r="K150" s="129"/>
      <c r="L150" s="129"/>
      <c r="M150" s="129"/>
      <c r="N150" s="129"/>
      <c r="O150" s="127"/>
      <c r="P150" s="127"/>
      <c r="Q150" s="129"/>
      <c r="R150" s="129"/>
      <c r="S150" s="128"/>
    </row>
    <row r="151" spans="1:19">
      <c r="A151" s="470"/>
      <c r="B151" s="80"/>
      <c r="C151" s="458"/>
      <c r="D151" s="459"/>
      <c r="E151" s="459"/>
      <c r="F151" s="459"/>
      <c r="G151" s="459"/>
      <c r="H151" s="459"/>
      <c r="I151" s="458"/>
      <c r="J151" s="458"/>
      <c r="K151" s="459"/>
      <c r="L151" s="459"/>
      <c r="M151" s="459"/>
      <c r="N151" s="459"/>
      <c r="O151" s="458"/>
      <c r="P151" s="458"/>
      <c r="Q151" s="459"/>
      <c r="R151" s="459"/>
      <c r="S151" s="460"/>
    </row>
    <row r="152" spans="1:19">
      <c r="A152" s="475"/>
      <c r="B152" s="476"/>
      <c r="C152" s="477"/>
      <c r="D152" s="478"/>
      <c r="E152" s="478"/>
      <c r="F152" s="478"/>
      <c r="G152" s="478"/>
      <c r="H152" s="478"/>
      <c r="I152" s="477"/>
      <c r="J152" s="477"/>
      <c r="K152" s="478"/>
      <c r="L152" s="478"/>
      <c r="M152" s="478"/>
      <c r="N152" s="478"/>
      <c r="O152" s="477"/>
      <c r="P152" s="477"/>
      <c r="Q152" s="478"/>
      <c r="R152" s="478"/>
      <c r="S152" s="479"/>
    </row>
    <row r="153" spans="1:19">
      <c r="A153" s="473"/>
      <c r="B153" s="80"/>
      <c r="C153" s="458"/>
      <c r="D153" s="474"/>
      <c r="E153" s="474"/>
      <c r="F153" s="474"/>
      <c r="G153" s="474"/>
      <c r="H153" s="474"/>
      <c r="I153" s="458"/>
      <c r="J153" s="458"/>
      <c r="K153" s="474"/>
      <c r="L153" s="474"/>
      <c r="M153" s="474"/>
      <c r="N153" s="474"/>
      <c r="O153" s="458"/>
      <c r="P153" s="458"/>
      <c r="Q153" s="474"/>
      <c r="R153" s="474"/>
      <c r="S153" s="460"/>
    </row>
    <row r="154" spans="1:19">
      <c r="A154" s="470"/>
      <c r="B154" s="80"/>
      <c r="C154" s="458"/>
      <c r="D154" s="459"/>
      <c r="E154" s="459"/>
      <c r="F154" s="459"/>
      <c r="G154" s="459"/>
      <c r="H154" s="459"/>
      <c r="I154" s="458"/>
      <c r="J154" s="458"/>
      <c r="K154" s="459"/>
      <c r="L154" s="459"/>
      <c r="M154" s="459"/>
      <c r="N154" s="459"/>
      <c r="O154" s="458"/>
      <c r="P154" s="458"/>
      <c r="Q154" s="459"/>
      <c r="R154" s="459"/>
      <c r="S154" s="460"/>
    </row>
    <row r="155" spans="1:19">
      <c r="A155" s="470"/>
      <c r="B155" s="461"/>
      <c r="C155" s="462"/>
      <c r="D155" s="463"/>
      <c r="E155" s="463"/>
      <c r="F155" s="463"/>
      <c r="G155" s="463"/>
      <c r="H155" s="463"/>
      <c r="I155" s="462"/>
      <c r="J155" s="462"/>
      <c r="K155" s="463"/>
      <c r="L155" s="463"/>
      <c r="M155" s="463"/>
      <c r="N155" s="463"/>
      <c r="O155" s="462"/>
      <c r="P155" s="462"/>
      <c r="Q155" s="463"/>
      <c r="R155" s="463"/>
      <c r="S155" s="464"/>
    </row>
    <row r="156" spans="1:19">
      <c r="A156" s="470"/>
      <c r="B156" s="77"/>
      <c r="C156" s="127"/>
      <c r="D156" s="129"/>
      <c r="E156" s="129"/>
      <c r="F156" s="129"/>
      <c r="G156" s="129"/>
      <c r="H156" s="129"/>
      <c r="I156" s="127"/>
      <c r="J156" s="127"/>
      <c r="K156" s="129"/>
      <c r="L156" s="129"/>
      <c r="M156" s="129"/>
      <c r="N156" s="129"/>
      <c r="O156" s="127"/>
      <c r="P156" s="127"/>
      <c r="Q156" s="129"/>
      <c r="R156" s="129"/>
      <c r="S156" s="128"/>
    </row>
    <row r="157" spans="1:19">
      <c r="A157" s="470"/>
      <c r="B157" s="80"/>
      <c r="C157" s="458"/>
      <c r="D157" s="459"/>
      <c r="E157" s="459"/>
      <c r="F157" s="459"/>
      <c r="G157" s="459"/>
      <c r="H157" s="459"/>
      <c r="I157" s="458"/>
      <c r="J157" s="458"/>
      <c r="K157" s="459"/>
      <c r="L157" s="459"/>
      <c r="M157" s="459"/>
      <c r="N157" s="459"/>
      <c r="O157" s="458"/>
      <c r="P157" s="458"/>
      <c r="Q157" s="459"/>
      <c r="R157" s="459"/>
      <c r="S157" s="460"/>
    </row>
    <row r="158" spans="1:19">
      <c r="A158" s="470"/>
      <c r="B158" s="461"/>
      <c r="C158" s="462"/>
      <c r="D158" s="463"/>
      <c r="E158" s="463"/>
      <c r="F158" s="463"/>
      <c r="G158" s="463"/>
      <c r="H158" s="463"/>
      <c r="I158" s="462"/>
      <c r="J158" s="462"/>
      <c r="K158" s="463"/>
      <c r="L158" s="463"/>
      <c r="M158" s="463"/>
      <c r="N158" s="463"/>
      <c r="O158" s="462"/>
      <c r="P158" s="462"/>
      <c r="Q158" s="463"/>
      <c r="R158" s="463"/>
      <c r="S158" s="464"/>
    </row>
    <row r="159" spans="1:19">
      <c r="A159" s="470"/>
      <c r="B159" s="77"/>
      <c r="C159" s="127"/>
      <c r="D159" s="129"/>
      <c r="E159" s="129"/>
      <c r="F159" s="129"/>
      <c r="G159" s="129"/>
      <c r="H159" s="129"/>
      <c r="I159" s="127"/>
      <c r="J159" s="127"/>
      <c r="K159" s="129"/>
      <c r="L159" s="129"/>
      <c r="M159" s="129"/>
      <c r="N159" s="129"/>
      <c r="O159" s="127"/>
      <c r="P159" s="127"/>
      <c r="Q159" s="129"/>
      <c r="R159" s="129"/>
      <c r="S159" s="128"/>
    </row>
    <row r="160" spans="1:19">
      <c r="A160" s="470"/>
      <c r="B160" s="80"/>
      <c r="C160" s="458"/>
      <c r="D160" s="459"/>
      <c r="E160" s="459"/>
      <c r="F160" s="459"/>
      <c r="G160" s="459"/>
      <c r="H160" s="459"/>
      <c r="I160" s="458"/>
      <c r="J160" s="458"/>
      <c r="K160" s="459"/>
      <c r="L160" s="459"/>
      <c r="M160" s="459"/>
      <c r="N160" s="459"/>
      <c r="O160" s="458"/>
      <c r="P160" s="458"/>
      <c r="Q160" s="459"/>
      <c r="R160" s="459"/>
      <c r="S160" s="460"/>
    </row>
    <row r="161" spans="1:19">
      <c r="A161" s="470"/>
      <c r="B161" s="461"/>
      <c r="C161" s="462"/>
      <c r="D161" s="463"/>
      <c r="E161" s="463"/>
      <c r="F161" s="463"/>
      <c r="G161" s="463"/>
      <c r="H161" s="463"/>
      <c r="I161" s="462"/>
      <c r="J161" s="462"/>
      <c r="K161" s="463"/>
      <c r="L161" s="463"/>
      <c r="M161" s="463"/>
      <c r="N161" s="463"/>
      <c r="O161" s="462"/>
      <c r="P161" s="462"/>
      <c r="Q161" s="463"/>
      <c r="R161" s="463"/>
      <c r="S161" s="464"/>
    </row>
    <row r="162" spans="1:19">
      <c r="A162" s="470"/>
      <c r="B162" s="77"/>
      <c r="C162" s="127"/>
      <c r="D162" s="129"/>
      <c r="E162" s="129"/>
      <c r="F162" s="129"/>
      <c r="G162" s="129"/>
      <c r="H162" s="129"/>
      <c r="I162" s="127"/>
      <c r="J162" s="127"/>
      <c r="K162" s="129"/>
      <c r="L162" s="129"/>
      <c r="M162" s="129"/>
      <c r="N162" s="129"/>
      <c r="O162" s="127"/>
      <c r="P162" s="127"/>
      <c r="Q162" s="129"/>
      <c r="R162" s="129"/>
      <c r="S162" s="128"/>
    </row>
    <row r="163" spans="1:19">
      <c r="A163" s="470"/>
      <c r="B163" s="80"/>
      <c r="C163" s="458"/>
      <c r="D163" s="459"/>
      <c r="E163" s="459"/>
      <c r="F163" s="459"/>
      <c r="G163" s="459"/>
      <c r="H163" s="459"/>
      <c r="I163" s="458"/>
      <c r="J163" s="458"/>
      <c r="K163" s="459"/>
      <c r="L163" s="459"/>
      <c r="M163" s="459"/>
      <c r="N163" s="459"/>
      <c r="O163" s="458"/>
      <c r="P163" s="458"/>
      <c r="Q163" s="459"/>
      <c r="R163" s="459"/>
      <c r="S163" s="460"/>
    </row>
    <row r="164" spans="1:19">
      <c r="A164" s="470"/>
      <c r="B164" s="461"/>
      <c r="C164" s="462"/>
      <c r="D164" s="463"/>
      <c r="E164" s="463"/>
      <c r="F164" s="463"/>
      <c r="G164" s="463"/>
      <c r="H164" s="463"/>
      <c r="I164" s="462"/>
      <c r="J164" s="462"/>
      <c r="K164" s="463"/>
      <c r="L164" s="463"/>
      <c r="M164" s="463"/>
      <c r="N164" s="463"/>
      <c r="O164" s="462"/>
      <c r="P164" s="462"/>
      <c r="Q164" s="463"/>
      <c r="R164" s="463"/>
      <c r="S164" s="464"/>
    </row>
    <row r="165" spans="1:19">
      <c r="A165" s="470"/>
      <c r="B165" s="77"/>
      <c r="C165" s="127"/>
      <c r="D165" s="129"/>
      <c r="E165" s="129"/>
      <c r="F165" s="129"/>
      <c r="G165" s="129"/>
      <c r="H165" s="129"/>
      <c r="I165" s="127"/>
      <c r="J165" s="127"/>
      <c r="K165" s="129"/>
      <c r="L165" s="129"/>
      <c r="M165" s="129"/>
      <c r="N165" s="129"/>
      <c r="O165" s="127"/>
      <c r="P165" s="127"/>
      <c r="Q165" s="129"/>
      <c r="R165" s="129"/>
      <c r="S165" s="128"/>
    </row>
    <row r="166" spans="1:19">
      <c r="A166" s="470"/>
      <c r="B166" s="80"/>
      <c r="C166" s="458"/>
      <c r="D166" s="459"/>
      <c r="E166" s="459"/>
      <c r="F166" s="459"/>
      <c r="G166" s="459"/>
      <c r="H166" s="459"/>
      <c r="I166" s="458"/>
      <c r="J166" s="458"/>
      <c r="K166" s="459"/>
      <c r="L166" s="459"/>
      <c r="M166" s="459"/>
      <c r="N166" s="459"/>
      <c r="O166" s="458"/>
      <c r="P166" s="458"/>
      <c r="Q166" s="459"/>
      <c r="R166" s="459"/>
      <c r="S166" s="460"/>
    </row>
    <row r="167" spans="1:19">
      <c r="A167" s="470"/>
      <c r="B167" s="461"/>
      <c r="C167" s="462"/>
      <c r="D167" s="463"/>
      <c r="E167" s="463"/>
      <c r="F167" s="463"/>
      <c r="G167" s="463"/>
      <c r="H167" s="463"/>
      <c r="I167" s="462"/>
      <c r="J167" s="462"/>
      <c r="K167" s="463"/>
      <c r="L167" s="463"/>
      <c r="M167" s="463"/>
      <c r="N167" s="463"/>
      <c r="O167" s="462"/>
      <c r="P167" s="462"/>
      <c r="Q167" s="463"/>
      <c r="R167" s="463"/>
      <c r="S167" s="464"/>
    </row>
    <row r="168" spans="1:19">
      <c r="A168" s="470"/>
      <c r="B168" s="77"/>
      <c r="C168" s="127"/>
      <c r="D168" s="129"/>
      <c r="E168" s="129"/>
      <c r="F168" s="129"/>
      <c r="G168" s="129"/>
      <c r="H168" s="129"/>
      <c r="I168" s="127"/>
      <c r="J168" s="127"/>
      <c r="K168" s="129"/>
      <c r="L168" s="129"/>
      <c r="M168" s="129"/>
      <c r="N168" s="129"/>
      <c r="O168" s="127"/>
      <c r="P168" s="127"/>
      <c r="Q168" s="129"/>
      <c r="R168" s="129"/>
      <c r="S168" s="128"/>
    </row>
    <row r="169" spans="1:19">
      <c r="A169" s="470"/>
      <c r="B169" s="80"/>
      <c r="C169" s="458"/>
      <c r="D169" s="459"/>
      <c r="E169" s="459"/>
      <c r="F169" s="459"/>
      <c r="G169" s="459"/>
      <c r="H169" s="459"/>
      <c r="I169" s="458"/>
      <c r="J169" s="458"/>
      <c r="K169" s="459"/>
      <c r="L169" s="459"/>
      <c r="M169" s="459"/>
      <c r="N169" s="459"/>
      <c r="O169" s="458"/>
      <c r="P169" s="458"/>
      <c r="Q169" s="459"/>
      <c r="R169" s="459"/>
      <c r="S169" s="460"/>
    </row>
    <row r="170" spans="1:19">
      <c r="A170" s="470"/>
      <c r="B170" s="461"/>
      <c r="C170" s="462"/>
      <c r="D170" s="463"/>
      <c r="E170" s="463"/>
      <c r="F170" s="463"/>
      <c r="G170" s="463"/>
      <c r="H170" s="463"/>
      <c r="I170" s="462"/>
      <c r="J170" s="462"/>
      <c r="K170" s="463"/>
      <c r="L170" s="463"/>
      <c r="M170" s="463"/>
      <c r="N170" s="463"/>
      <c r="O170" s="462"/>
      <c r="P170" s="462"/>
      <c r="Q170" s="463"/>
      <c r="R170" s="463"/>
      <c r="S170" s="464"/>
    </row>
    <row r="171" spans="1:19">
      <c r="A171" s="470"/>
      <c r="B171" s="77"/>
      <c r="C171" s="127"/>
      <c r="D171" s="129"/>
      <c r="E171" s="129"/>
      <c r="F171" s="129"/>
      <c r="G171" s="129"/>
      <c r="H171" s="129"/>
      <c r="I171" s="127"/>
      <c r="J171" s="127"/>
      <c r="K171" s="129"/>
      <c r="L171" s="129"/>
      <c r="M171" s="129"/>
      <c r="N171" s="129"/>
      <c r="O171" s="127"/>
      <c r="P171" s="127"/>
      <c r="Q171" s="129"/>
      <c r="R171" s="129"/>
      <c r="S171" s="128"/>
    </row>
    <row r="172" spans="1:19">
      <c r="A172" s="470"/>
      <c r="B172" s="80"/>
      <c r="C172" s="458"/>
      <c r="D172" s="459"/>
      <c r="E172" s="459"/>
      <c r="F172" s="459"/>
      <c r="G172" s="459"/>
      <c r="H172" s="459"/>
      <c r="I172" s="458"/>
      <c r="J172" s="458"/>
      <c r="K172" s="459"/>
      <c r="L172" s="459"/>
      <c r="M172" s="459"/>
      <c r="N172" s="459"/>
      <c r="O172" s="458"/>
      <c r="P172" s="458"/>
      <c r="Q172" s="459"/>
      <c r="R172" s="459"/>
      <c r="S172" s="460"/>
    </row>
    <row r="173" spans="1:19">
      <c r="A173" s="475"/>
      <c r="B173" s="476"/>
      <c r="C173" s="477"/>
      <c r="D173" s="478"/>
      <c r="E173" s="478"/>
      <c r="F173" s="478"/>
      <c r="G173" s="478"/>
      <c r="H173" s="478"/>
      <c r="I173" s="477"/>
      <c r="J173" s="477"/>
      <c r="K173" s="478"/>
      <c r="L173" s="478"/>
      <c r="M173" s="478"/>
      <c r="N173" s="478"/>
      <c r="O173" s="477"/>
      <c r="P173" s="477"/>
      <c r="Q173" s="478"/>
      <c r="R173" s="478"/>
      <c r="S173" s="479"/>
    </row>
    <row r="174" spans="1:19">
      <c r="A174" s="473"/>
      <c r="B174" s="80"/>
      <c r="C174" s="458"/>
      <c r="D174" s="474"/>
      <c r="E174" s="474"/>
      <c r="F174" s="474"/>
      <c r="G174" s="474"/>
      <c r="H174" s="474"/>
      <c r="I174" s="458"/>
      <c r="J174" s="458"/>
      <c r="K174" s="474"/>
      <c r="L174" s="474"/>
      <c r="M174" s="474"/>
      <c r="N174" s="474"/>
      <c r="O174" s="458"/>
      <c r="P174" s="458"/>
      <c r="Q174" s="474"/>
      <c r="R174" s="474"/>
      <c r="S174" s="460"/>
    </row>
    <row r="175" spans="1:19">
      <c r="A175" s="470"/>
      <c r="B175" s="80"/>
      <c r="C175" s="458"/>
      <c r="D175" s="459"/>
      <c r="E175" s="459"/>
      <c r="F175" s="459"/>
      <c r="G175" s="459"/>
      <c r="H175" s="459"/>
      <c r="I175" s="458"/>
      <c r="J175" s="458"/>
      <c r="K175" s="459"/>
      <c r="L175" s="459"/>
      <c r="M175" s="459"/>
      <c r="N175" s="459"/>
      <c r="O175" s="458"/>
      <c r="P175" s="458"/>
      <c r="Q175" s="459"/>
      <c r="R175" s="459"/>
      <c r="S175" s="460"/>
    </row>
    <row r="176" spans="1:19">
      <c r="A176" s="470"/>
      <c r="B176" s="461"/>
      <c r="C176" s="462"/>
      <c r="D176" s="463"/>
      <c r="E176" s="463"/>
      <c r="F176" s="463"/>
      <c r="G176" s="463"/>
      <c r="H176" s="463"/>
      <c r="I176" s="462"/>
      <c r="J176" s="462"/>
      <c r="K176" s="463"/>
      <c r="L176" s="463"/>
      <c r="M176" s="463"/>
      <c r="N176" s="463"/>
      <c r="O176" s="462"/>
      <c r="P176" s="462"/>
      <c r="Q176" s="463"/>
      <c r="R176" s="463"/>
      <c r="S176" s="464"/>
    </row>
    <row r="177" spans="1:19">
      <c r="A177" s="470"/>
      <c r="B177" s="77"/>
      <c r="C177" s="127"/>
      <c r="D177" s="129"/>
      <c r="E177" s="129"/>
      <c r="F177" s="129"/>
      <c r="G177" s="129"/>
      <c r="H177" s="129"/>
      <c r="I177" s="127"/>
      <c r="J177" s="127"/>
      <c r="K177" s="129"/>
      <c r="L177" s="129"/>
      <c r="M177" s="129"/>
      <c r="N177" s="129"/>
      <c r="O177" s="127"/>
      <c r="P177" s="127"/>
      <c r="Q177" s="129"/>
      <c r="R177" s="129"/>
      <c r="S177" s="128"/>
    </row>
    <row r="178" spans="1:19">
      <c r="A178" s="470"/>
      <c r="B178" s="80"/>
      <c r="C178" s="458"/>
      <c r="D178" s="459"/>
      <c r="E178" s="459"/>
      <c r="F178" s="459"/>
      <c r="G178" s="459"/>
      <c r="H178" s="459"/>
      <c r="I178" s="458"/>
      <c r="J178" s="458"/>
      <c r="K178" s="459"/>
      <c r="L178" s="459"/>
      <c r="M178" s="459"/>
      <c r="N178" s="459"/>
      <c r="O178" s="458"/>
      <c r="P178" s="458"/>
      <c r="Q178" s="459"/>
      <c r="R178" s="459"/>
      <c r="S178" s="460"/>
    </row>
    <row r="179" spans="1:19">
      <c r="A179" s="470"/>
      <c r="B179" s="461"/>
      <c r="C179" s="462"/>
      <c r="D179" s="463"/>
      <c r="E179" s="463"/>
      <c r="F179" s="463"/>
      <c r="G179" s="463"/>
      <c r="H179" s="463"/>
      <c r="I179" s="462"/>
      <c r="J179" s="462"/>
      <c r="K179" s="463"/>
      <c r="L179" s="463"/>
      <c r="M179" s="463"/>
      <c r="N179" s="463"/>
      <c r="O179" s="462"/>
      <c r="P179" s="462"/>
      <c r="Q179" s="463"/>
      <c r="R179" s="463"/>
      <c r="S179" s="464"/>
    </row>
    <row r="180" spans="1:19">
      <c r="A180" s="470"/>
      <c r="B180" s="77"/>
      <c r="C180" s="127"/>
      <c r="D180" s="129"/>
      <c r="E180" s="129"/>
      <c r="F180" s="129"/>
      <c r="G180" s="129"/>
      <c r="H180" s="129"/>
      <c r="I180" s="127"/>
      <c r="J180" s="127"/>
      <c r="K180" s="129"/>
      <c r="L180" s="129"/>
      <c r="M180" s="129"/>
      <c r="N180" s="129"/>
      <c r="O180" s="127"/>
      <c r="P180" s="127"/>
      <c r="Q180" s="129"/>
      <c r="R180" s="129"/>
      <c r="S180" s="128"/>
    </row>
    <row r="181" spans="1:19">
      <c r="A181" s="470"/>
      <c r="B181" s="80"/>
      <c r="C181" s="458"/>
      <c r="D181" s="459"/>
      <c r="E181" s="459"/>
      <c r="F181" s="459"/>
      <c r="G181" s="459"/>
      <c r="H181" s="459"/>
      <c r="I181" s="458"/>
      <c r="J181" s="458"/>
      <c r="K181" s="459"/>
      <c r="L181" s="459"/>
      <c r="M181" s="459"/>
      <c r="N181" s="459"/>
      <c r="O181" s="458"/>
      <c r="P181" s="458"/>
      <c r="Q181" s="459"/>
      <c r="R181" s="459"/>
      <c r="S181" s="460"/>
    </row>
    <row r="182" spans="1:19">
      <c r="A182" s="470"/>
      <c r="B182" s="461"/>
      <c r="C182" s="462"/>
      <c r="D182" s="463"/>
      <c r="E182" s="463"/>
      <c r="F182" s="463"/>
      <c r="G182" s="463"/>
      <c r="H182" s="463"/>
      <c r="I182" s="462"/>
      <c r="J182" s="462"/>
      <c r="K182" s="463"/>
      <c r="L182" s="463"/>
      <c r="M182" s="463"/>
      <c r="N182" s="463"/>
      <c r="O182" s="462"/>
      <c r="P182" s="462"/>
      <c r="Q182" s="463"/>
      <c r="R182" s="463"/>
      <c r="S182" s="464"/>
    </row>
    <row r="183" spans="1:19">
      <c r="A183" s="470"/>
      <c r="B183" s="77"/>
      <c r="C183" s="127"/>
      <c r="D183" s="129"/>
      <c r="E183" s="129"/>
      <c r="F183" s="129"/>
      <c r="G183" s="129"/>
      <c r="H183" s="129"/>
      <c r="I183" s="127"/>
      <c r="J183" s="127"/>
      <c r="K183" s="129"/>
      <c r="L183" s="129"/>
      <c r="M183" s="129"/>
      <c r="N183" s="129"/>
      <c r="O183" s="127"/>
      <c r="P183" s="127"/>
      <c r="Q183" s="129"/>
      <c r="R183" s="129"/>
      <c r="S183" s="128"/>
    </row>
    <row r="184" spans="1:19">
      <c r="A184" s="470"/>
      <c r="B184" s="80"/>
      <c r="C184" s="458"/>
      <c r="D184" s="459"/>
      <c r="E184" s="459"/>
      <c r="F184" s="459"/>
      <c r="G184" s="459"/>
      <c r="H184" s="459"/>
      <c r="I184" s="458"/>
      <c r="J184" s="458"/>
      <c r="K184" s="459"/>
      <c r="L184" s="459"/>
      <c r="M184" s="459"/>
      <c r="N184" s="459"/>
      <c r="O184" s="458"/>
      <c r="P184" s="458"/>
      <c r="Q184" s="459"/>
      <c r="R184" s="459"/>
      <c r="S184" s="460"/>
    </row>
    <row r="185" spans="1:19">
      <c r="A185" s="470"/>
      <c r="B185" s="461"/>
      <c r="C185" s="462"/>
      <c r="D185" s="463"/>
      <c r="E185" s="463"/>
      <c r="F185" s="463"/>
      <c r="G185" s="463"/>
      <c r="H185" s="463"/>
      <c r="I185" s="462"/>
      <c r="J185" s="462"/>
      <c r="K185" s="463"/>
      <c r="L185" s="463"/>
      <c r="M185" s="463"/>
      <c r="N185" s="463"/>
      <c r="O185" s="462"/>
      <c r="P185" s="462"/>
      <c r="Q185" s="463"/>
      <c r="R185" s="463"/>
      <c r="S185" s="464"/>
    </row>
    <row r="186" spans="1:19">
      <c r="A186" s="470"/>
      <c r="B186" s="77"/>
      <c r="C186" s="127"/>
      <c r="D186" s="129"/>
      <c r="E186" s="129"/>
      <c r="F186" s="129"/>
      <c r="G186" s="129"/>
      <c r="H186" s="129"/>
      <c r="I186" s="127"/>
      <c r="J186" s="127"/>
      <c r="K186" s="129"/>
      <c r="L186" s="129"/>
      <c r="M186" s="129"/>
      <c r="N186" s="129"/>
      <c r="O186" s="127"/>
      <c r="P186" s="127"/>
      <c r="Q186" s="129"/>
      <c r="R186" s="129"/>
      <c r="S186" s="128"/>
    </row>
    <row r="187" spans="1:19">
      <c r="A187" s="470"/>
      <c r="B187" s="80"/>
      <c r="C187" s="458"/>
      <c r="D187" s="459"/>
      <c r="E187" s="459"/>
      <c r="F187" s="459"/>
      <c r="G187" s="459"/>
      <c r="H187" s="459"/>
      <c r="I187" s="458"/>
      <c r="J187" s="458"/>
      <c r="K187" s="459"/>
      <c r="L187" s="459"/>
      <c r="M187" s="459"/>
      <c r="N187" s="459"/>
      <c r="O187" s="458"/>
      <c r="P187" s="458"/>
      <c r="Q187" s="459"/>
      <c r="R187" s="459"/>
      <c r="S187" s="460"/>
    </row>
    <row r="188" spans="1:19">
      <c r="A188" s="470"/>
      <c r="B188" s="461"/>
      <c r="C188" s="462"/>
      <c r="D188" s="463"/>
      <c r="E188" s="463"/>
      <c r="F188" s="463"/>
      <c r="G188" s="463"/>
      <c r="H188" s="463"/>
      <c r="I188" s="462"/>
      <c r="J188" s="462"/>
      <c r="K188" s="463"/>
      <c r="L188" s="463"/>
      <c r="M188" s="463"/>
      <c r="N188" s="463"/>
      <c r="O188" s="462"/>
      <c r="P188" s="462"/>
      <c r="Q188" s="463"/>
      <c r="R188" s="463"/>
      <c r="S188" s="464"/>
    </row>
    <row r="189" spans="1:19">
      <c r="A189" s="470"/>
      <c r="B189" s="77"/>
      <c r="C189" s="127"/>
      <c r="D189" s="129"/>
      <c r="E189" s="129"/>
      <c r="F189" s="129"/>
      <c r="G189" s="129"/>
      <c r="H189" s="129"/>
      <c r="I189" s="127"/>
      <c r="J189" s="127"/>
      <c r="K189" s="129"/>
      <c r="L189" s="129"/>
      <c r="M189" s="129"/>
      <c r="N189" s="129"/>
      <c r="O189" s="127"/>
      <c r="P189" s="127"/>
      <c r="Q189" s="129"/>
      <c r="R189" s="129"/>
      <c r="S189" s="128"/>
    </row>
    <row r="190" spans="1:19">
      <c r="A190" s="470"/>
      <c r="B190" s="80"/>
      <c r="C190" s="458"/>
      <c r="D190" s="459"/>
      <c r="E190" s="459"/>
      <c r="F190" s="459"/>
      <c r="G190" s="459"/>
      <c r="H190" s="459"/>
      <c r="I190" s="458"/>
      <c r="J190" s="458"/>
      <c r="K190" s="459"/>
      <c r="L190" s="459"/>
      <c r="M190" s="459"/>
      <c r="N190" s="459"/>
      <c r="O190" s="458"/>
      <c r="P190" s="458"/>
      <c r="Q190" s="459"/>
      <c r="R190" s="459"/>
      <c r="S190" s="460"/>
    </row>
    <row r="191" spans="1:19">
      <c r="A191" s="470"/>
      <c r="B191" s="461"/>
      <c r="C191" s="462"/>
      <c r="D191" s="463"/>
      <c r="E191" s="463"/>
      <c r="F191" s="463"/>
      <c r="G191" s="463"/>
      <c r="H191" s="463"/>
      <c r="I191" s="462"/>
      <c r="J191" s="462"/>
      <c r="K191" s="463"/>
      <c r="L191" s="463"/>
      <c r="M191" s="463"/>
      <c r="N191" s="463"/>
      <c r="O191" s="462"/>
      <c r="P191" s="462"/>
      <c r="Q191" s="463"/>
      <c r="R191" s="463"/>
      <c r="S191" s="464"/>
    </row>
    <row r="192" spans="1:19">
      <c r="A192" s="470"/>
      <c r="B192" s="77"/>
      <c r="C192" s="127"/>
      <c r="D192" s="129"/>
      <c r="E192" s="129"/>
      <c r="F192" s="129"/>
      <c r="G192" s="129"/>
      <c r="H192" s="129"/>
      <c r="I192" s="127"/>
      <c r="J192" s="127"/>
      <c r="K192" s="129"/>
      <c r="L192" s="129"/>
      <c r="M192" s="129"/>
      <c r="N192" s="129"/>
      <c r="O192" s="127"/>
      <c r="P192" s="127"/>
      <c r="Q192" s="129"/>
      <c r="R192" s="129"/>
      <c r="S192" s="128"/>
    </row>
    <row r="193" spans="1:19">
      <c r="A193" s="470"/>
      <c r="B193" s="80"/>
      <c r="C193" s="458"/>
      <c r="D193" s="459"/>
      <c r="E193" s="459"/>
      <c r="F193" s="459"/>
      <c r="G193" s="459"/>
      <c r="H193" s="459"/>
      <c r="I193" s="458"/>
      <c r="J193" s="458"/>
      <c r="K193" s="459"/>
      <c r="L193" s="459"/>
      <c r="M193" s="459"/>
      <c r="N193" s="459"/>
      <c r="O193" s="458"/>
      <c r="P193" s="458"/>
      <c r="Q193" s="459"/>
      <c r="R193" s="459"/>
      <c r="S193" s="460"/>
    </row>
    <row r="194" spans="1:19">
      <c r="A194" s="475"/>
      <c r="B194" s="476"/>
      <c r="C194" s="477"/>
      <c r="D194" s="478"/>
      <c r="E194" s="478"/>
      <c r="F194" s="478"/>
      <c r="G194" s="478"/>
      <c r="H194" s="478"/>
      <c r="I194" s="477"/>
      <c r="J194" s="477"/>
      <c r="K194" s="478"/>
      <c r="L194" s="478"/>
      <c r="M194" s="478"/>
      <c r="N194" s="478"/>
      <c r="O194" s="477"/>
      <c r="P194" s="477"/>
      <c r="Q194" s="478"/>
      <c r="R194" s="478"/>
      <c r="S194" s="479"/>
    </row>
    <row r="195" spans="1:19">
      <c r="A195" s="473"/>
      <c r="B195" s="80"/>
      <c r="C195" s="458"/>
      <c r="D195" s="474"/>
      <c r="E195" s="474"/>
      <c r="F195" s="474"/>
      <c r="G195" s="474"/>
      <c r="H195" s="474"/>
      <c r="I195" s="458"/>
      <c r="J195" s="458"/>
      <c r="K195" s="474"/>
      <c r="L195" s="474"/>
      <c r="M195" s="474"/>
      <c r="N195" s="474"/>
      <c r="O195" s="458"/>
      <c r="P195" s="458"/>
      <c r="Q195" s="474"/>
      <c r="R195" s="474"/>
      <c r="S195" s="460"/>
    </row>
    <row r="196" spans="1:19">
      <c r="A196" s="470"/>
      <c r="B196" s="80"/>
      <c r="C196" s="458"/>
      <c r="D196" s="459"/>
      <c r="E196" s="459"/>
      <c r="F196" s="459"/>
      <c r="G196" s="459"/>
      <c r="H196" s="459"/>
      <c r="I196" s="458"/>
      <c r="J196" s="458"/>
      <c r="K196" s="459"/>
      <c r="L196" s="459"/>
      <c r="M196" s="459"/>
      <c r="N196" s="459"/>
      <c r="O196" s="458"/>
      <c r="P196" s="458"/>
      <c r="Q196" s="459"/>
      <c r="R196" s="459"/>
      <c r="S196" s="460"/>
    </row>
    <row r="197" spans="1:19">
      <c r="A197" s="470"/>
      <c r="B197" s="461"/>
      <c r="C197" s="462"/>
      <c r="D197" s="463"/>
      <c r="E197" s="463"/>
      <c r="F197" s="463"/>
      <c r="G197" s="463"/>
      <c r="H197" s="463"/>
      <c r="I197" s="462"/>
      <c r="J197" s="462"/>
      <c r="K197" s="463"/>
      <c r="L197" s="463"/>
      <c r="M197" s="463"/>
      <c r="N197" s="463"/>
      <c r="O197" s="462"/>
      <c r="P197" s="462"/>
      <c r="Q197" s="463"/>
      <c r="R197" s="463"/>
      <c r="S197" s="464"/>
    </row>
    <row r="198" spans="1:19">
      <c r="A198" s="470"/>
      <c r="B198" s="77"/>
      <c r="C198" s="127"/>
      <c r="D198" s="129"/>
      <c r="E198" s="129"/>
      <c r="F198" s="129"/>
      <c r="G198" s="129"/>
      <c r="H198" s="129"/>
      <c r="I198" s="127"/>
      <c r="J198" s="127"/>
      <c r="K198" s="129"/>
      <c r="L198" s="129"/>
      <c r="M198" s="129"/>
      <c r="N198" s="129"/>
      <c r="O198" s="127"/>
      <c r="P198" s="127"/>
      <c r="Q198" s="129"/>
      <c r="R198" s="129"/>
      <c r="S198" s="128"/>
    </row>
    <row r="199" spans="1:19">
      <c r="A199" s="470"/>
      <c r="B199" s="80"/>
      <c r="C199" s="458"/>
      <c r="D199" s="459"/>
      <c r="E199" s="459"/>
      <c r="F199" s="459"/>
      <c r="G199" s="459"/>
      <c r="H199" s="459"/>
      <c r="I199" s="458"/>
      <c r="J199" s="458"/>
      <c r="K199" s="459"/>
      <c r="L199" s="459"/>
      <c r="M199" s="459"/>
      <c r="N199" s="459"/>
      <c r="O199" s="458"/>
      <c r="P199" s="458"/>
      <c r="Q199" s="459"/>
      <c r="R199" s="459"/>
      <c r="S199" s="460"/>
    </row>
    <row r="200" spans="1:19">
      <c r="A200" s="470"/>
      <c r="B200" s="461"/>
      <c r="C200" s="462"/>
      <c r="D200" s="463"/>
      <c r="E200" s="463"/>
      <c r="F200" s="463"/>
      <c r="G200" s="463"/>
      <c r="H200" s="463"/>
      <c r="I200" s="462"/>
      <c r="J200" s="462"/>
      <c r="K200" s="463"/>
      <c r="L200" s="463"/>
      <c r="M200" s="463"/>
      <c r="N200" s="463"/>
      <c r="O200" s="462"/>
      <c r="P200" s="462"/>
      <c r="Q200" s="463"/>
      <c r="R200" s="463"/>
      <c r="S200" s="464"/>
    </row>
    <row r="201" spans="1:19">
      <c r="A201" s="470"/>
      <c r="B201" s="77"/>
      <c r="C201" s="127"/>
      <c r="D201" s="129"/>
      <c r="E201" s="129"/>
      <c r="F201" s="129"/>
      <c r="G201" s="129"/>
      <c r="H201" s="129"/>
      <c r="I201" s="127"/>
      <c r="J201" s="127"/>
      <c r="K201" s="129"/>
      <c r="L201" s="129"/>
      <c r="M201" s="129"/>
      <c r="N201" s="129"/>
      <c r="O201" s="127"/>
      <c r="P201" s="127"/>
      <c r="Q201" s="129"/>
      <c r="R201" s="129"/>
      <c r="S201" s="128"/>
    </row>
    <row r="202" spans="1:19">
      <c r="A202" s="470"/>
      <c r="B202" s="80"/>
      <c r="C202" s="458"/>
      <c r="D202" s="459"/>
      <c r="E202" s="459"/>
      <c r="F202" s="459"/>
      <c r="G202" s="459"/>
      <c r="H202" s="459"/>
      <c r="I202" s="458"/>
      <c r="J202" s="458"/>
      <c r="K202" s="459"/>
      <c r="L202" s="459"/>
      <c r="M202" s="459"/>
      <c r="N202" s="459"/>
      <c r="O202" s="458"/>
      <c r="P202" s="458"/>
      <c r="Q202" s="459"/>
      <c r="R202" s="459"/>
      <c r="S202" s="460"/>
    </row>
    <row r="203" spans="1:19">
      <c r="A203" s="470"/>
      <c r="B203" s="461"/>
      <c r="C203" s="462"/>
      <c r="D203" s="463"/>
      <c r="E203" s="463"/>
      <c r="F203" s="463"/>
      <c r="G203" s="463"/>
      <c r="H203" s="463"/>
      <c r="I203" s="462"/>
      <c r="J203" s="462"/>
      <c r="K203" s="463"/>
      <c r="L203" s="463"/>
      <c r="M203" s="463"/>
      <c r="N203" s="463"/>
      <c r="O203" s="462"/>
      <c r="P203" s="462"/>
      <c r="Q203" s="463"/>
      <c r="R203" s="463"/>
      <c r="S203" s="464"/>
    </row>
    <row r="204" spans="1:19">
      <c r="A204" s="470"/>
      <c r="B204" s="77"/>
      <c r="C204" s="127"/>
      <c r="D204" s="129"/>
      <c r="E204" s="129"/>
      <c r="F204" s="129"/>
      <c r="G204" s="129"/>
      <c r="H204" s="129"/>
      <c r="I204" s="127"/>
      <c r="J204" s="127"/>
      <c r="K204" s="129"/>
      <c r="L204" s="129"/>
      <c r="M204" s="129"/>
      <c r="N204" s="129"/>
      <c r="O204" s="127"/>
      <c r="P204" s="127"/>
      <c r="Q204" s="129"/>
      <c r="R204" s="129"/>
      <c r="S204" s="128"/>
    </row>
    <row r="205" spans="1:19">
      <c r="A205" s="470"/>
      <c r="B205" s="80"/>
      <c r="C205" s="458"/>
      <c r="D205" s="459"/>
      <c r="E205" s="459"/>
      <c r="F205" s="459"/>
      <c r="G205" s="459"/>
      <c r="H205" s="459"/>
      <c r="I205" s="458"/>
      <c r="J205" s="458"/>
      <c r="K205" s="459"/>
      <c r="L205" s="459"/>
      <c r="M205" s="459"/>
      <c r="N205" s="459"/>
      <c r="O205" s="458"/>
      <c r="P205" s="458"/>
      <c r="Q205" s="459"/>
      <c r="R205" s="459"/>
      <c r="S205" s="460"/>
    </row>
    <row r="206" spans="1:19">
      <c r="A206" s="470"/>
      <c r="B206" s="461"/>
      <c r="C206" s="462"/>
      <c r="D206" s="463"/>
      <c r="E206" s="463"/>
      <c r="F206" s="463"/>
      <c r="G206" s="463"/>
      <c r="H206" s="463"/>
      <c r="I206" s="462"/>
      <c r="J206" s="462"/>
      <c r="K206" s="463"/>
      <c r="L206" s="463"/>
      <c r="M206" s="463"/>
      <c r="N206" s="463"/>
      <c r="O206" s="462"/>
      <c r="P206" s="462"/>
      <c r="Q206" s="463"/>
      <c r="R206" s="463"/>
      <c r="S206" s="464"/>
    </row>
    <row r="207" spans="1:19">
      <c r="A207" s="470"/>
      <c r="B207" s="77"/>
      <c r="C207" s="127"/>
      <c r="D207" s="129"/>
      <c r="E207" s="129"/>
      <c r="F207" s="129"/>
      <c r="G207" s="129"/>
      <c r="H207" s="129"/>
      <c r="I207" s="127"/>
      <c r="J207" s="127"/>
      <c r="K207" s="129"/>
      <c r="L207" s="129"/>
      <c r="M207" s="129"/>
      <c r="N207" s="129"/>
      <c r="O207" s="127"/>
      <c r="P207" s="127"/>
      <c r="Q207" s="129"/>
      <c r="R207" s="129"/>
      <c r="S207" s="128"/>
    </row>
    <row r="208" spans="1:19">
      <c r="A208" s="470"/>
      <c r="B208" s="80"/>
      <c r="C208" s="458"/>
      <c r="D208" s="459"/>
      <c r="E208" s="459"/>
      <c r="F208" s="459"/>
      <c r="G208" s="459"/>
      <c r="H208" s="459"/>
      <c r="I208" s="458"/>
      <c r="J208" s="458"/>
      <c r="K208" s="459"/>
      <c r="L208" s="459"/>
      <c r="M208" s="459"/>
      <c r="N208" s="459"/>
      <c r="O208" s="458"/>
      <c r="P208" s="458"/>
      <c r="Q208" s="459"/>
      <c r="R208" s="459"/>
      <c r="S208" s="460"/>
    </row>
    <row r="209" spans="1:19">
      <c r="A209" s="470"/>
      <c r="B209" s="461"/>
      <c r="C209" s="462"/>
      <c r="D209" s="463"/>
      <c r="E209" s="463"/>
      <c r="F209" s="463"/>
      <c r="G209" s="463"/>
      <c r="H209" s="463"/>
      <c r="I209" s="462"/>
      <c r="J209" s="462"/>
      <c r="K209" s="463"/>
      <c r="L209" s="463"/>
      <c r="M209" s="463"/>
      <c r="N209" s="463"/>
      <c r="O209" s="462"/>
      <c r="P209" s="462"/>
      <c r="Q209" s="463"/>
      <c r="R209" s="463"/>
      <c r="S209" s="464"/>
    </row>
    <row r="210" spans="1:19">
      <c r="A210" s="470"/>
      <c r="B210" s="77"/>
      <c r="C210" s="127"/>
      <c r="D210" s="129"/>
      <c r="E210" s="129"/>
      <c r="F210" s="129"/>
      <c r="G210" s="129"/>
      <c r="H210" s="129"/>
      <c r="I210" s="127"/>
      <c r="J210" s="127"/>
      <c r="K210" s="129"/>
      <c r="L210" s="129"/>
      <c r="M210" s="129"/>
      <c r="N210" s="129"/>
      <c r="O210" s="127"/>
      <c r="P210" s="127"/>
      <c r="Q210" s="129"/>
      <c r="R210" s="129"/>
      <c r="S210" s="128"/>
    </row>
    <row r="211" spans="1:19">
      <c r="A211" s="470"/>
      <c r="B211" s="80"/>
      <c r="C211" s="458"/>
      <c r="D211" s="459"/>
      <c r="E211" s="459"/>
      <c r="F211" s="459"/>
      <c r="G211" s="459"/>
      <c r="H211" s="459"/>
      <c r="I211" s="458"/>
      <c r="J211" s="458"/>
      <c r="K211" s="459"/>
      <c r="L211" s="459"/>
      <c r="M211" s="459"/>
      <c r="N211" s="459"/>
      <c r="O211" s="458"/>
      <c r="P211" s="458"/>
      <c r="Q211" s="459"/>
      <c r="R211" s="459"/>
      <c r="S211" s="460"/>
    </row>
    <row r="212" spans="1:19">
      <c r="A212" s="470"/>
      <c r="B212" s="461"/>
      <c r="C212" s="462"/>
      <c r="D212" s="463"/>
      <c r="E212" s="463"/>
      <c r="F212" s="463"/>
      <c r="G212" s="463"/>
      <c r="H212" s="463"/>
      <c r="I212" s="462"/>
      <c r="J212" s="462"/>
      <c r="K212" s="463"/>
      <c r="L212" s="463"/>
      <c r="M212" s="463"/>
      <c r="N212" s="463"/>
      <c r="O212" s="462"/>
      <c r="P212" s="462"/>
      <c r="Q212" s="463"/>
      <c r="R212" s="463"/>
      <c r="S212" s="464"/>
    </row>
    <row r="213" spans="1:19">
      <c r="A213" s="470"/>
      <c r="B213" s="77"/>
      <c r="C213" s="127"/>
      <c r="D213" s="129"/>
      <c r="E213" s="129"/>
      <c r="F213" s="129"/>
      <c r="G213" s="129"/>
      <c r="H213" s="129"/>
      <c r="I213" s="127"/>
      <c r="J213" s="127"/>
      <c r="K213" s="129"/>
      <c r="L213" s="129"/>
      <c r="M213" s="129"/>
      <c r="N213" s="129"/>
      <c r="O213" s="127"/>
      <c r="P213" s="127"/>
      <c r="Q213" s="129"/>
      <c r="R213" s="129"/>
      <c r="S213" s="128"/>
    </row>
    <row r="214" spans="1:19">
      <c r="A214" s="470"/>
      <c r="B214" s="80"/>
      <c r="C214" s="458"/>
      <c r="D214" s="459"/>
      <c r="E214" s="459"/>
      <c r="F214" s="459"/>
      <c r="G214" s="459"/>
      <c r="H214" s="459"/>
      <c r="I214" s="458"/>
      <c r="J214" s="458"/>
      <c r="K214" s="459"/>
      <c r="L214" s="459"/>
      <c r="M214" s="459"/>
      <c r="N214" s="459"/>
      <c r="O214" s="458"/>
      <c r="P214" s="458"/>
      <c r="Q214" s="459"/>
      <c r="R214" s="459"/>
      <c r="S214" s="460"/>
    </row>
    <row r="215" spans="1:19">
      <c r="A215" s="475"/>
      <c r="B215" s="476"/>
      <c r="C215" s="477"/>
      <c r="D215" s="478"/>
      <c r="E215" s="478"/>
      <c r="F215" s="478"/>
      <c r="G215" s="478"/>
      <c r="H215" s="478"/>
      <c r="I215" s="477"/>
      <c r="J215" s="477"/>
      <c r="K215" s="478"/>
      <c r="L215" s="478"/>
      <c r="M215" s="478"/>
      <c r="N215" s="478"/>
      <c r="O215" s="477"/>
      <c r="P215" s="477"/>
      <c r="Q215" s="478"/>
      <c r="R215" s="478"/>
      <c r="S215" s="479"/>
    </row>
    <row r="216" spans="1:19">
      <c r="A216" s="473"/>
      <c r="B216" s="80"/>
      <c r="C216" s="458"/>
      <c r="D216" s="474"/>
      <c r="E216" s="474"/>
      <c r="F216" s="474"/>
      <c r="G216" s="474"/>
      <c r="H216" s="474"/>
      <c r="I216" s="458"/>
      <c r="J216" s="458"/>
      <c r="K216" s="474"/>
      <c r="L216" s="474"/>
      <c r="M216" s="474"/>
      <c r="N216" s="474"/>
      <c r="O216" s="458"/>
      <c r="P216" s="458"/>
      <c r="Q216" s="474"/>
      <c r="R216" s="474"/>
      <c r="S216" s="460"/>
    </row>
    <row r="217" spans="1:19">
      <c r="A217" s="470"/>
      <c r="B217" s="80"/>
      <c r="C217" s="458"/>
      <c r="D217" s="459"/>
      <c r="E217" s="459"/>
      <c r="F217" s="459"/>
      <c r="G217" s="459"/>
      <c r="H217" s="459"/>
      <c r="I217" s="458"/>
      <c r="J217" s="458"/>
      <c r="K217" s="459"/>
      <c r="L217" s="459"/>
      <c r="M217" s="459"/>
      <c r="N217" s="459"/>
      <c r="O217" s="458"/>
      <c r="P217" s="458"/>
      <c r="Q217" s="459"/>
      <c r="R217" s="459"/>
      <c r="S217" s="460"/>
    </row>
    <row r="218" spans="1:19">
      <c r="A218" s="470"/>
      <c r="B218" s="461"/>
      <c r="C218" s="462"/>
      <c r="D218" s="463"/>
      <c r="E218" s="463"/>
      <c r="F218" s="463"/>
      <c r="G218" s="463"/>
      <c r="H218" s="463"/>
      <c r="I218" s="462"/>
      <c r="J218" s="462"/>
      <c r="K218" s="463"/>
      <c r="L218" s="463"/>
      <c r="M218" s="463"/>
      <c r="N218" s="463"/>
      <c r="O218" s="462"/>
      <c r="P218" s="462"/>
      <c r="Q218" s="463"/>
      <c r="R218" s="463"/>
      <c r="S218" s="464"/>
    </row>
    <row r="219" spans="1:19">
      <c r="A219" s="470"/>
      <c r="B219" s="77"/>
      <c r="C219" s="127"/>
      <c r="D219" s="129"/>
      <c r="E219" s="129"/>
      <c r="F219" s="129"/>
      <c r="G219" s="129"/>
      <c r="H219" s="129"/>
      <c r="I219" s="127"/>
      <c r="J219" s="127"/>
      <c r="K219" s="129"/>
      <c r="L219" s="129"/>
      <c r="M219" s="129"/>
      <c r="N219" s="129"/>
      <c r="O219" s="127"/>
      <c r="P219" s="127"/>
      <c r="Q219" s="129"/>
      <c r="R219" s="129"/>
      <c r="S219" s="128"/>
    </row>
    <row r="220" spans="1:19">
      <c r="A220" s="470"/>
      <c r="B220" s="80"/>
      <c r="C220" s="458"/>
      <c r="D220" s="459"/>
      <c r="E220" s="459"/>
      <c r="F220" s="459"/>
      <c r="G220" s="459"/>
      <c r="H220" s="459"/>
      <c r="I220" s="458"/>
      <c r="J220" s="458"/>
      <c r="K220" s="459"/>
      <c r="L220" s="459"/>
      <c r="M220" s="459"/>
      <c r="N220" s="459"/>
      <c r="O220" s="458"/>
      <c r="P220" s="458"/>
      <c r="Q220" s="459"/>
      <c r="R220" s="459"/>
      <c r="S220" s="460"/>
    </row>
    <row r="221" spans="1:19">
      <c r="A221" s="470"/>
      <c r="B221" s="461"/>
      <c r="C221" s="462"/>
      <c r="D221" s="463"/>
      <c r="E221" s="463"/>
      <c r="F221" s="463"/>
      <c r="G221" s="463"/>
      <c r="H221" s="463"/>
      <c r="I221" s="462"/>
      <c r="J221" s="462"/>
      <c r="K221" s="463"/>
      <c r="L221" s="463"/>
      <c r="M221" s="463"/>
      <c r="N221" s="463"/>
      <c r="O221" s="462"/>
      <c r="P221" s="462"/>
      <c r="Q221" s="463"/>
      <c r="R221" s="463"/>
      <c r="S221" s="464"/>
    </row>
    <row r="222" spans="1:19">
      <c r="A222" s="470"/>
      <c r="B222" s="77"/>
      <c r="C222" s="127"/>
      <c r="D222" s="129"/>
      <c r="E222" s="129"/>
      <c r="F222" s="129"/>
      <c r="G222" s="129"/>
      <c r="H222" s="129"/>
      <c r="I222" s="127"/>
      <c r="J222" s="127"/>
      <c r="K222" s="129"/>
      <c r="L222" s="129"/>
      <c r="M222" s="129"/>
      <c r="N222" s="129"/>
      <c r="O222" s="127"/>
      <c r="P222" s="127"/>
      <c r="Q222" s="129"/>
      <c r="R222" s="129"/>
      <c r="S222" s="128"/>
    </row>
    <row r="223" spans="1:19">
      <c r="A223" s="470"/>
      <c r="B223" s="80"/>
      <c r="C223" s="458"/>
      <c r="D223" s="459"/>
      <c r="E223" s="459"/>
      <c r="F223" s="459"/>
      <c r="G223" s="459"/>
      <c r="H223" s="459"/>
      <c r="I223" s="458"/>
      <c r="J223" s="458"/>
      <c r="K223" s="459"/>
      <c r="L223" s="459"/>
      <c r="M223" s="459"/>
      <c r="N223" s="459"/>
      <c r="O223" s="458"/>
      <c r="P223" s="458"/>
      <c r="Q223" s="459"/>
      <c r="R223" s="459"/>
      <c r="S223" s="460"/>
    </row>
    <row r="224" spans="1:19">
      <c r="A224" s="470"/>
      <c r="B224" s="461"/>
      <c r="C224" s="462"/>
      <c r="D224" s="463"/>
      <c r="E224" s="463"/>
      <c r="F224" s="463"/>
      <c r="G224" s="463"/>
      <c r="H224" s="463"/>
      <c r="I224" s="462"/>
      <c r="J224" s="462"/>
      <c r="K224" s="463"/>
      <c r="L224" s="463"/>
      <c r="M224" s="463"/>
      <c r="N224" s="463"/>
      <c r="O224" s="462"/>
      <c r="P224" s="462"/>
      <c r="Q224" s="463"/>
      <c r="R224" s="463"/>
      <c r="S224" s="464"/>
    </row>
    <row r="225" spans="1:19">
      <c r="A225" s="470"/>
      <c r="B225" s="77"/>
      <c r="C225" s="127"/>
      <c r="D225" s="129"/>
      <c r="E225" s="129"/>
      <c r="F225" s="129"/>
      <c r="G225" s="129"/>
      <c r="H225" s="129"/>
      <c r="I225" s="127"/>
      <c r="J225" s="127"/>
      <c r="K225" s="129"/>
      <c r="L225" s="129"/>
      <c r="M225" s="129"/>
      <c r="N225" s="129"/>
      <c r="O225" s="127"/>
      <c r="P225" s="127"/>
      <c r="Q225" s="129"/>
      <c r="R225" s="129"/>
      <c r="S225" s="128"/>
    </row>
    <row r="226" spans="1:19">
      <c r="A226" s="470"/>
      <c r="B226" s="80"/>
      <c r="C226" s="458"/>
      <c r="D226" s="459"/>
      <c r="E226" s="459"/>
      <c r="F226" s="459"/>
      <c r="G226" s="459"/>
      <c r="H226" s="459"/>
      <c r="I226" s="458"/>
      <c r="J226" s="458"/>
      <c r="K226" s="459"/>
      <c r="L226" s="459"/>
      <c r="M226" s="459"/>
      <c r="N226" s="459"/>
      <c r="O226" s="458"/>
      <c r="P226" s="458"/>
      <c r="Q226" s="459"/>
      <c r="R226" s="459"/>
      <c r="S226" s="460"/>
    </row>
    <row r="227" spans="1:19">
      <c r="A227" s="470"/>
      <c r="B227" s="461"/>
      <c r="C227" s="462"/>
      <c r="D227" s="463"/>
      <c r="E227" s="463"/>
      <c r="F227" s="463"/>
      <c r="G227" s="463"/>
      <c r="H227" s="463"/>
      <c r="I227" s="462"/>
      <c r="J227" s="462"/>
      <c r="K227" s="463"/>
      <c r="L227" s="463"/>
      <c r="M227" s="463"/>
      <c r="N227" s="463"/>
      <c r="O227" s="462"/>
      <c r="P227" s="462"/>
      <c r="Q227" s="463"/>
      <c r="R227" s="463"/>
      <c r="S227" s="464"/>
    </row>
    <row r="228" spans="1:19">
      <c r="A228" s="470"/>
      <c r="B228" s="77"/>
      <c r="C228" s="127"/>
      <c r="D228" s="129"/>
      <c r="E228" s="129"/>
      <c r="F228" s="129"/>
      <c r="G228" s="129"/>
      <c r="H228" s="129"/>
      <c r="I228" s="127"/>
      <c r="J228" s="127"/>
      <c r="K228" s="129"/>
      <c r="L228" s="129"/>
      <c r="M228" s="129"/>
      <c r="N228" s="129"/>
      <c r="O228" s="127"/>
      <c r="P228" s="127"/>
      <c r="Q228" s="129"/>
      <c r="R228" s="129"/>
      <c r="S228" s="128"/>
    </row>
    <row r="229" spans="1:19">
      <c r="A229" s="470"/>
      <c r="B229" s="80"/>
      <c r="C229" s="458"/>
      <c r="D229" s="459"/>
      <c r="E229" s="459"/>
      <c r="F229" s="459"/>
      <c r="G229" s="459"/>
      <c r="H229" s="459"/>
      <c r="I229" s="458"/>
      <c r="J229" s="458"/>
      <c r="K229" s="459"/>
      <c r="L229" s="459"/>
      <c r="M229" s="459"/>
      <c r="N229" s="459"/>
      <c r="O229" s="458"/>
      <c r="P229" s="458"/>
      <c r="Q229" s="459"/>
      <c r="R229" s="459"/>
      <c r="S229" s="460"/>
    </row>
    <row r="230" spans="1:19">
      <c r="A230" s="470"/>
      <c r="B230" s="461"/>
      <c r="C230" s="462"/>
      <c r="D230" s="463"/>
      <c r="E230" s="463"/>
      <c r="F230" s="463"/>
      <c r="G230" s="463"/>
      <c r="H230" s="463"/>
      <c r="I230" s="462"/>
      <c r="J230" s="462"/>
      <c r="K230" s="463"/>
      <c r="L230" s="463"/>
      <c r="M230" s="463"/>
      <c r="N230" s="463"/>
      <c r="O230" s="462"/>
      <c r="P230" s="462"/>
      <c r="Q230" s="463"/>
      <c r="R230" s="463"/>
      <c r="S230" s="464"/>
    </row>
    <row r="231" spans="1:19">
      <c r="A231" s="470"/>
      <c r="B231" s="77"/>
      <c r="C231" s="127"/>
      <c r="D231" s="129"/>
      <c r="E231" s="129"/>
      <c r="F231" s="129"/>
      <c r="G231" s="129"/>
      <c r="H231" s="129"/>
      <c r="I231" s="127"/>
      <c r="J231" s="127"/>
      <c r="K231" s="129"/>
      <c r="L231" s="129"/>
      <c r="M231" s="129"/>
      <c r="N231" s="129"/>
      <c r="O231" s="127"/>
      <c r="P231" s="127"/>
      <c r="Q231" s="129"/>
      <c r="R231" s="129"/>
      <c r="S231" s="128"/>
    </row>
    <row r="232" spans="1:19">
      <c r="A232" s="470"/>
      <c r="B232" s="80"/>
      <c r="C232" s="458"/>
      <c r="D232" s="459"/>
      <c r="E232" s="459"/>
      <c r="F232" s="459"/>
      <c r="G232" s="459"/>
      <c r="H232" s="459"/>
      <c r="I232" s="458"/>
      <c r="J232" s="458"/>
      <c r="K232" s="459"/>
      <c r="L232" s="459"/>
      <c r="M232" s="459"/>
      <c r="N232" s="459"/>
      <c r="O232" s="458"/>
      <c r="P232" s="458"/>
      <c r="Q232" s="459"/>
      <c r="R232" s="459"/>
      <c r="S232" s="460"/>
    </row>
    <row r="233" spans="1:19">
      <c r="A233" s="470"/>
      <c r="B233" s="461"/>
      <c r="C233" s="462"/>
      <c r="D233" s="463"/>
      <c r="E233" s="463"/>
      <c r="F233" s="463"/>
      <c r="G233" s="463"/>
      <c r="H233" s="463"/>
      <c r="I233" s="462"/>
      <c r="J233" s="462"/>
      <c r="K233" s="463"/>
      <c r="L233" s="463"/>
      <c r="M233" s="463"/>
      <c r="N233" s="463"/>
      <c r="O233" s="462"/>
      <c r="P233" s="462"/>
      <c r="Q233" s="463"/>
      <c r="R233" s="463"/>
      <c r="S233" s="464"/>
    </row>
    <row r="234" spans="1:19">
      <c r="A234" s="470"/>
      <c r="B234" s="77"/>
      <c r="C234" s="127"/>
      <c r="D234" s="129"/>
      <c r="E234" s="129"/>
      <c r="F234" s="129"/>
      <c r="G234" s="129"/>
      <c r="H234" s="129"/>
      <c r="I234" s="127"/>
      <c r="J234" s="127"/>
      <c r="K234" s="129"/>
      <c r="L234" s="129"/>
      <c r="M234" s="129"/>
      <c r="N234" s="129"/>
      <c r="O234" s="127"/>
      <c r="P234" s="127"/>
      <c r="Q234" s="129"/>
      <c r="R234" s="129"/>
      <c r="S234" s="128"/>
    </row>
    <row r="235" spans="1:19">
      <c r="A235" s="470"/>
      <c r="B235" s="80"/>
      <c r="C235" s="458"/>
      <c r="D235" s="459"/>
      <c r="E235" s="459"/>
      <c r="F235" s="459"/>
      <c r="G235" s="459"/>
      <c r="H235" s="459"/>
      <c r="I235" s="458"/>
      <c r="J235" s="458"/>
      <c r="K235" s="459"/>
      <c r="L235" s="459"/>
      <c r="M235" s="459"/>
      <c r="N235" s="459"/>
      <c r="O235" s="458"/>
      <c r="P235" s="458"/>
      <c r="Q235" s="459"/>
      <c r="R235" s="459"/>
      <c r="S235" s="460"/>
    </row>
    <row r="236" spans="1:19">
      <c r="A236" s="475"/>
      <c r="B236" s="476"/>
      <c r="C236" s="477"/>
      <c r="D236" s="478"/>
      <c r="E236" s="478"/>
      <c r="F236" s="478"/>
      <c r="G236" s="478"/>
      <c r="H236" s="478"/>
      <c r="I236" s="477"/>
      <c r="J236" s="477"/>
      <c r="K236" s="478"/>
      <c r="L236" s="478"/>
      <c r="M236" s="478"/>
      <c r="N236" s="478"/>
      <c r="O236" s="477"/>
      <c r="P236" s="477"/>
      <c r="Q236" s="478"/>
      <c r="R236" s="478"/>
      <c r="S236" s="479"/>
    </row>
    <row r="237" spans="1:19">
      <c r="A237" s="473"/>
      <c r="B237" s="80"/>
      <c r="C237" s="458"/>
      <c r="D237" s="474"/>
      <c r="E237" s="474"/>
      <c r="F237" s="474"/>
      <c r="G237" s="474"/>
      <c r="H237" s="474"/>
      <c r="I237" s="458"/>
      <c r="J237" s="458"/>
      <c r="K237" s="474"/>
      <c r="L237" s="474"/>
      <c r="M237" s="474"/>
      <c r="N237" s="474"/>
      <c r="O237" s="458"/>
      <c r="P237" s="458"/>
      <c r="Q237" s="474"/>
      <c r="R237" s="474"/>
      <c r="S237" s="460"/>
    </row>
    <row r="238" spans="1:19">
      <c r="A238" s="470"/>
      <c r="B238" s="80"/>
      <c r="C238" s="458"/>
      <c r="D238" s="459"/>
      <c r="E238" s="459"/>
      <c r="F238" s="459"/>
      <c r="G238" s="459"/>
      <c r="H238" s="459"/>
      <c r="I238" s="458"/>
      <c r="J238" s="458"/>
      <c r="K238" s="459"/>
      <c r="L238" s="459"/>
      <c r="M238" s="459"/>
      <c r="N238" s="459"/>
      <c r="O238" s="458"/>
      <c r="P238" s="458"/>
      <c r="Q238" s="459"/>
      <c r="R238" s="459"/>
      <c r="S238" s="460"/>
    </row>
    <row r="239" spans="1:19">
      <c r="A239" s="470"/>
      <c r="B239" s="461"/>
      <c r="C239" s="462"/>
      <c r="D239" s="463"/>
      <c r="E239" s="463"/>
      <c r="F239" s="463"/>
      <c r="G239" s="463"/>
      <c r="H239" s="463"/>
      <c r="I239" s="462"/>
      <c r="J239" s="462"/>
      <c r="K239" s="463"/>
      <c r="L239" s="463"/>
      <c r="M239" s="463"/>
      <c r="N239" s="463"/>
      <c r="O239" s="462"/>
      <c r="P239" s="462"/>
      <c r="Q239" s="463"/>
      <c r="R239" s="463"/>
      <c r="S239" s="464"/>
    </row>
    <row r="240" spans="1:19">
      <c r="A240" s="470"/>
      <c r="B240" s="77"/>
      <c r="C240" s="127"/>
      <c r="D240" s="129"/>
      <c r="E240" s="129"/>
      <c r="F240" s="129"/>
      <c r="G240" s="129"/>
      <c r="H240" s="129"/>
      <c r="I240" s="127"/>
      <c r="J240" s="127"/>
      <c r="K240" s="129"/>
      <c r="L240" s="129"/>
      <c r="M240" s="129"/>
      <c r="N240" s="129"/>
      <c r="O240" s="127"/>
      <c r="P240" s="127"/>
      <c r="Q240" s="129"/>
      <c r="R240" s="129"/>
      <c r="S240" s="128"/>
    </row>
    <row r="241" spans="1:19">
      <c r="A241" s="470"/>
      <c r="B241" s="80"/>
      <c r="C241" s="458"/>
      <c r="D241" s="459"/>
      <c r="E241" s="459"/>
      <c r="F241" s="459"/>
      <c r="G241" s="459"/>
      <c r="H241" s="459"/>
      <c r="I241" s="458"/>
      <c r="J241" s="458"/>
      <c r="K241" s="459"/>
      <c r="L241" s="459"/>
      <c r="M241" s="459"/>
      <c r="N241" s="459"/>
      <c r="O241" s="458"/>
      <c r="P241" s="458"/>
      <c r="Q241" s="459"/>
      <c r="R241" s="459"/>
      <c r="S241" s="460"/>
    </row>
    <row r="242" spans="1:19">
      <c r="A242" s="470"/>
      <c r="B242" s="461"/>
      <c r="C242" s="462"/>
      <c r="D242" s="463"/>
      <c r="E242" s="463"/>
      <c r="F242" s="463"/>
      <c r="G242" s="463"/>
      <c r="H242" s="463"/>
      <c r="I242" s="462"/>
      <c r="J242" s="462"/>
      <c r="K242" s="463"/>
      <c r="L242" s="463"/>
      <c r="M242" s="463"/>
      <c r="N242" s="463"/>
      <c r="O242" s="462"/>
      <c r="P242" s="462"/>
      <c r="Q242" s="463"/>
      <c r="R242" s="463"/>
      <c r="S242" s="464"/>
    </row>
    <row r="243" spans="1:19">
      <c r="A243" s="470"/>
      <c r="B243" s="77"/>
      <c r="C243" s="127"/>
      <c r="D243" s="129"/>
      <c r="E243" s="129"/>
      <c r="F243" s="129"/>
      <c r="G243" s="129"/>
      <c r="H243" s="129"/>
      <c r="I243" s="127"/>
      <c r="J243" s="127"/>
      <c r="K243" s="129"/>
      <c r="L243" s="129"/>
      <c r="M243" s="129"/>
      <c r="N243" s="129"/>
      <c r="O243" s="127"/>
      <c r="P243" s="127"/>
      <c r="Q243" s="129"/>
      <c r="R243" s="129"/>
      <c r="S243" s="128"/>
    </row>
    <row r="244" spans="1:19">
      <c r="A244" s="470"/>
      <c r="B244" s="80"/>
      <c r="C244" s="458"/>
      <c r="D244" s="459"/>
      <c r="E244" s="459"/>
      <c r="F244" s="459"/>
      <c r="G244" s="459"/>
      <c r="H244" s="459"/>
      <c r="I244" s="458"/>
      <c r="J244" s="458"/>
      <c r="K244" s="459"/>
      <c r="L244" s="459"/>
      <c r="M244" s="459"/>
      <c r="N244" s="459"/>
      <c r="O244" s="458"/>
      <c r="P244" s="458"/>
      <c r="Q244" s="459"/>
      <c r="R244" s="459"/>
      <c r="S244" s="460"/>
    </row>
    <row r="245" spans="1:19">
      <c r="A245" s="470"/>
      <c r="B245" s="461"/>
      <c r="C245" s="462"/>
      <c r="D245" s="463"/>
      <c r="E245" s="463"/>
      <c r="F245" s="463"/>
      <c r="G245" s="463"/>
      <c r="H245" s="463"/>
      <c r="I245" s="462"/>
      <c r="J245" s="462"/>
      <c r="K245" s="463"/>
      <c r="L245" s="463"/>
      <c r="M245" s="463"/>
      <c r="N245" s="463"/>
      <c r="O245" s="462"/>
      <c r="P245" s="462"/>
      <c r="Q245" s="463"/>
      <c r="R245" s="463"/>
      <c r="S245" s="464"/>
    </row>
    <row r="246" spans="1:19">
      <c r="A246" s="470"/>
      <c r="B246" s="77"/>
      <c r="C246" s="127"/>
      <c r="D246" s="129"/>
      <c r="E246" s="129"/>
      <c r="F246" s="129"/>
      <c r="G246" s="129"/>
      <c r="H246" s="129"/>
      <c r="I246" s="127"/>
      <c r="J246" s="127"/>
      <c r="K246" s="129"/>
      <c r="L246" s="129"/>
      <c r="M246" s="129"/>
      <c r="N246" s="129"/>
      <c r="O246" s="127"/>
      <c r="P246" s="127"/>
      <c r="Q246" s="129"/>
      <c r="R246" s="129"/>
      <c r="S246" s="128"/>
    </row>
    <row r="247" spans="1:19">
      <c r="A247" s="470"/>
      <c r="B247" s="80"/>
      <c r="C247" s="458"/>
      <c r="D247" s="459"/>
      <c r="E247" s="459"/>
      <c r="F247" s="459"/>
      <c r="G247" s="459"/>
      <c r="H247" s="459"/>
      <c r="I247" s="458"/>
      <c r="J247" s="458"/>
      <c r="K247" s="459"/>
      <c r="L247" s="459"/>
      <c r="M247" s="459"/>
      <c r="N247" s="459"/>
      <c r="O247" s="458"/>
      <c r="P247" s="458"/>
      <c r="Q247" s="459"/>
      <c r="R247" s="459"/>
      <c r="S247" s="460"/>
    </row>
    <row r="248" spans="1:19">
      <c r="A248" s="470"/>
      <c r="B248" s="461"/>
      <c r="C248" s="462"/>
      <c r="D248" s="463"/>
      <c r="E248" s="463"/>
      <c r="F248" s="463"/>
      <c r="G248" s="463"/>
      <c r="H248" s="463"/>
      <c r="I248" s="462"/>
      <c r="J248" s="462"/>
      <c r="K248" s="463"/>
      <c r="L248" s="463"/>
      <c r="M248" s="463"/>
      <c r="N248" s="463"/>
      <c r="O248" s="462"/>
      <c r="P248" s="462"/>
      <c r="Q248" s="463"/>
      <c r="R248" s="463"/>
      <c r="S248" s="464"/>
    </row>
    <row r="249" spans="1:19">
      <c r="A249" s="470"/>
      <c r="B249" s="77"/>
      <c r="C249" s="127"/>
      <c r="D249" s="129"/>
      <c r="E249" s="129"/>
      <c r="F249" s="129"/>
      <c r="G249" s="129"/>
      <c r="H249" s="129"/>
      <c r="I249" s="127"/>
      <c r="J249" s="127"/>
      <c r="K249" s="129"/>
      <c r="L249" s="129"/>
      <c r="M249" s="129"/>
      <c r="N249" s="129"/>
      <c r="O249" s="127"/>
      <c r="P249" s="127"/>
      <c r="Q249" s="129"/>
      <c r="R249" s="129"/>
      <c r="S249" s="128"/>
    </row>
    <row r="250" spans="1:19">
      <c r="A250" s="470"/>
      <c r="B250" s="80"/>
      <c r="C250" s="458"/>
      <c r="D250" s="459"/>
      <c r="E250" s="459"/>
      <c r="F250" s="459"/>
      <c r="G250" s="459"/>
      <c r="H250" s="459"/>
      <c r="I250" s="458"/>
      <c r="J250" s="458"/>
      <c r="K250" s="459"/>
      <c r="L250" s="459"/>
      <c r="M250" s="459"/>
      <c r="N250" s="459"/>
      <c r="O250" s="458"/>
      <c r="P250" s="458"/>
      <c r="Q250" s="459"/>
      <c r="R250" s="459"/>
      <c r="S250" s="460"/>
    </row>
    <row r="251" spans="1:19">
      <c r="A251" s="470"/>
      <c r="B251" s="461"/>
      <c r="C251" s="462"/>
      <c r="D251" s="463"/>
      <c r="E251" s="463"/>
      <c r="F251" s="463"/>
      <c r="G251" s="463"/>
      <c r="H251" s="463"/>
      <c r="I251" s="462"/>
      <c r="J251" s="462"/>
      <c r="K251" s="463"/>
      <c r="L251" s="463"/>
      <c r="M251" s="463"/>
      <c r="N251" s="463"/>
      <c r="O251" s="462"/>
      <c r="P251" s="462"/>
      <c r="Q251" s="463"/>
      <c r="R251" s="463"/>
      <c r="S251" s="464"/>
    </row>
    <row r="252" spans="1:19">
      <c r="A252" s="470"/>
      <c r="B252" s="77"/>
      <c r="C252" s="127"/>
      <c r="D252" s="129"/>
      <c r="E252" s="129"/>
      <c r="F252" s="129"/>
      <c r="G252" s="129"/>
      <c r="H252" s="129"/>
      <c r="I252" s="127"/>
      <c r="J252" s="127"/>
      <c r="K252" s="129"/>
      <c r="L252" s="129"/>
      <c r="M252" s="129"/>
      <c r="N252" s="129"/>
      <c r="O252" s="127"/>
      <c r="P252" s="127"/>
      <c r="Q252" s="129"/>
      <c r="R252" s="129"/>
      <c r="S252" s="128"/>
    </row>
    <row r="253" spans="1:19">
      <c r="A253" s="470"/>
      <c r="B253" s="80"/>
      <c r="C253" s="458"/>
      <c r="D253" s="459"/>
      <c r="E253" s="459"/>
      <c r="F253" s="459"/>
      <c r="G253" s="459"/>
      <c r="H253" s="459"/>
      <c r="I253" s="458"/>
      <c r="J253" s="458"/>
      <c r="K253" s="459"/>
      <c r="L253" s="459"/>
      <c r="M253" s="459"/>
      <c r="N253" s="459"/>
      <c r="O253" s="458"/>
      <c r="P253" s="458"/>
      <c r="Q253" s="459"/>
      <c r="R253" s="459"/>
      <c r="S253" s="460"/>
    </row>
    <row r="254" spans="1:19">
      <c r="A254" s="470"/>
      <c r="B254" s="461"/>
      <c r="C254" s="462"/>
      <c r="D254" s="463"/>
      <c r="E254" s="463"/>
      <c r="F254" s="463"/>
      <c r="G254" s="463"/>
      <c r="H254" s="463"/>
      <c r="I254" s="462"/>
      <c r="J254" s="462"/>
      <c r="K254" s="463"/>
      <c r="L254" s="463"/>
      <c r="M254" s="463"/>
      <c r="N254" s="463"/>
      <c r="O254" s="462"/>
      <c r="P254" s="462"/>
      <c r="Q254" s="463"/>
      <c r="R254" s="463"/>
      <c r="S254" s="464"/>
    </row>
    <row r="255" spans="1:19">
      <c r="A255" s="470"/>
      <c r="B255" s="77"/>
      <c r="C255" s="127"/>
      <c r="D255" s="129"/>
      <c r="E255" s="129"/>
      <c r="F255" s="129"/>
      <c r="G255" s="129"/>
      <c r="H255" s="129"/>
      <c r="I255" s="127"/>
      <c r="J255" s="127"/>
      <c r="K255" s="129"/>
      <c r="L255" s="129"/>
      <c r="M255" s="129"/>
      <c r="N255" s="129"/>
      <c r="O255" s="127"/>
      <c r="P255" s="127"/>
      <c r="Q255" s="129"/>
      <c r="R255" s="129"/>
      <c r="S255" s="128"/>
    </row>
    <row r="256" spans="1:19">
      <c r="A256" s="470"/>
      <c r="B256" s="80"/>
      <c r="C256" s="458"/>
      <c r="D256" s="459"/>
      <c r="E256" s="459"/>
      <c r="F256" s="459"/>
      <c r="G256" s="459"/>
      <c r="H256" s="459"/>
      <c r="I256" s="458"/>
      <c r="J256" s="458"/>
      <c r="K256" s="459"/>
      <c r="L256" s="459"/>
      <c r="M256" s="459"/>
      <c r="N256" s="459"/>
      <c r="O256" s="458"/>
      <c r="P256" s="458"/>
      <c r="Q256" s="459"/>
      <c r="R256" s="459"/>
      <c r="S256" s="460"/>
    </row>
    <row r="257" spans="1:19">
      <c r="A257" s="475"/>
      <c r="B257" s="476"/>
      <c r="C257" s="477"/>
      <c r="D257" s="478"/>
      <c r="E257" s="478"/>
      <c r="F257" s="478"/>
      <c r="G257" s="478"/>
      <c r="H257" s="478"/>
      <c r="I257" s="477"/>
      <c r="J257" s="477"/>
      <c r="K257" s="478"/>
      <c r="L257" s="478"/>
      <c r="M257" s="478"/>
      <c r="N257" s="478"/>
      <c r="O257" s="477"/>
      <c r="P257" s="477"/>
      <c r="Q257" s="478"/>
      <c r="R257" s="478"/>
      <c r="S257" s="479"/>
    </row>
    <row r="258" spans="1:19">
      <c r="A258" s="473"/>
      <c r="B258" s="80"/>
      <c r="C258" s="458"/>
      <c r="D258" s="474"/>
      <c r="E258" s="474"/>
      <c r="F258" s="474"/>
      <c r="G258" s="474"/>
      <c r="H258" s="474"/>
      <c r="I258" s="458"/>
      <c r="J258" s="458"/>
      <c r="K258" s="474"/>
      <c r="L258" s="474"/>
      <c r="M258" s="474"/>
      <c r="N258" s="474"/>
      <c r="O258" s="458"/>
      <c r="P258" s="458"/>
      <c r="Q258" s="474"/>
      <c r="R258" s="474"/>
      <c r="S258" s="460"/>
    </row>
    <row r="259" spans="1:19">
      <c r="A259" s="470"/>
      <c r="B259" s="80"/>
      <c r="C259" s="458"/>
      <c r="D259" s="459"/>
      <c r="E259" s="459"/>
      <c r="F259" s="459"/>
      <c r="G259" s="459"/>
      <c r="H259" s="459"/>
      <c r="I259" s="458"/>
      <c r="J259" s="458"/>
      <c r="K259" s="459"/>
      <c r="L259" s="459"/>
      <c r="M259" s="459"/>
      <c r="N259" s="459"/>
      <c r="O259" s="458"/>
      <c r="P259" s="458"/>
      <c r="Q259" s="459"/>
      <c r="R259" s="459"/>
      <c r="S259" s="460"/>
    </row>
    <row r="260" spans="1:19">
      <c r="A260" s="470"/>
      <c r="B260" s="461"/>
      <c r="C260" s="462"/>
      <c r="D260" s="463"/>
      <c r="E260" s="463"/>
      <c r="F260" s="463"/>
      <c r="G260" s="463"/>
      <c r="H260" s="463"/>
      <c r="I260" s="462"/>
      <c r="J260" s="462"/>
      <c r="K260" s="463"/>
      <c r="L260" s="463"/>
      <c r="M260" s="463"/>
      <c r="N260" s="463"/>
      <c r="O260" s="462"/>
      <c r="P260" s="462"/>
      <c r="Q260" s="463"/>
      <c r="R260" s="463"/>
      <c r="S260" s="464"/>
    </row>
    <row r="261" spans="1:19">
      <c r="A261" s="470"/>
      <c r="B261" s="77"/>
      <c r="C261" s="127"/>
      <c r="D261" s="129"/>
      <c r="E261" s="129"/>
      <c r="F261" s="129"/>
      <c r="G261" s="129"/>
      <c r="H261" s="129"/>
      <c r="I261" s="127"/>
      <c r="J261" s="127"/>
      <c r="K261" s="129"/>
      <c r="L261" s="129"/>
      <c r="M261" s="129"/>
      <c r="N261" s="129"/>
      <c r="O261" s="127"/>
      <c r="P261" s="127"/>
      <c r="Q261" s="129"/>
      <c r="R261" s="129"/>
      <c r="S261" s="128"/>
    </row>
    <row r="262" spans="1:19">
      <c r="A262" s="470"/>
      <c r="B262" s="80"/>
      <c r="C262" s="458"/>
      <c r="D262" s="459"/>
      <c r="E262" s="459"/>
      <c r="F262" s="459"/>
      <c r="G262" s="459"/>
      <c r="H262" s="459"/>
      <c r="I262" s="458"/>
      <c r="J262" s="458"/>
      <c r="K262" s="459"/>
      <c r="L262" s="459"/>
      <c r="M262" s="459"/>
      <c r="N262" s="459"/>
      <c r="O262" s="458"/>
      <c r="P262" s="458"/>
      <c r="Q262" s="459"/>
      <c r="R262" s="459"/>
      <c r="S262" s="460"/>
    </row>
    <row r="263" spans="1:19">
      <c r="A263" s="470"/>
      <c r="B263" s="461"/>
      <c r="C263" s="462"/>
      <c r="D263" s="463"/>
      <c r="E263" s="463"/>
      <c r="F263" s="463"/>
      <c r="G263" s="463"/>
      <c r="H263" s="463"/>
      <c r="I263" s="462"/>
      <c r="J263" s="462"/>
      <c r="K263" s="463"/>
      <c r="L263" s="463"/>
      <c r="M263" s="463"/>
      <c r="N263" s="463"/>
      <c r="O263" s="462"/>
      <c r="P263" s="462"/>
      <c r="Q263" s="463"/>
      <c r="R263" s="463"/>
      <c r="S263" s="464"/>
    </row>
    <row r="264" spans="1:19">
      <c r="A264" s="470"/>
      <c r="B264" s="77"/>
      <c r="C264" s="127"/>
      <c r="D264" s="129"/>
      <c r="E264" s="129"/>
      <c r="F264" s="129"/>
      <c r="G264" s="129"/>
      <c r="H264" s="129"/>
      <c r="I264" s="127"/>
      <c r="J264" s="127"/>
      <c r="K264" s="129"/>
      <c r="L264" s="129"/>
      <c r="M264" s="129"/>
      <c r="N264" s="129"/>
      <c r="O264" s="127"/>
      <c r="P264" s="127"/>
      <c r="Q264" s="129"/>
      <c r="R264" s="129"/>
      <c r="S264" s="128"/>
    </row>
    <row r="265" spans="1:19">
      <c r="A265" s="470"/>
      <c r="B265" s="80"/>
      <c r="C265" s="458"/>
      <c r="D265" s="459"/>
      <c r="E265" s="459"/>
      <c r="F265" s="459"/>
      <c r="G265" s="459"/>
      <c r="H265" s="459"/>
      <c r="I265" s="458"/>
      <c r="J265" s="458"/>
      <c r="K265" s="459"/>
      <c r="L265" s="459"/>
      <c r="M265" s="459"/>
      <c r="N265" s="459"/>
      <c r="O265" s="458"/>
      <c r="P265" s="458"/>
      <c r="Q265" s="459"/>
      <c r="R265" s="459"/>
      <c r="S265" s="460"/>
    </row>
    <row r="266" spans="1:19">
      <c r="A266" s="470"/>
      <c r="B266" s="461"/>
      <c r="C266" s="462"/>
      <c r="D266" s="463"/>
      <c r="E266" s="463"/>
      <c r="F266" s="463"/>
      <c r="G266" s="463"/>
      <c r="H266" s="463"/>
      <c r="I266" s="462"/>
      <c r="J266" s="462"/>
      <c r="K266" s="463"/>
      <c r="L266" s="463"/>
      <c r="M266" s="463"/>
      <c r="N266" s="463"/>
      <c r="O266" s="462"/>
      <c r="P266" s="462"/>
      <c r="Q266" s="463"/>
      <c r="R266" s="463"/>
      <c r="S266" s="464"/>
    </row>
    <row r="267" spans="1:19">
      <c r="A267" s="470"/>
      <c r="B267" s="77"/>
      <c r="C267" s="127"/>
      <c r="D267" s="129"/>
      <c r="E267" s="129"/>
      <c r="F267" s="129"/>
      <c r="G267" s="129"/>
      <c r="H267" s="129"/>
      <c r="I267" s="127"/>
      <c r="J267" s="127"/>
      <c r="K267" s="129"/>
      <c r="L267" s="129"/>
      <c r="M267" s="129"/>
      <c r="N267" s="129"/>
      <c r="O267" s="127"/>
      <c r="P267" s="127"/>
      <c r="Q267" s="129"/>
      <c r="R267" s="129"/>
      <c r="S267" s="128"/>
    </row>
    <row r="268" spans="1:19">
      <c r="A268" s="470"/>
      <c r="B268" s="80"/>
      <c r="C268" s="458"/>
      <c r="D268" s="459"/>
      <c r="E268" s="459"/>
      <c r="F268" s="459"/>
      <c r="G268" s="459"/>
      <c r="H268" s="459"/>
      <c r="I268" s="458"/>
      <c r="J268" s="458"/>
      <c r="K268" s="459"/>
      <c r="L268" s="459"/>
      <c r="M268" s="459"/>
      <c r="N268" s="459"/>
      <c r="O268" s="458"/>
      <c r="P268" s="458"/>
      <c r="Q268" s="459"/>
      <c r="R268" s="459"/>
      <c r="S268" s="460"/>
    </row>
    <row r="269" spans="1:19">
      <c r="A269" s="470"/>
      <c r="B269" s="461"/>
      <c r="C269" s="462"/>
      <c r="D269" s="463"/>
      <c r="E269" s="463"/>
      <c r="F269" s="463"/>
      <c r="G269" s="463"/>
      <c r="H269" s="463"/>
      <c r="I269" s="462"/>
      <c r="J269" s="462"/>
      <c r="K269" s="463"/>
      <c r="L269" s="463"/>
      <c r="M269" s="463"/>
      <c r="N269" s="463"/>
      <c r="O269" s="462"/>
      <c r="P269" s="462"/>
      <c r="Q269" s="463"/>
      <c r="R269" s="463"/>
      <c r="S269" s="464"/>
    </row>
    <row r="270" spans="1:19">
      <c r="A270" s="470"/>
      <c r="B270" s="77"/>
      <c r="C270" s="127"/>
      <c r="D270" s="129"/>
      <c r="E270" s="129"/>
      <c r="F270" s="129"/>
      <c r="G270" s="129"/>
      <c r="H270" s="129"/>
      <c r="I270" s="127"/>
      <c r="J270" s="127"/>
      <c r="K270" s="129"/>
      <c r="L270" s="129"/>
      <c r="M270" s="129"/>
      <c r="N270" s="129"/>
      <c r="O270" s="127"/>
      <c r="P270" s="127"/>
      <c r="Q270" s="129"/>
      <c r="R270" s="129"/>
      <c r="S270" s="128"/>
    </row>
    <row r="271" spans="1:19">
      <c r="A271" s="470"/>
      <c r="B271" s="80"/>
      <c r="C271" s="458"/>
      <c r="D271" s="459"/>
      <c r="E271" s="459"/>
      <c r="F271" s="459"/>
      <c r="G271" s="459"/>
      <c r="H271" s="459"/>
      <c r="I271" s="458"/>
      <c r="J271" s="458"/>
      <c r="K271" s="459"/>
      <c r="L271" s="459"/>
      <c r="M271" s="459"/>
      <c r="N271" s="459"/>
      <c r="O271" s="458"/>
      <c r="P271" s="458"/>
      <c r="Q271" s="459"/>
      <c r="R271" s="459"/>
      <c r="S271" s="460"/>
    </row>
    <row r="272" spans="1:19">
      <c r="A272" s="470"/>
      <c r="B272" s="461"/>
      <c r="C272" s="462"/>
      <c r="D272" s="463"/>
      <c r="E272" s="463"/>
      <c r="F272" s="463"/>
      <c r="G272" s="463"/>
      <c r="H272" s="463"/>
      <c r="I272" s="462"/>
      <c r="J272" s="462"/>
      <c r="K272" s="463"/>
      <c r="L272" s="463"/>
      <c r="M272" s="463"/>
      <c r="N272" s="463"/>
      <c r="O272" s="462"/>
      <c r="P272" s="462"/>
      <c r="Q272" s="463"/>
      <c r="R272" s="463"/>
      <c r="S272" s="464"/>
    </row>
    <row r="273" spans="1:19">
      <c r="A273" s="470"/>
      <c r="B273" s="77"/>
      <c r="C273" s="127"/>
      <c r="D273" s="129"/>
      <c r="E273" s="129"/>
      <c r="F273" s="129"/>
      <c r="G273" s="129"/>
      <c r="H273" s="129"/>
      <c r="I273" s="127"/>
      <c r="J273" s="127"/>
      <c r="K273" s="129"/>
      <c r="L273" s="129"/>
      <c r="M273" s="129"/>
      <c r="N273" s="129"/>
      <c r="O273" s="127"/>
      <c r="P273" s="127"/>
      <c r="Q273" s="129"/>
      <c r="R273" s="129"/>
      <c r="S273" s="128"/>
    </row>
    <row r="274" spans="1:19">
      <c r="A274" s="470"/>
      <c r="B274" s="80"/>
      <c r="C274" s="458"/>
      <c r="D274" s="459"/>
      <c r="E274" s="459"/>
      <c r="F274" s="459"/>
      <c r="G274" s="459"/>
      <c r="H274" s="459"/>
      <c r="I274" s="458"/>
      <c r="J274" s="458"/>
      <c r="K274" s="459"/>
      <c r="L274" s="459"/>
      <c r="M274" s="459"/>
      <c r="N274" s="459"/>
      <c r="O274" s="458"/>
      <c r="P274" s="458"/>
      <c r="Q274" s="459"/>
      <c r="R274" s="459"/>
      <c r="S274" s="460"/>
    </row>
    <row r="275" spans="1:19">
      <c r="A275" s="470"/>
      <c r="B275" s="461"/>
      <c r="C275" s="462"/>
      <c r="D275" s="463"/>
      <c r="E275" s="463"/>
      <c r="F275" s="463"/>
      <c r="G275" s="463"/>
      <c r="H275" s="463"/>
      <c r="I275" s="462"/>
      <c r="J275" s="462"/>
      <c r="K275" s="463"/>
      <c r="L275" s="463"/>
      <c r="M275" s="463"/>
      <c r="N275" s="463"/>
      <c r="O275" s="462"/>
      <c r="P275" s="462"/>
      <c r="Q275" s="463"/>
      <c r="R275" s="463"/>
      <c r="S275" s="464"/>
    </row>
    <row r="276" spans="1:19">
      <c r="A276" s="470"/>
      <c r="B276" s="77"/>
      <c r="C276" s="127"/>
      <c r="D276" s="129"/>
      <c r="E276" s="129"/>
      <c r="F276" s="129"/>
      <c r="G276" s="129"/>
      <c r="H276" s="129"/>
      <c r="I276" s="127"/>
      <c r="J276" s="127"/>
      <c r="K276" s="129"/>
      <c r="L276" s="129"/>
      <c r="M276" s="129"/>
      <c r="N276" s="129"/>
      <c r="O276" s="127"/>
      <c r="P276" s="127"/>
      <c r="Q276" s="129"/>
      <c r="R276" s="129"/>
      <c r="S276" s="128"/>
    </row>
    <row r="277" spans="1:19">
      <c r="A277" s="470"/>
      <c r="B277" s="80"/>
      <c r="C277" s="458"/>
      <c r="D277" s="459"/>
      <c r="E277" s="459"/>
      <c r="F277" s="459"/>
      <c r="G277" s="459"/>
      <c r="H277" s="459"/>
      <c r="I277" s="458"/>
      <c r="J277" s="458"/>
      <c r="K277" s="459"/>
      <c r="L277" s="459"/>
      <c r="M277" s="459"/>
      <c r="N277" s="459"/>
      <c r="O277" s="458"/>
      <c r="P277" s="458"/>
      <c r="Q277" s="459"/>
      <c r="R277" s="459"/>
      <c r="S277" s="460"/>
    </row>
    <row r="278" spans="1:19">
      <c r="A278" s="475"/>
      <c r="B278" s="476"/>
      <c r="C278" s="477"/>
      <c r="D278" s="478"/>
      <c r="E278" s="478"/>
      <c r="F278" s="478"/>
      <c r="G278" s="478"/>
      <c r="H278" s="478"/>
      <c r="I278" s="477"/>
      <c r="J278" s="477"/>
      <c r="K278" s="478"/>
      <c r="L278" s="478"/>
      <c r="M278" s="478"/>
      <c r="N278" s="478"/>
      <c r="O278" s="477"/>
      <c r="P278" s="477"/>
      <c r="Q278" s="478"/>
      <c r="R278" s="478"/>
      <c r="S278" s="479"/>
    </row>
    <row r="279" spans="1:19">
      <c r="A279" s="473"/>
      <c r="B279" s="80"/>
      <c r="C279" s="458"/>
      <c r="D279" s="474"/>
      <c r="E279" s="474"/>
      <c r="F279" s="474"/>
      <c r="G279" s="474"/>
      <c r="H279" s="474"/>
      <c r="I279" s="458"/>
      <c r="J279" s="458"/>
      <c r="K279" s="474"/>
      <c r="L279" s="474"/>
      <c r="M279" s="474"/>
      <c r="N279" s="474"/>
      <c r="O279" s="458"/>
      <c r="P279" s="458"/>
      <c r="Q279" s="474"/>
      <c r="R279" s="474"/>
      <c r="S279" s="460"/>
    </row>
    <row r="280" spans="1:19">
      <c r="A280" s="470"/>
      <c r="B280" s="80"/>
      <c r="C280" s="458"/>
      <c r="D280" s="459"/>
      <c r="E280" s="459"/>
      <c r="F280" s="459"/>
      <c r="G280" s="459"/>
      <c r="H280" s="459"/>
      <c r="I280" s="458"/>
      <c r="J280" s="458"/>
      <c r="K280" s="459"/>
      <c r="L280" s="459"/>
      <c r="M280" s="459"/>
      <c r="N280" s="459"/>
      <c r="O280" s="458"/>
      <c r="P280" s="458"/>
      <c r="Q280" s="459"/>
      <c r="R280" s="459"/>
      <c r="S280" s="460"/>
    </row>
    <row r="281" spans="1:19">
      <c r="A281" s="470"/>
      <c r="B281" s="461"/>
      <c r="C281" s="462"/>
      <c r="D281" s="463"/>
      <c r="E281" s="463"/>
      <c r="F281" s="463"/>
      <c r="G281" s="463"/>
      <c r="H281" s="463"/>
      <c r="I281" s="462"/>
      <c r="J281" s="462"/>
      <c r="K281" s="463"/>
      <c r="L281" s="463"/>
      <c r="M281" s="463"/>
      <c r="N281" s="463"/>
      <c r="O281" s="462"/>
      <c r="P281" s="462"/>
      <c r="Q281" s="463"/>
      <c r="R281" s="463"/>
      <c r="S281" s="464"/>
    </row>
    <row r="282" spans="1:19">
      <c r="A282" s="470"/>
      <c r="B282" s="77"/>
      <c r="C282" s="127"/>
      <c r="D282" s="129"/>
      <c r="E282" s="129"/>
      <c r="F282" s="129"/>
      <c r="G282" s="129"/>
      <c r="H282" s="129"/>
      <c r="I282" s="127"/>
      <c r="J282" s="127"/>
      <c r="K282" s="129"/>
      <c r="L282" s="129"/>
      <c r="M282" s="129"/>
      <c r="N282" s="129"/>
      <c r="O282" s="127"/>
      <c r="P282" s="127"/>
      <c r="Q282" s="129"/>
      <c r="R282" s="129"/>
      <c r="S282" s="128"/>
    </row>
    <row r="283" spans="1:19">
      <c r="A283" s="470"/>
      <c r="B283" s="80"/>
      <c r="C283" s="458"/>
      <c r="D283" s="459"/>
      <c r="E283" s="459"/>
      <c r="F283" s="459"/>
      <c r="G283" s="459"/>
      <c r="H283" s="459"/>
      <c r="I283" s="458"/>
      <c r="J283" s="458"/>
      <c r="K283" s="459"/>
      <c r="L283" s="459"/>
      <c r="M283" s="459"/>
      <c r="N283" s="459"/>
      <c r="O283" s="458"/>
      <c r="P283" s="458"/>
      <c r="Q283" s="459"/>
      <c r="R283" s="459"/>
      <c r="S283" s="460"/>
    </row>
    <row r="284" spans="1:19">
      <c r="A284" s="470"/>
      <c r="B284" s="461"/>
      <c r="C284" s="462"/>
      <c r="D284" s="463"/>
      <c r="E284" s="463"/>
      <c r="F284" s="463"/>
      <c r="G284" s="463"/>
      <c r="H284" s="463"/>
      <c r="I284" s="462"/>
      <c r="J284" s="462"/>
      <c r="K284" s="463"/>
      <c r="L284" s="463"/>
      <c r="M284" s="463"/>
      <c r="N284" s="463"/>
      <c r="O284" s="462"/>
      <c r="P284" s="462"/>
      <c r="Q284" s="463"/>
      <c r="R284" s="463"/>
      <c r="S284" s="464"/>
    </row>
    <row r="285" spans="1:19">
      <c r="A285" s="470"/>
      <c r="B285" s="77"/>
      <c r="C285" s="127"/>
      <c r="D285" s="129"/>
      <c r="E285" s="129"/>
      <c r="F285" s="129"/>
      <c r="G285" s="129"/>
      <c r="H285" s="129"/>
      <c r="I285" s="127"/>
      <c r="J285" s="127"/>
      <c r="K285" s="129"/>
      <c r="L285" s="129"/>
      <c r="M285" s="129"/>
      <c r="N285" s="129"/>
      <c r="O285" s="127"/>
      <c r="P285" s="127"/>
      <c r="Q285" s="129"/>
      <c r="R285" s="129"/>
      <c r="S285" s="128"/>
    </row>
    <row r="286" spans="1:19">
      <c r="A286" s="470"/>
      <c r="B286" s="80"/>
      <c r="C286" s="458"/>
      <c r="D286" s="459"/>
      <c r="E286" s="459"/>
      <c r="F286" s="459"/>
      <c r="G286" s="459"/>
      <c r="H286" s="459"/>
      <c r="I286" s="458"/>
      <c r="J286" s="458"/>
      <c r="K286" s="459"/>
      <c r="L286" s="459"/>
      <c r="M286" s="459"/>
      <c r="N286" s="459"/>
      <c r="O286" s="458"/>
      <c r="P286" s="458"/>
      <c r="Q286" s="459"/>
      <c r="R286" s="459"/>
      <c r="S286" s="460"/>
    </row>
    <row r="287" spans="1:19">
      <c r="A287" s="470"/>
      <c r="B287" s="461"/>
      <c r="C287" s="462"/>
      <c r="D287" s="463"/>
      <c r="E287" s="463"/>
      <c r="F287" s="463"/>
      <c r="G287" s="463"/>
      <c r="H287" s="463"/>
      <c r="I287" s="462"/>
      <c r="J287" s="462"/>
      <c r="K287" s="463"/>
      <c r="L287" s="463"/>
      <c r="M287" s="463"/>
      <c r="N287" s="463"/>
      <c r="O287" s="462"/>
      <c r="P287" s="462"/>
      <c r="Q287" s="463"/>
      <c r="R287" s="463"/>
      <c r="S287" s="464"/>
    </row>
    <row r="288" spans="1:19">
      <c r="A288" s="470"/>
      <c r="B288" s="77"/>
      <c r="C288" s="127"/>
      <c r="D288" s="129"/>
      <c r="E288" s="129"/>
      <c r="F288" s="129"/>
      <c r="G288" s="129"/>
      <c r="H288" s="129"/>
      <c r="I288" s="127"/>
      <c r="J288" s="127"/>
      <c r="K288" s="129"/>
      <c r="L288" s="129"/>
      <c r="M288" s="129"/>
      <c r="N288" s="129"/>
      <c r="O288" s="127"/>
      <c r="P288" s="127"/>
      <c r="Q288" s="129"/>
      <c r="R288" s="129"/>
      <c r="S288" s="128"/>
    </row>
    <row r="289" spans="1:19">
      <c r="A289" s="470"/>
      <c r="B289" s="80"/>
      <c r="C289" s="458"/>
      <c r="D289" s="459"/>
      <c r="E289" s="459"/>
      <c r="F289" s="459"/>
      <c r="G289" s="459"/>
      <c r="H289" s="459"/>
      <c r="I289" s="458"/>
      <c r="J289" s="458"/>
      <c r="K289" s="459"/>
      <c r="L289" s="459"/>
      <c r="M289" s="459"/>
      <c r="N289" s="459"/>
      <c r="O289" s="458"/>
      <c r="P289" s="458"/>
      <c r="Q289" s="459"/>
      <c r="R289" s="459"/>
      <c r="S289" s="460"/>
    </row>
    <row r="290" spans="1:19">
      <c r="A290" s="470"/>
      <c r="B290" s="461"/>
      <c r="C290" s="462"/>
      <c r="D290" s="463"/>
      <c r="E290" s="463"/>
      <c r="F290" s="463"/>
      <c r="G290" s="463"/>
      <c r="H290" s="463"/>
      <c r="I290" s="462"/>
      <c r="J290" s="462"/>
      <c r="K290" s="463"/>
      <c r="L290" s="463"/>
      <c r="M290" s="463"/>
      <c r="N290" s="463"/>
      <c r="O290" s="462"/>
      <c r="P290" s="462"/>
      <c r="Q290" s="463"/>
      <c r="R290" s="463"/>
      <c r="S290" s="464"/>
    </row>
    <row r="291" spans="1:19">
      <c r="A291" s="470"/>
      <c r="B291" s="77"/>
      <c r="C291" s="127"/>
      <c r="D291" s="129"/>
      <c r="E291" s="129"/>
      <c r="F291" s="129"/>
      <c r="G291" s="129"/>
      <c r="H291" s="129"/>
      <c r="I291" s="127"/>
      <c r="J291" s="127"/>
      <c r="K291" s="129"/>
      <c r="L291" s="129"/>
      <c r="M291" s="129"/>
      <c r="N291" s="129"/>
      <c r="O291" s="127"/>
      <c r="P291" s="127"/>
      <c r="Q291" s="129"/>
      <c r="R291" s="129"/>
      <c r="S291" s="128"/>
    </row>
    <row r="292" spans="1:19">
      <c r="A292" s="470"/>
      <c r="B292" s="80"/>
      <c r="C292" s="458"/>
      <c r="D292" s="459"/>
      <c r="E292" s="459"/>
      <c r="F292" s="459"/>
      <c r="G292" s="459"/>
      <c r="H292" s="459"/>
      <c r="I292" s="458"/>
      <c r="J292" s="458"/>
      <c r="K292" s="459"/>
      <c r="L292" s="459"/>
      <c r="M292" s="459"/>
      <c r="N292" s="459"/>
      <c r="O292" s="458"/>
      <c r="P292" s="458"/>
      <c r="Q292" s="459"/>
      <c r="R292" s="459"/>
      <c r="S292" s="460"/>
    </row>
    <row r="293" spans="1:19">
      <c r="A293" s="470"/>
      <c r="B293" s="461"/>
      <c r="C293" s="462"/>
      <c r="D293" s="463"/>
      <c r="E293" s="463"/>
      <c r="F293" s="463"/>
      <c r="G293" s="463"/>
      <c r="H293" s="463"/>
      <c r="I293" s="462"/>
      <c r="J293" s="462"/>
      <c r="K293" s="463"/>
      <c r="L293" s="463"/>
      <c r="M293" s="463"/>
      <c r="N293" s="463"/>
      <c r="O293" s="462"/>
      <c r="P293" s="462"/>
      <c r="Q293" s="463"/>
      <c r="R293" s="463"/>
      <c r="S293" s="464"/>
    </row>
    <row r="294" spans="1:19">
      <c r="A294" s="470"/>
      <c r="B294" s="77"/>
      <c r="C294" s="127"/>
      <c r="D294" s="129"/>
      <c r="E294" s="129"/>
      <c r="F294" s="129"/>
      <c r="G294" s="129"/>
      <c r="H294" s="129"/>
      <c r="I294" s="127"/>
      <c r="J294" s="127"/>
      <c r="K294" s="129"/>
      <c r="L294" s="129"/>
      <c r="M294" s="129"/>
      <c r="N294" s="129"/>
      <c r="O294" s="127"/>
      <c r="P294" s="127"/>
      <c r="Q294" s="129"/>
      <c r="R294" s="129"/>
      <c r="S294" s="128"/>
    </row>
    <row r="295" spans="1:19">
      <c r="A295" s="470"/>
      <c r="B295" s="80"/>
      <c r="C295" s="458"/>
      <c r="D295" s="459"/>
      <c r="E295" s="459"/>
      <c r="F295" s="459"/>
      <c r="G295" s="459"/>
      <c r="H295" s="459"/>
      <c r="I295" s="458"/>
      <c r="J295" s="458"/>
      <c r="K295" s="459"/>
      <c r="L295" s="459"/>
      <c r="M295" s="459"/>
      <c r="N295" s="459"/>
      <c r="O295" s="458"/>
      <c r="P295" s="458"/>
      <c r="Q295" s="459"/>
      <c r="R295" s="459"/>
      <c r="S295" s="460"/>
    </row>
    <row r="296" spans="1:19">
      <c r="A296" s="470"/>
      <c r="B296" s="461"/>
      <c r="C296" s="462"/>
      <c r="D296" s="463"/>
      <c r="E296" s="463"/>
      <c r="F296" s="463"/>
      <c r="G296" s="463"/>
      <c r="H296" s="463"/>
      <c r="I296" s="462"/>
      <c r="J296" s="462"/>
      <c r="K296" s="463"/>
      <c r="L296" s="463"/>
      <c r="M296" s="463"/>
      <c r="N296" s="463"/>
      <c r="O296" s="462"/>
      <c r="P296" s="462"/>
      <c r="Q296" s="463"/>
      <c r="R296" s="463"/>
      <c r="S296" s="464"/>
    </row>
    <row r="297" spans="1:19">
      <c r="A297" s="470"/>
      <c r="B297" s="77"/>
      <c r="C297" s="127"/>
      <c r="D297" s="129"/>
      <c r="E297" s="129"/>
      <c r="F297" s="129"/>
      <c r="G297" s="129"/>
      <c r="H297" s="129"/>
      <c r="I297" s="127"/>
      <c r="J297" s="127"/>
      <c r="K297" s="129"/>
      <c r="L297" s="129"/>
      <c r="M297" s="129"/>
      <c r="N297" s="129"/>
      <c r="O297" s="127"/>
      <c r="P297" s="127"/>
      <c r="Q297" s="129"/>
      <c r="R297" s="129"/>
      <c r="S297" s="128"/>
    </row>
    <row r="298" spans="1:19">
      <c r="A298" s="470"/>
      <c r="B298" s="80"/>
      <c r="C298" s="458"/>
      <c r="D298" s="459"/>
      <c r="E298" s="459"/>
      <c r="F298" s="459"/>
      <c r="G298" s="459"/>
      <c r="H298" s="459"/>
      <c r="I298" s="458"/>
      <c r="J298" s="458"/>
      <c r="K298" s="459"/>
      <c r="L298" s="459"/>
      <c r="M298" s="459"/>
      <c r="N298" s="459"/>
      <c r="O298" s="458"/>
      <c r="P298" s="458"/>
      <c r="Q298" s="459"/>
      <c r="R298" s="459"/>
      <c r="S298" s="460"/>
    </row>
    <row r="299" spans="1:19">
      <c r="A299" s="475"/>
      <c r="B299" s="476"/>
      <c r="C299" s="477"/>
      <c r="D299" s="478"/>
      <c r="E299" s="478"/>
      <c r="F299" s="478"/>
      <c r="G299" s="478"/>
      <c r="H299" s="478"/>
      <c r="I299" s="477"/>
      <c r="J299" s="477"/>
      <c r="K299" s="478"/>
      <c r="L299" s="478"/>
      <c r="M299" s="478"/>
      <c r="N299" s="478"/>
      <c r="O299" s="477"/>
      <c r="P299" s="477"/>
      <c r="Q299" s="478"/>
      <c r="R299" s="478"/>
      <c r="S299" s="479"/>
    </row>
    <row r="300" spans="1:19">
      <c r="A300" s="473"/>
      <c r="B300" s="80"/>
      <c r="C300" s="458"/>
      <c r="D300" s="474"/>
      <c r="E300" s="474"/>
      <c r="F300" s="474"/>
      <c r="G300" s="474"/>
      <c r="H300" s="474"/>
      <c r="I300" s="458"/>
      <c r="J300" s="458"/>
      <c r="K300" s="474"/>
      <c r="L300" s="474"/>
      <c r="M300" s="474"/>
      <c r="N300" s="474"/>
      <c r="O300" s="458"/>
      <c r="P300" s="458"/>
      <c r="Q300" s="474"/>
      <c r="R300" s="474"/>
      <c r="S300" s="460"/>
    </row>
    <row r="301" spans="1:19">
      <c r="A301" s="470"/>
      <c r="B301" s="80"/>
      <c r="C301" s="458"/>
      <c r="D301" s="459"/>
      <c r="E301" s="459"/>
      <c r="F301" s="459"/>
      <c r="G301" s="459"/>
      <c r="H301" s="459"/>
      <c r="I301" s="458"/>
      <c r="J301" s="458"/>
      <c r="K301" s="459"/>
      <c r="L301" s="459"/>
      <c r="M301" s="459"/>
      <c r="N301" s="459"/>
      <c r="O301" s="458"/>
      <c r="P301" s="458"/>
      <c r="Q301" s="459"/>
      <c r="R301" s="459"/>
      <c r="S301" s="460"/>
    </row>
    <row r="302" spans="1:19">
      <c r="A302" s="470"/>
      <c r="B302" s="461"/>
      <c r="C302" s="462"/>
      <c r="D302" s="463"/>
      <c r="E302" s="463"/>
      <c r="F302" s="463"/>
      <c r="G302" s="463"/>
      <c r="H302" s="463"/>
      <c r="I302" s="462"/>
      <c r="J302" s="462"/>
      <c r="K302" s="463"/>
      <c r="L302" s="463"/>
      <c r="M302" s="463"/>
      <c r="N302" s="463"/>
      <c r="O302" s="462"/>
      <c r="P302" s="462"/>
      <c r="Q302" s="463"/>
      <c r="R302" s="463"/>
      <c r="S302" s="464"/>
    </row>
    <row r="303" spans="1:19">
      <c r="A303" s="470"/>
      <c r="B303" s="77"/>
      <c r="C303" s="127"/>
      <c r="D303" s="129"/>
      <c r="E303" s="129"/>
      <c r="F303" s="129"/>
      <c r="G303" s="129"/>
      <c r="H303" s="129"/>
      <c r="I303" s="127"/>
      <c r="J303" s="127"/>
      <c r="K303" s="129"/>
      <c r="L303" s="129"/>
      <c r="M303" s="129"/>
      <c r="N303" s="129"/>
      <c r="O303" s="127"/>
      <c r="P303" s="127"/>
      <c r="Q303" s="129"/>
      <c r="R303" s="129"/>
      <c r="S303" s="128"/>
    </row>
    <row r="304" spans="1:19">
      <c r="A304" s="470"/>
      <c r="B304" s="80"/>
      <c r="C304" s="458"/>
      <c r="D304" s="459"/>
      <c r="E304" s="459"/>
      <c r="F304" s="459"/>
      <c r="G304" s="459"/>
      <c r="H304" s="459"/>
      <c r="I304" s="458"/>
      <c r="J304" s="458"/>
      <c r="K304" s="459"/>
      <c r="L304" s="459"/>
      <c r="M304" s="459"/>
      <c r="N304" s="459"/>
      <c r="O304" s="458"/>
      <c r="P304" s="458"/>
      <c r="Q304" s="459"/>
      <c r="R304" s="459"/>
      <c r="S304" s="460"/>
    </row>
    <row r="305" spans="1:19">
      <c r="A305" s="470"/>
      <c r="B305" s="461"/>
      <c r="C305" s="462"/>
      <c r="D305" s="463"/>
      <c r="E305" s="463"/>
      <c r="F305" s="463"/>
      <c r="G305" s="463"/>
      <c r="H305" s="463"/>
      <c r="I305" s="462"/>
      <c r="J305" s="462"/>
      <c r="K305" s="463"/>
      <c r="L305" s="463"/>
      <c r="M305" s="463"/>
      <c r="N305" s="463"/>
      <c r="O305" s="462"/>
      <c r="P305" s="462"/>
      <c r="Q305" s="463"/>
      <c r="R305" s="463"/>
      <c r="S305" s="464"/>
    </row>
    <row r="306" spans="1:19">
      <c r="A306" s="470"/>
      <c r="B306" s="77"/>
      <c r="C306" s="127"/>
      <c r="D306" s="129"/>
      <c r="E306" s="129"/>
      <c r="F306" s="129"/>
      <c r="G306" s="129"/>
      <c r="H306" s="129"/>
      <c r="I306" s="127"/>
      <c r="J306" s="127"/>
      <c r="K306" s="129"/>
      <c r="L306" s="129"/>
      <c r="M306" s="129"/>
      <c r="N306" s="129"/>
      <c r="O306" s="127"/>
      <c r="P306" s="127"/>
      <c r="Q306" s="129"/>
      <c r="R306" s="129"/>
      <c r="S306" s="128"/>
    </row>
    <row r="307" spans="1:19">
      <c r="A307" s="470"/>
      <c r="B307" s="80"/>
      <c r="C307" s="458"/>
      <c r="D307" s="459"/>
      <c r="E307" s="459"/>
      <c r="F307" s="459"/>
      <c r="G307" s="459"/>
      <c r="H307" s="459"/>
      <c r="I307" s="458"/>
      <c r="J307" s="458"/>
      <c r="K307" s="459"/>
      <c r="L307" s="459"/>
      <c r="M307" s="459"/>
      <c r="N307" s="459"/>
      <c r="O307" s="458"/>
      <c r="P307" s="458"/>
      <c r="Q307" s="459"/>
      <c r="R307" s="459"/>
      <c r="S307" s="460"/>
    </row>
    <row r="308" spans="1:19">
      <c r="A308" s="470"/>
      <c r="B308" s="461"/>
      <c r="C308" s="462"/>
      <c r="D308" s="463"/>
      <c r="E308" s="463"/>
      <c r="F308" s="463"/>
      <c r="G308" s="463"/>
      <c r="H308" s="463"/>
      <c r="I308" s="462"/>
      <c r="J308" s="462"/>
      <c r="K308" s="463"/>
      <c r="L308" s="463"/>
      <c r="M308" s="463"/>
      <c r="N308" s="463"/>
      <c r="O308" s="462"/>
      <c r="P308" s="462"/>
      <c r="Q308" s="463"/>
      <c r="R308" s="463"/>
      <c r="S308" s="464"/>
    </row>
    <row r="309" spans="1:19">
      <c r="A309" s="470"/>
      <c r="B309" s="77"/>
      <c r="C309" s="127"/>
      <c r="D309" s="129"/>
      <c r="E309" s="129"/>
      <c r="F309" s="129"/>
      <c r="G309" s="129"/>
      <c r="H309" s="129"/>
      <c r="I309" s="127"/>
      <c r="J309" s="127"/>
      <c r="K309" s="129"/>
      <c r="L309" s="129"/>
      <c r="M309" s="129"/>
      <c r="N309" s="129"/>
      <c r="O309" s="127"/>
      <c r="P309" s="127"/>
      <c r="Q309" s="129"/>
      <c r="R309" s="129"/>
      <c r="S309" s="128"/>
    </row>
    <row r="310" spans="1:19">
      <c r="A310" s="470"/>
      <c r="B310" s="80"/>
      <c r="C310" s="458"/>
      <c r="D310" s="459"/>
      <c r="E310" s="459"/>
      <c r="F310" s="459"/>
      <c r="G310" s="459"/>
      <c r="H310" s="459"/>
      <c r="I310" s="458"/>
      <c r="J310" s="458"/>
      <c r="K310" s="459"/>
      <c r="L310" s="459"/>
      <c r="M310" s="459"/>
      <c r="N310" s="459"/>
      <c r="O310" s="458"/>
      <c r="P310" s="458"/>
      <c r="Q310" s="459"/>
      <c r="R310" s="459"/>
      <c r="S310" s="460"/>
    </row>
    <row r="311" spans="1:19">
      <c r="A311" s="470"/>
      <c r="B311" s="461"/>
      <c r="C311" s="462"/>
      <c r="D311" s="463"/>
      <c r="E311" s="463"/>
      <c r="F311" s="463"/>
      <c r="G311" s="463"/>
      <c r="H311" s="463"/>
      <c r="I311" s="462"/>
      <c r="J311" s="462"/>
      <c r="K311" s="463"/>
      <c r="L311" s="463"/>
      <c r="M311" s="463"/>
      <c r="N311" s="463"/>
      <c r="O311" s="462"/>
      <c r="P311" s="462"/>
      <c r="Q311" s="463"/>
      <c r="R311" s="463"/>
      <c r="S311" s="464"/>
    </row>
    <row r="312" spans="1:19">
      <c r="A312" s="470"/>
      <c r="B312" s="77"/>
      <c r="C312" s="127"/>
      <c r="D312" s="129"/>
      <c r="E312" s="129"/>
      <c r="F312" s="129"/>
      <c r="G312" s="129"/>
      <c r="H312" s="129"/>
      <c r="I312" s="127"/>
      <c r="J312" s="127"/>
      <c r="K312" s="129"/>
      <c r="L312" s="129"/>
      <c r="M312" s="129"/>
      <c r="N312" s="129"/>
      <c r="O312" s="127"/>
      <c r="P312" s="127"/>
      <c r="Q312" s="129"/>
      <c r="R312" s="129"/>
      <c r="S312" s="128"/>
    </row>
    <row r="313" spans="1:19">
      <c r="A313" s="470"/>
      <c r="B313" s="80"/>
      <c r="C313" s="458"/>
      <c r="D313" s="459"/>
      <c r="E313" s="459"/>
      <c r="F313" s="459"/>
      <c r="G313" s="459"/>
      <c r="H313" s="459"/>
      <c r="I313" s="458"/>
      <c r="J313" s="458"/>
      <c r="K313" s="459"/>
      <c r="L313" s="459"/>
      <c r="M313" s="459"/>
      <c r="N313" s="459"/>
      <c r="O313" s="458"/>
      <c r="P313" s="458"/>
      <c r="Q313" s="459"/>
      <c r="R313" s="459"/>
      <c r="S313" s="460"/>
    </row>
    <row r="314" spans="1:19">
      <c r="A314" s="470"/>
      <c r="B314" s="461"/>
      <c r="C314" s="462"/>
      <c r="D314" s="463"/>
      <c r="E314" s="463"/>
      <c r="F314" s="463"/>
      <c r="G314" s="463"/>
      <c r="H314" s="463"/>
      <c r="I314" s="462"/>
      <c r="J314" s="462"/>
      <c r="K314" s="463"/>
      <c r="L314" s="463"/>
      <c r="M314" s="463"/>
      <c r="N314" s="463"/>
      <c r="O314" s="462"/>
      <c r="P314" s="462"/>
      <c r="Q314" s="463"/>
      <c r="R314" s="463"/>
      <c r="S314" s="464"/>
    </row>
    <row r="315" spans="1:19">
      <c r="A315" s="470"/>
      <c r="B315" s="77"/>
      <c r="C315" s="127"/>
      <c r="D315" s="129"/>
      <c r="E315" s="129"/>
      <c r="F315" s="129"/>
      <c r="G315" s="129"/>
      <c r="H315" s="129"/>
      <c r="I315" s="127"/>
      <c r="J315" s="127"/>
      <c r="K315" s="129"/>
      <c r="L315" s="129"/>
      <c r="M315" s="129"/>
      <c r="N315" s="129"/>
      <c r="O315" s="127"/>
      <c r="P315" s="127"/>
      <c r="Q315" s="129"/>
      <c r="R315" s="129"/>
      <c r="S315" s="128"/>
    </row>
    <row r="316" spans="1:19">
      <c r="A316" s="470"/>
      <c r="B316" s="80"/>
      <c r="C316" s="458"/>
      <c r="D316" s="459"/>
      <c r="E316" s="459"/>
      <c r="F316" s="459"/>
      <c r="G316" s="459"/>
      <c r="H316" s="459"/>
      <c r="I316" s="458"/>
      <c r="J316" s="458"/>
      <c r="K316" s="459"/>
      <c r="L316" s="459"/>
      <c r="M316" s="459"/>
      <c r="N316" s="459"/>
      <c r="O316" s="458"/>
      <c r="P316" s="458"/>
      <c r="Q316" s="459"/>
      <c r="R316" s="459"/>
      <c r="S316" s="460"/>
    </row>
    <row r="317" spans="1:19">
      <c r="A317" s="470"/>
      <c r="B317" s="461"/>
      <c r="C317" s="462"/>
      <c r="D317" s="463"/>
      <c r="E317" s="463"/>
      <c r="F317" s="463"/>
      <c r="G317" s="463"/>
      <c r="H317" s="463"/>
      <c r="I317" s="462"/>
      <c r="J317" s="462"/>
      <c r="K317" s="463"/>
      <c r="L317" s="463"/>
      <c r="M317" s="463"/>
      <c r="N317" s="463"/>
      <c r="O317" s="462"/>
      <c r="P317" s="462"/>
      <c r="Q317" s="463"/>
      <c r="R317" s="463"/>
      <c r="S317" s="464"/>
    </row>
    <row r="318" spans="1:19">
      <c r="A318" s="470"/>
      <c r="B318" s="77"/>
      <c r="C318" s="127"/>
      <c r="D318" s="129"/>
      <c r="E318" s="129"/>
      <c r="F318" s="129"/>
      <c r="G318" s="129"/>
      <c r="H318" s="129"/>
      <c r="I318" s="127"/>
      <c r="J318" s="127"/>
      <c r="K318" s="129"/>
      <c r="L318" s="129"/>
      <c r="M318" s="129"/>
      <c r="N318" s="129"/>
      <c r="O318" s="127"/>
      <c r="P318" s="127"/>
      <c r="Q318" s="129"/>
      <c r="R318" s="129"/>
      <c r="S318" s="128"/>
    </row>
    <row r="319" spans="1:19">
      <c r="A319" s="470"/>
      <c r="B319" s="80"/>
      <c r="C319" s="458"/>
      <c r="D319" s="459"/>
      <c r="E319" s="459"/>
      <c r="F319" s="459"/>
      <c r="G319" s="459"/>
      <c r="H319" s="459"/>
      <c r="I319" s="458"/>
      <c r="J319" s="458"/>
      <c r="K319" s="459"/>
      <c r="L319" s="459"/>
      <c r="M319" s="459"/>
      <c r="N319" s="459"/>
      <c r="O319" s="458"/>
      <c r="P319" s="458"/>
      <c r="Q319" s="459"/>
      <c r="R319" s="459"/>
      <c r="S319" s="460"/>
    </row>
    <row r="320" spans="1:19">
      <c r="A320" s="475"/>
      <c r="B320" s="476"/>
      <c r="C320" s="477"/>
      <c r="D320" s="478"/>
      <c r="E320" s="478"/>
      <c r="F320" s="478"/>
      <c r="G320" s="478"/>
      <c r="H320" s="478"/>
      <c r="I320" s="477"/>
      <c r="J320" s="477"/>
      <c r="K320" s="478"/>
      <c r="L320" s="478"/>
      <c r="M320" s="478"/>
      <c r="N320" s="478"/>
      <c r="O320" s="477"/>
      <c r="P320" s="477"/>
      <c r="Q320" s="478"/>
      <c r="R320" s="478"/>
      <c r="S320" s="479"/>
    </row>
    <row r="321" spans="1:19">
      <c r="A321" s="473"/>
      <c r="B321" s="80"/>
      <c r="C321" s="458"/>
      <c r="D321" s="474"/>
      <c r="E321" s="474"/>
      <c r="F321" s="474"/>
      <c r="G321" s="474"/>
      <c r="H321" s="474"/>
      <c r="I321" s="458"/>
      <c r="J321" s="458"/>
      <c r="K321" s="474"/>
      <c r="L321" s="474"/>
      <c r="M321" s="474"/>
      <c r="N321" s="474"/>
      <c r="O321" s="458"/>
      <c r="P321" s="458"/>
      <c r="Q321" s="474"/>
      <c r="R321" s="474"/>
      <c r="S321" s="460"/>
    </row>
    <row r="322" spans="1:19">
      <c r="A322" s="470"/>
      <c r="B322" s="80"/>
      <c r="C322" s="458"/>
      <c r="D322" s="459"/>
      <c r="E322" s="459"/>
      <c r="F322" s="459"/>
      <c r="G322" s="459"/>
      <c r="H322" s="459"/>
      <c r="I322" s="458"/>
      <c r="J322" s="458"/>
      <c r="K322" s="459"/>
      <c r="L322" s="459"/>
      <c r="M322" s="459"/>
      <c r="N322" s="459"/>
      <c r="O322" s="458"/>
      <c r="P322" s="458"/>
      <c r="Q322" s="459"/>
      <c r="R322" s="459"/>
      <c r="S322" s="460"/>
    </row>
    <row r="323" spans="1:19">
      <c r="A323" s="470"/>
      <c r="B323" s="461"/>
      <c r="C323" s="462"/>
      <c r="D323" s="463"/>
      <c r="E323" s="463"/>
      <c r="F323" s="463"/>
      <c r="G323" s="463"/>
      <c r="H323" s="463"/>
      <c r="I323" s="462"/>
      <c r="J323" s="462"/>
      <c r="K323" s="463"/>
      <c r="L323" s="463"/>
      <c r="M323" s="463"/>
      <c r="N323" s="463"/>
      <c r="O323" s="462"/>
      <c r="P323" s="462"/>
      <c r="Q323" s="463"/>
      <c r="R323" s="463"/>
      <c r="S323" s="464"/>
    </row>
    <row r="324" spans="1:19">
      <c r="A324" s="470"/>
      <c r="B324" s="77"/>
      <c r="C324" s="127"/>
      <c r="D324" s="129"/>
      <c r="E324" s="129"/>
      <c r="F324" s="129"/>
      <c r="G324" s="129"/>
      <c r="H324" s="129"/>
      <c r="I324" s="127"/>
      <c r="J324" s="127"/>
      <c r="K324" s="129"/>
      <c r="L324" s="129"/>
      <c r="M324" s="129"/>
      <c r="N324" s="129"/>
      <c r="O324" s="127"/>
      <c r="P324" s="127"/>
      <c r="Q324" s="129"/>
      <c r="R324" s="129"/>
      <c r="S324" s="128"/>
    </row>
    <row r="325" spans="1:19">
      <c r="A325" s="470"/>
      <c r="B325" s="80"/>
      <c r="C325" s="458"/>
      <c r="D325" s="459"/>
      <c r="E325" s="459"/>
      <c r="F325" s="459"/>
      <c r="G325" s="459"/>
      <c r="H325" s="459"/>
      <c r="I325" s="458"/>
      <c r="J325" s="458"/>
      <c r="K325" s="459"/>
      <c r="L325" s="459"/>
      <c r="M325" s="459"/>
      <c r="N325" s="459"/>
      <c r="O325" s="458"/>
      <c r="P325" s="458"/>
      <c r="Q325" s="459"/>
      <c r="R325" s="459"/>
      <c r="S325" s="460"/>
    </row>
    <row r="326" spans="1:19">
      <c r="A326" s="470"/>
      <c r="B326" s="461"/>
      <c r="C326" s="462"/>
      <c r="D326" s="463"/>
      <c r="E326" s="463"/>
      <c r="F326" s="463"/>
      <c r="G326" s="463"/>
      <c r="H326" s="463"/>
      <c r="I326" s="462"/>
      <c r="J326" s="462"/>
      <c r="K326" s="463"/>
      <c r="L326" s="463"/>
      <c r="M326" s="463"/>
      <c r="N326" s="463"/>
      <c r="O326" s="462"/>
      <c r="P326" s="462"/>
      <c r="Q326" s="463"/>
      <c r="R326" s="463"/>
      <c r="S326" s="464"/>
    </row>
    <row r="327" spans="1:19">
      <c r="A327" s="470"/>
      <c r="B327" s="77"/>
      <c r="C327" s="127"/>
      <c r="D327" s="129"/>
      <c r="E327" s="129"/>
      <c r="F327" s="129"/>
      <c r="G327" s="129"/>
      <c r="H327" s="129"/>
      <c r="I327" s="127"/>
      <c r="J327" s="127"/>
      <c r="K327" s="129"/>
      <c r="L327" s="129"/>
      <c r="M327" s="129"/>
      <c r="N327" s="129"/>
      <c r="O327" s="127"/>
      <c r="P327" s="127"/>
      <c r="Q327" s="129"/>
      <c r="R327" s="129"/>
      <c r="S327" s="128"/>
    </row>
    <row r="328" spans="1:19">
      <c r="A328" s="470"/>
      <c r="B328" s="80"/>
      <c r="C328" s="458"/>
      <c r="D328" s="459"/>
      <c r="E328" s="459"/>
      <c r="F328" s="459"/>
      <c r="G328" s="459"/>
      <c r="H328" s="459"/>
      <c r="I328" s="458"/>
      <c r="J328" s="458"/>
      <c r="K328" s="459"/>
      <c r="L328" s="459"/>
      <c r="M328" s="459"/>
      <c r="N328" s="459"/>
      <c r="O328" s="458"/>
      <c r="P328" s="458"/>
      <c r="Q328" s="459"/>
      <c r="R328" s="459"/>
      <c r="S328" s="460"/>
    </row>
    <row r="329" spans="1:19">
      <c r="A329" s="470"/>
      <c r="B329" s="461"/>
      <c r="C329" s="462"/>
      <c r="D329" s="463"/>
      <c r="E329" s="463"/>
      <c r="F329" s="463"/>
      <c r="G329" s="463"/>
      <c r="H329" s="463"/>
      <c r="I329" s="462"/>
      <c r="J329" s="462"/>
      <c r="K329" s="463"/>
      <c r="L329" s="463"/>
      <c r="M329" s="463"/>
      <c r="N329" s="463"/>
      <c r="O329" s="462"/>
      <c r="P329" s="462"/>
      <c r="Q329" s="463"/>
      <c r="R329" s="463"/>
      <c r="S329" s="464"/>
    </row>
    <row r="330" spans="1:19">
      <c r="A330" s="470"/>
      <c r="B330" s="77"/>
      <c r="C330" s="127"/>
      <c r="D330" s="129"/>
      <c r="E330" s="129"/>
      <c r="F330" s="129"/>
      <c r="G330" s="129"/>
      <c r="H330" s="129"/>
      <c r="I330" s="127"/>
      <c r="J330" s="127"/>
      <c r="K330" s="129"/>
      <c r="L330" s="129"/>
      <c r="M330" s="129"/>
      <c r="N330" s="129"/>
      <c r="O330" s="127"/>
      <c r="P330" s="127"/>
      <c r="Q330" s="129"/>
      <c r="R330" s="129"/>
      <c r="S330" s="128"/>
    </row>
    <row r="331" spans="1:19">
      <c r="A331" s="470"/>
      <c r="B331" s="80"/>
      <c r="C331" s="458"/>
      <c r="D331" s="459"/>
      <c r="E331" s="459"/>
      <c r="F331" s="459"/>
      <c r="G331" s="459"/>
      <c r="H331" s="459"/>
      <c r="I331" s="458"/>
      <c r="J331" s="458"/>
      <c r="K331" s="459"/>
      <c r="L331" s="459"/>
      <c r="M331" s="459"/>
      <c r="N331" s="459"/>
      <c r="O331" s="458"/>
      <c r="P331" s="458"/>
      <c r="Q331" s="459"/>
      <c r="R331" s="459"/>
      <c r="S331" s="460"/>
    </row>
    <row r="332" spans="1:19">
      <c r="A332" s="470"/>
      <c r="B332" s="461"/>
      <c r="C332" s="462"/>
      <c r="D332" s="463"/>
      <c r="E332" s="463"/>
      <c r="F332" s="463"/>
      <c r="G332" s="463"/>
      <c r="H332" s="463"/>
      <c r="I332" s="462"/>
      <c r="J332" s="462"/>
      <c r="K332" s="463"/>
      <c r="L332" s="463"/>
      <c r="M332" s="463"/>
      <c r="N332" s="463"/>
      <c r="O332" s="462"/>
      <c r="P332" s="462"/>
      <c r="Q332" s="463"/>
      <c r="R332" s="463"/>
      <c r="S332" s="464"/>
    </row>
    <row r="333" spans="1:19">
      <c r="A333" s="470"/>
      <c r="B333" s="77"/>
      <c r="C333" s="127"/>
      <c r="D333" s="129"/>
      <c r="E333" s="129"/>
      <c r="F333" s="129"/>
      <c r="G333" s="129"/>
      <c r="H333" s="129"/>
      <c r="I333" s="127"/>
      <c r="J333" s="127"/>
      <c r="K333" s="129"/>
      <c r="L333" s="129"/>
      <c r="M333" s="129"/>
      <c r="N333" s="129"/>
      <c r="O333" s="127"/>
      <c r="P333" s="127"/>
      <c r="Q333" s="129"/>
      <c r="R333" s="129"/>
      <c r="S333" s="128"/>
    </row>
    <row r="334" spans="1:19">
      <c r="A334" s="470"/>
      <c r="B334" s="80"/>
      <c r="C334" s="458"/>
      <c r="D334" s="459"/>
      <c r="E334" s="459"/>
      <c r="F334" s="459"/>
      <c r="G334" s="459"/>
      <c r="H334" s="459"/>
      <c r="I334" s="458"/>
      <c r="J334" s="458"/>
      <c r="K334" s="459"/>
      <c r="L334" s="459"/>
      <c r="M334" s="459"/>
      <c r="N334" s="459"/>
      <c r="O334" s="458"/>
      <c r="P334" s="458"/>
      <c r="Q334" s="459"/>
      <c r="R334" s="459"/>
      <c r="S334" s="460"/>
    </row>
    <row r="335" spans="1:19">
      <c r="A335" s="470"/>
      <c r="B335" s="461"/>
      <c r="C335" s="462"/>
      <c r="D335" s="463"/>
      <c r="E335" s="463"/>
      <c r="F335" s="463"/>
      <c r="G335" s="463"/>
      <c r="H335" s="463"/>
      <c r="I335" s="462"/>
      <c r="J335" s="462"/>
      <c r="K335" s="463"/>
      <c r="L335" s="463"/>
      <c r="M335" s="463"/>
      <c r="N335" s="463"/>
      <c r="O335" s="462"/>
      <c r="P335" s="462"/>
      <c r="Q335" s="463"/>
      <c r="R335" s="463"/>
      <c r="S335" s="464"/>
    </row>
    <row r="336" spans="1:19">
      <c r="A336" s="470"/>
      <c r="B336" s="77"/>
      <c r="C336" s="127"/>
      <c r="D336" s="129"/>
      <c r="E336" s="129"/>
      <c r="F336" s="129"/>
      <c r="G336" s="129"/>
      <c r="H336" s="129"/>
      <c r="I336" s="127"/>
      <c r="J336" s="127"/>
      <c r="K336" s="129"/>
      <c r="L336" s="129"/>
      <c r="M336" s="129"/>
      <c r="N336" s="129"/>
      <c r="O336" s="127"/>
      <c r="P336" s="127"/>
      <c r="Q336" s="129"/>
      <c r="R336" s="129"/>
      <c r="S336" s="128"/>
    </row>
    <row r="337" spans="1:19">
      <c r="A337" s="470"/>
      <c r="B337" s="80"/>
      <c r="C337" s="458"/>
      <c r="D337" s="459"/>
      <c r="E337" s="459"/>
      <c r="F337" s="459"/>
      <c r="G337" s="459"/>
      <c r="H337" s="459"/>
      <c r="I337" s="458"/>
      <c r="J337" s="458"/>
      <c r="K337" s="459"/>
      <c r="L337" s="459"/>
      <c r="M337" s="459"/>
      <c r="N337" s="459"/>
      <c r="O337" s="458"/>
      <c r="P337" s="458"/>
      <c r="Q337" s="459"/>
      <c r="R337" s="459"/>
      <c r="S337" s="460"/>
    </row>
    <row r="338" spans="1:19">
      <c r="A338" s="470"/>
      <c r="B338" s="461"/>
      <c r="C338" s="462"/>
      <c r="D338" s="463"/>
      <c r="E338" s="463"/>
      <c r="F338" s="463"/>
      <c r="G338" s="463"/>
      <c r="H338" s="463"/>
      <c r="I338" s="462"/>
      <c r="J338" s="462"/>
      <c r="K338" s="463"/>
      <c r="L338" s="463"/>
      <c r="M338" s="463"/>
      <c r="N338" s="463"/>
      <c r="O338" s="462"/>
      <c r="P338" s="462"/>
      <c r="Q338" s="463"/>
      <c r="R338" s="463"/>
      <c r="S338" s="464"/>
    </row>
    <row r="339" spans="1:19">
      <c r="A339" s="470"/>
      <c r="B339" s="77"/>
      <c r="C339" s="127"/>
      <c r="D339" s="129"/>
      <c r="E339" s="129"/>
      <c r="F339" s="129"/>
      <c r="G339" s="129"/>
      <c r="H339" s="129"/>
      <c r="I339" s="127"/>
      <c r="J339" s="127"/>
      <c r="K339" s="129"/>
      <c r="L339" s="129"/>
      <c r="M339" s="129"/>
      <c r="N339" s="129"/>
      <c r="O339" s="127"/>
      <c r="P339" s="127"/>
      <c r="Q339" s="129"/>
      <c r="R339" s="129"/>
      <c r="S339" s="128"/>
    </row>
    <row r="340" spans="1:19">
      <c r="A340" s="470"/>
      <c r="B340" s="80"/>
      <c r="C340" s="458"/>
      <c r="D340" s="459"/>
      <c r="E340" s="459"/>
      <c r="F340" s="459"/>
      <c r="G340" s="459"/>
      <c r="H340" s="459"/>
      <c r="I340" s="458"/>
      <c r="J340" s="458"/>
      <c r="K340" s="459"/>
      <c r="L340" s="459"/>
      <c r="M340" s="459"/>
      <c r="N340" s="459"/>
      <c r="O340" s="458"/>
      <c r="P340" s="458"/>
      <c r="Q340" s="459"/>
      <c r="R340" s="459"/>
      <c r="S340" s="460"/>
    </row>
    <row r="341" spans="1:19">
      <c r="A341" s="475"/>
      <c r="B341" s="476"/>
      <c r="C341" s="477"/>
      <c r="D341" s="478"/>
      <c r="E341" s="478"/>
      <c r="F341" s="478"/>
      <c r="G341" s="478"/>
      <c r="H341" s="478"/>
      <c r="I341" s="477"/>
      <c r="J341" s="477"/>
      <c r="K341" s="478"/>
      <c r="L341" s="478"/>
      <c r="M341" s="478"/>
      <c r="N341" s="478"/>
      <c r="O341" s="477"/>
      <c r="P341" s="477"/>
      <c r="Q341" s="478"/>
      <c r="R341" s="478"/>
      <c r="S341" s="479"/>
    </row>
    <row r="342" spans="1:19">
      <c r="A342" s="473"/>
      <c r="B342" s="480"/>
      <c r="C342" s="453"/>
      <c r="D342" s="481"/>
      <c r="E342" s="481"/>
      <c r="F342" s="481"/>
      <c r="G342" s="481"/>
      <c r="H342" s="481"/>
      <c r="I342" s="453"/>
      <c r="J342" s="453"/>
      <c r="K342" s="481"/>
      <c r="L342" s="481"/>
      <c r="M342" s="481"/>
      <c r="N342" s="481"/>
      <c r="O342" s="453"/>
      <c r="P342" s="453"/>
      <c r="Q342" s="481"/>
      <c r="R342" s="481"/>
      <c r="S342" s="454"/>
    </row>
    <row r="343" spans="1:19">
      <c r="A343" s="469"/>
      <c r="B343" s="78"/>
      <c r="C343" s="130"/>
      <c r="D343" s="131"/>
      <c r="E343" s="131"/>
      <c r="F343" s="131"/>
      <c r="G343" s="131"/>
      <c r="H343" s="131"/>
      <c r="I343" s="130"/>
      <c r="J343" s="130"/>
      <c r="K343" s="131"/>
      <c r="L343" s="131"/>
      <c r="M343" s="131"/>
      <c r="N343" s="131"/>
      <c r="O343" s="130"/>
      <c r="P343" s="130"/>
      <c r="Q343" s="131"/>
      <c r="R343" s="131"/>
      <c r="S343" s="452"/>
    </row>
    <row r="344" spans="1:19">
      <c r="A344" s="469"/>
      <c r="B344" s="78"/>
      <c r="C344" s="465"/>
      <c r="D344" s="466"/>
      <c r="E344" s="466"/>
      <c r="F344" s="466"/>
      <c r="G344" s="466"/>
      <c r="H344" s="466"/>
      <c r="I344" s="465"/>
      <c r="J344" s="465"/>
      <c r="K344" s="466"/>
      <c r="L344" s="466"/>
      <c r="M344" s="466"/>
      <c r="N344" s="466"/>
      <c r="O344" s="465"/>
      <c r="P344" s="465"/>
      <c r="Q344" s="466"/>
      <c r="R344" s="466"/>
      <c r="S344" s="467"/>
    </row>
    <row r="345" spans="1:19">
      <c r="A345" s="469"/>
      <c r="B345" s="78"/>
      <c r="C345" s="130"/>
      <c r="D345" s="131"/>
      <c r="E345" s="131"/>
      <c r="F345" s="131"/>
      <c r="G345" s="131"/>
      <c r="H345" s="131"/>
      <c r="I345" s="130"/>
      <c r="J345" s="130"/>
      <c r="K345" s="131"/>
      <c r="L345" s="131"/>
      <c r="M345" s="131"/>
      <c r="N345" s="131"/>
      <c r="O345" s="130"/>
      <c r="P345" s="130"/>
      <c r="Q345" s="131"/>
      <c r="R345" s="131"/>
      <c r="S345" s="452"/>
    </row>
    <row r="346" spans="1:19">
      <c r="A346" s="469"/>
      <c r="B346" s="78"/>
      <c r="C346" s="130"/>
      <c r="D346" s="131"/>
      <c r="E346" s="131"/>
      <c r="F346" s="131"/>
      <c r="G346" s="131"/>
      <c r="H346" s="131"/>
      <c r="I346" s="130"/>
      <c r="J346" s="130"/>
      <c r="K346" s="131"/>
      <c r="L346" s="131"/>
      <c r="M346" s="131"/>
      <c r="N346" s="131"/>
      <c r="O346" s="130"/>
      <c r="P346" s="130"/>
      <c r="Q346" s="131"/>
      <c r="R346" s="131"/>
      <c r="S346" s="452"/>
    </row>
    <row r="347" spans="1:19">
      <c r="A347" s="469"/>
      <c r="B347" s="78"/>
      <c r="C347" s="130"/>
      <c r="D347" s="131"/>
      <c r="E347" s="131"/>
      <c r="F347" s="131"/>
      <c r="G347" s="131"/>
      <c r="H347" s="131"/>
      <c r="I347" s="130"/>
      <c r="J347" s="130"/>
      <c r="K347" s="131"/>
      <c r="L347" s="131"/>
      <c r="M347" s="131"/>
      <c r="N347" s="131"/>
      <c r="O347" s="130"/>
      <c r="P347" s="130"/>
      <c r="Q347" s="131"/>
      <c r="R347" s="131"/>
      <c r="S347" s="452"/>
    </row>
    <row r="348" spans="1:19">
      <c r="A348" s="469"/>
      <c r="B348" s="78"/>
      <c r="C348" s="130"/>
      <c r="D348" s="131"/>
      <c r="E348" s="131"/>
      <c r="F348" s="131"/>
      <c r="G348" s="131"/>
      <c r="H348" s="131"/>
      <c r="I348" s="130"/>
      <c r="J348" s="130"/>
      <c r="K348" s="131"/>
      <c r="L348" s="131"/>
      <c r="M348" s="131"/>
      <c r="N348" s="131"/>
      <c r="O348" s="130"/>
      <c r="P348" s="130"/>
      <c r="Q348" s="131"/>
      <c r="R348" s="131"/>
      <c r="S348" s="452"/>
    </row>
    <row r="349" spans="1:19">
      <c r="A349" s="469"/>
      <c r="B349" s="78"/>
      <c r="C349" s="130"/>
      <c r="D349" s="131"/>
      <c r="E349" s="131"/>
      <c r="F349" s="131"/>
      <c r="G349" s="131"/>
      <c r="H349" s="131"/>
      <c r="I349" s="130"/>
      <c r="J349" s="130"/>
      <c r="K349" s="131"/>
      <c r="L349" s="131"/>
      <c r="M349" s="131"/>
      <c r="N349" s="131"/>
      <c r="O349" s="130"/>
      <c r="P349" s="130"/>
      <c r="Q349" s="131"/>
      <c r="R349" s="131"/>
      <c r="S349" s="452"/>
    </row>
    <row r="350" spans="1:19">
      <c r="A350" s="469"/>
      <c r="B350" s="78"/>
      <c r="C350" s="130"/>
      <c r="D350" s="131"/>
      <c r="E350" s="131"/>
      <c r="F350" s="131"/>
      <c r="G350" s="131"/>
      <c r="H350" s="131"/>
      <c r="I350" s="130"/>
      <c r="J350" s="130"/>
      <c r="K350" s="131"/>
      <c r="L350" s="131"/>
      <c r="M350" s="131"/>
      <c r="N350" s="131"/>
      <c r="O350" s="130"/>
      <c r="P350" s="130"/>
      <c r="Q350" s="131"/>
      <c r="R350" s="131"/>
      <c r="S350" s="452"/>
    </row>
    <row r="351" spans="1:19">
      <c r="A351" s="469"/>
      <c r="B351" s="78"/>
      <c r="C351" s="130"/>
      <c r="D351" s="131"/>
      <c r="E351" s="131"/>
      <c r="F351" s="131"/>
      <c r="G351" s="131"/>
      <c r="H351" s="131"/>
      <c r="I351" s="130"/>
      <c r="J351" s="130"/>
      <c r="K351" s="131"/>
      <c r="L351" s="131"/>
      <c r="M351" s="131"/>
      <c r="N351" s="131"/>
      <c r="O351" s="130"/>
      <c r="P351" s="130"/>
      <c r="Q351" s="131"/>
      <c r="R351" s="131"/>
      <c r="S351" s="452"/>
    </row>
    <row r="352" spans="1:19">
      <c r="A352" s="469"/>
      <c r="B352" s="78"/>
      <c r="C352" s="130"/>
      <c r="D352" s="131"/>
      <c r="E352" s="131"/>
      <c r="F352" s="131"/>
      <c r="G352" s="131"/>
      <c r="H352" s="131"/>
      <c r="I352" s="130"/>
      <c r="J352" s="130"/>
      <c r="K352" s="131"/>
      <c r="L352" s="131"/>
      <c r="M352" s="131"/>
      <c r="N352" s="131"/>
      <c r="O352" s="130"/>
      <c r="P352" s="130"/>
      <c r="Q352" s="131"/>
      <c r="R352" s="131"/>
      <c r="S352" s="452"/>
    </row>
    <row r="353" spans="1:19">
      <c r="A353" s="469"/>
      <c r="B353" s="78"/>
      <c r="C353" s="130"/>
      <c r="D353" s="131"/>
      <c r="E353" s="131"/>
      <c r="F353" s="131"/>
      <c r="G353" s="131"/>
      <c r="H353" s="131"/>
      <c r="I353" s="130"/>
      <c r="J353" s="130"/>
      <c r="K353" s="131"/>
      <c r="L353" s="131"/>
      <c r="M353" s="131"/>
      <c r="N353" s="131"/>
      <c r="O353" s="130"/>
      <c r="P353" s="130"/>
      <c r="Q353" s="131"/>
      <c r="R353" s="131"/>
      <c r="S353" s="452"/>
    </row>
    <row r="354" spans="1:19">
      <c r="A354" s="469"/>
      <c r="B354" s="78"/>
      <c r="C354" s="130"/>
      <c r="D354" s="131"/>
      <c r="E354" s="131"/>
      <c r="F354" s="131"/>
      <c r="G354" s="131"/>
      <c r="H354" s="131"/>
      <c r="I354" s="130"/>
      <c r="J354" s="130"/>
      <c r="K354" s="131"/>
      <c r="L354" s="131"/>
      <c r="M354" s="131"/>
      <c r="N354" s="131"/>
      <c r="O354" s="130"/>
      <c r="P354" s="130"/>
      <c r="Q354" s="131"/>
      <c r="R354" s="131"/>
      <c r="S354" s="452"/>
    </row>
    <row r="355" spans="1:19">
      <c r="A355" s="469"/>
      <c r="B355" s="78"/>
      <c r="C355" s="130"/>
      <c r="D355" s="131"/>
      <c r="E355" s="131"/>
      <c r="F355" s="131"/>
      <c r="G355" s="131"/>
      <c r="H355" s="131"/>
      <c r="I355" s="130"/>
      <c r="J355" s="130"/>
      <c r="K355" s="131"/>
      <c r="L355" s="131"/>
      <c r="M355" s="131"/>
      <c r="N355" s="131"/>
      <c r="O355" s="130"/>
      <c r="P355" s="130"/>
      <c r="Q355" s="131"/>
      <c r="R355" s="131"/>
      <c r="S355" s="452"/>
    </row>
    <row r="356" spans="1:19">
      <c r="A356" s="469"/>
      <c r="B356" s="78"/>
      <c r="C356" s="130"/>
      <c r="D356" s="131"/>
      <c r="E356" s="131"/>
      <c r="F356" s="131"/>
      <c r="G356" s="131"/>
      <c r="H356" s="131"/>
      <c r="I356" s="130"/>
      <c r="J356" s="130"/>
      <c r="K356" s="131"/>
      <c r="L356" s="131"/>
      <c r="M356" s="131"/>
      <c r="N356" s="131"/>
      <c r="O356" s="130"/>
      <c r="P356" s="130"/>
      <c r="Q356" s="131"/>
      <c r="R356" s="131"/>
      <c r="S356" s="452"/>
    </row>
    <row r="357" spans="1:19">
      <c r="A357" s="469"/>
      <c r="B357" s="78"/>
      <c r="C357" s="130"/>
      <c r="D357" s="131"/>
      <c r="E357" s="131"/>
      <c r="F357" s="131"/>
      <c r="G357" s="131"/>
      <c r="H357" s="131"/>
      <c r="I357" s="130"/>
      <c r="J357" s="130"/>
      <c r="K357" s="131"/>
      <c r="L357" s="131"/>
      <c r="M357" s="131"/>
      <c r="N357" s="131"/>
      <c r="O357" s="130"/>
      <c r="P357" s="130"/>
      <c r="Q357" s="131"/>
      <c r="R357" s="131"/>
      <c r="S357" s="452"/>
    </row>
    <row r="358" spans="1:19">
      <c r="A358" s="469"/>
      <c r="B358" s="78"/>
      <c r="C358" s="130"/>
      <c r="D358" s="131"/>
      <c r="E358" s="131"/>
      <c r="F358" s="131"/>
      <c r="G358" s="131"/>
      <c r="H358" s="131"/>
      <c r="I358" s="130"/>
      <c r="J358" s="130"/>
      <c r="K358" s="131"/>
      <c r="L358" s="131"/>
      <c r="M358" s="131"/>
      <c r="N358" s="131"/>
      <c r="O358" s="130"/>
      <c r="P358" s="130"/>
      <c r="Q358" s="131"/>
      <c r="R358" s="131"/>
      <c r="S358" s="452"/>
    </row>
    <row r="359" spans="1:19">
      <c r="A359" s="469"/>
      <c r="B359" s="78"/>
      <c r="C359" s="130"/>
      <c r="D359" s="131"/>
      <c r="E359" s="131"/>
      <c r="F359" s="131"/>
      <c r="G359" s="131"/>
      <c r="H359" s="131"/>
      <c r="I359" s="130"/>
      <c r="J359" s="130"/>
      <c r="K359" s="131"/>
      <c r="L359" s="131"/>
      <c r="M359" s="131"/>
      <c r="N359" s="131"/>
      <c r="O359" s="130"/>
      <c r="P359" s="130"/>
      <c r="Q359" s="131"/>
      <c r="R359" s="131"/>
      <c r="S359" s="452"/>
    </row>
    <row r="360" spans="1:19">
      <c r="A360" s="469"/>
      <c r="B360" s="78"/>
      <c r="C360" s="130"/>
      <c r="D360" s="131"/>
      <c r="E360" s="131"/>
      <c r="F360" s="131"/>
      <c r="G360" s="131"/>
      <c r="H360" s="131"/>
      <c r="I360" s="130"/>
      <c r="J360" s="130"/>
      <c r="K360" s="131"/>
      <c r="L360" s="131"/>
      <c r="M360" s="131"/>
      <c r="N360" s="131"/>
      <c r="O360" s="130"/>
      <c r="P360" s="130"/>
      <c r="Q360" s="131"/>
      <c r="R360" s="131"/>
      <c r="S360" s="452"/>
    </row>
    <row r="361" spans="1:19">
      <c r="A361" s="469"/>
      <c r="B361" s="78"/>
      <c r="C361" s="130"/>
      <c r="D361" s="131"/>
      <c r="E361" s="131"/>
      <c r="F361" s="131"/>
      <c r="G361" s="131"/>
      <c r="H361" s="131"/>
      <c r="I361" s="130"/>
      <c r="J361" s="130"/>
      <c r="K361" s="131"/>
      <c r="L361" s="131"/>
      <c r="M361" s="131"/>
      <c r="N361" s="131"/>
      <c r="O361" s="130"/>
      <c r="P361" s="130"/>
      <c r="Q361" s="131"/>
      <c r="R361" s="131"/>
      <c r="S361" s="452"/>
    </row>
    <row r="362" spans="1:19">
      <c r="A362" s="471"/>
      <c r="B362" s="82"/>
      <c r="C362" s="455"/>
      <c r="D362" s="456"/>
      <c r="E362" s="456"/>
      <c r="F362" s="456"/>
      <c r="G362" s="456"/>
      <c r="H362" s="456"/>
      <c r="I362" s="455"/>
      <c r="J362" s="455"/>
      <c r="K362" s="456"/>
      <c r="L362" s="456"/>
      <c r="M362" s="456"/>
      <c r="N362" s="456"/>
      <c r="O362" s="455"/>
      <c r="P362" s="455"/>
      <c r="Q362" s="456"/>
      <c r="R362" s="456"/>
      <c r="S362" s="457"/>
    </row>
    <row r="363" spans="1:19">
      <c r="A363" s="472"/>
      <c r="B363" s="74"/>
      <c r="C363" s="159"/>
      <c r="D363" s="159"/>
      <c r="E363" s="155"/>
      <c r="F363" s="155"/>
      <c r="G363" s="155"/>
      <c r="H363" s="155"/>
      <c r="I363" s="155"/>
      <c r="J363" s="155"/>
      <c r="K363" s="155"/>
      <c r="L363" s="155"/>
      <c r="M363" s="155"/>
      <c r="N363" s="155"/>
      <c r="O363" s="155"/>
      <c r="P363" s="155"/>
      <c r="Q363" s="155"/>
      <c r="R363" s="155"/>
      <c r="S363" s="155"/>
    </row>
  </sheetData>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54" priority="46" stopIfTrue="1" operator="greaterThanOrEqual">
      <formula>10</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53" priority="45"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52" priority="43" stopIfTrue="1" operator="greaterThanOrEqual">
      <formula>10</formula>
    </cfRule>
    <cfRule type="cellIs" dxfId="51" priority="44"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50" priority="41" stopIfTrue="1" operator="greaterThanOrEqual">
      <formula>10</formula>
    </cfRule>
    <cfRule type="cellIs" dxfId="49" priority="42"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48" priority="39" stopIfTrue="1" operator="greaterThanOrEqual">
      <formula>10</formula>
    </cfRule>
    <cfRule type="cellIs" dxfId="47" priority="40"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46" priority="38" stopIfTrue="1" operator="greaterThanOrEqual">
      <formula>10</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45" priority="37"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44" priority="35" stopIfTrue="1" operator="greaterThanOrEqual">
      <formula>10</formula>
    </cfRule>
    <cfRule type="cellIs" dxfId="43" priority="36"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42" priority="33" stopIfTrue="1" operator="greaterThanOrEqual">
      <formula>10</formula>
    </cfRule>
    <cfRule type="cellIs" dxfId="41" priority="34"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40" priority="31" stopIfTrue="1" operator="greaterThanOrEqual">
      <formula>10</formula>
    </cfRule>
    <cfRule type="cellIs" dxfId="39" priority="32"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38" priority="30" stopIfTrue="1" operator="greaterThanOrEqual">
      <formula>10</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37" priority="29"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36" priority="27" stopIfTrue="1" operator="greaterThanOrEqual">
      <formula>10</formula>
    </cfRule>
    <cfRule type="cellIs" dxfId="35" priority="28"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34" priority="25" stopIfTrue="1" operator="greaterThanOrEqual">
      <formula>10</formula>
    </cfRule>
    <cfRule type="cellIs" dxfId="33" priority="26"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32" priority="23" stopIfTrue="1" operator="greaterThanOrEqual">
      <formula>10</formula>
    </cfRule>
    <cfRule type="cellIs" dxfId="31" priority="24"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30" priority="22" stopIfTrue="1" operator="greaterThanOrEqual">
      <formula>10</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9" priority="21"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8" priority="19" stopIfTrue="1" operator="greaterThanOrEqual">
      <formula>10</formula>
    </cfRule>
    <cfRule type="cellIs" dxfId="27" priority="20"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6" priority="17" stopIfTrue="1" operator="greaterThanOrEqual">
      <formula>10</formula>
    </cfRule>
    <cfRule type="cellIs" dxfId="25" priority="18"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4" priority="15" stopIfTrue="1" operator="greaterThanOrEqual">
      <formula>10</formula>
    </cfRule>
    <cfRule type="cellIs" dxfId="23" priority="16"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2" priority="14" stopIfTrue="1" operator="greaterThanOrEqual">
      <formula>10</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1" priority="13"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20" priority="11" stopIfTrue="1" operator="greaterThanOrEqual">
      <formula>10</formula>
    </cfRule>
    <cfRule type="cellIs" dxfId="19" priority="12"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8" priority="9" stopIfTrue="1" operator="greaterThanOrEqual">
      <formula>10</formula>
    </cfRule>
    <cfRule type="cellIs" dxfId="17" priority="10"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6" priority="7" stopIfTrue="1" operator="greaterThanOrEqual">
      <formula>10</formula>
    </cfRule>
    <cfRule type="cellIs" dxfId="15" priority="8"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4" priority="6" stopIfTrue="1" operator="greaterThanOrEqual">
      <formula>10</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3" priority="5"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2" priority="3" stopIfTrue="1" operator="greaterThanOrEqual">
      <formula>10</formula>
    </cfRule>
    <cfRule type="cellIs" dxfId="11" priority="4" stopIfTrue="1" operator="lessThanOrEqual">
      <formula>-5</formula>
    </cfRule>
  </conditionalFormatting>
  <conditionalFormatting sqref="C8:S8 C350:S350 C362:S362 C359:S359 C356:S356 C353:S353 C347:S347 C344:S344 C11:S11 C14:S14 C17:S17 C20:S20 C23:S23 C26:S26 C29:S29 C32:S32 C35:S35 C38:S38 C41:S41 C44:S44 C47:S47 C50:S50 C53:S53 C56:S56 C59:S59 C62:S62 C65:S65 C68:S68 C71:S71 C74:S74 C77:S77 C80:S80 C83:S83 C86:S86 C89:S89 C92:S92 C95:S95 C98:S98 C101:S101 C104:S104 C107:S107 C110:S110 C113:S113 C116:S116 C119:S119 C122:S122 C125:S125 C128:S128 C131:S131 C134:S134 C137:S137 C140:S140 C143:S143 C146:S146 C149:S149 C152:S152 C155:S155 C158:S158 C161:S161 C164:S164 C167:S167 C170:S170 C173:S173 C176:S176 C179:S179 C182:S182 C185:S185 C188:S188 C191:S191 C194:S194 C197:S197 C200:S200 C203:S203 C206:S206 C209:S209 C212:S212 C215:S215 C218:S218 C221:S221 C224:S224 C227:S227 C230:S230 C233:S233 C236:S236 C239:S239 C242:S242 C245:S245 C248:S248 C251:S251 C254:S254 C257:S257 C260:S260 C263:S263 C266:S266 C269:S269 C272:S272 C275:S275 C278:S278 C281:S281 C284:S284 C287:S287 C290:S290 C293:S293 C296:S296 C299:S299 C302:S302 C305:S305 C308:S308 C311:S311 C314:S314 C317:S317 C320:S320 C323:S323 C326:S326 C329:S329 C332:S332 C335:S335 C338:S338 C341:S341">
    <cfRule type="cellIs" dxfId="10" priority="1" stopIfTrue="1" operator="greaterThanOrEqual">
      <formula>10</formula>
    </cfRule>
    <cfRule type="cellIs" dxfId="9" priority="2" stopIfTrue="1" operator="lessThanOrEqual">
      <formula>-5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sheetPr enableFormatConditionsCalculation="0">
    <tabColor indexed="17"/>
  </sheetPr>
  <dimension ref="A1:V124"/>
  <sheetViews>
    <sheetView showZeros="0" zoomScale="75" zoomScaleNormal="75" workbookViewId="0">
      <pane xSplit="2" ySplit="5" topLeftCell="C93" activePane="bottomRight" state="frozen"/>
      <selection pane="topRight" activeCell="C1" sqref="C1"/>
      <selection pane="bottomLeft" activeCell="A6" sqref="A6"/>
      <selection pane="bottomRight" activeCell="E117" sqref="E117"/>
    </sheetView>
  </sheetViews>
  <sheetFormatPr defaultRowHeight="15.75"/>
  <cols>
    <col min="1" max="1" width="7.125" style="163" customWidth="1"/>
    <col min="2" max="2" width="17.375" style="74" customWidth="1"/>
    <col min="3" max="8" width="11.5" style="81" customWidth="1"/>
    <col min="9" max="9" width="7.5" style="81" customWidth="1"/>
    <col min="10" max="14" width="9.375" style="81" customWidth="1"/>
    <col min="15" max="15" width="7.5" style="81" customWidth="1"/>
    <col min="16" max="18" width="16.75" style="81" customWidth="1"/>
    <col min="19" max="19" width="7.5" style="81" customWidth="1"/>
    <col min="20" max="20" width="9.25" style="81" customWidth="1"/>
    <col min="21" max="21" width="8.5" style="81" bestFit="1" customWidth="1"/>
    <col min="22" max="22" width="10.375" style="81" customWidth="1"/>
  </cols>
  <sheetData>
    <row r="1" spans="1:22">
      <c r="A1" s="170" t="s">
        <v>184</v>
      </c>
    </row>
    <row r="3" spans="1:22">
      <c r="A3" s="488"/>
      <c r="B3" s="489"/>
      <c r="C3" s="490" t="s">
        <v>386</v>
      </c>
      <c r="D3" s="491" t="s">
        <v>430</v>
      </c>
      <c r="E3" s="78"/>
      <c r="F3" s="78"/>
      <c r="G3" s="78"/>
      <c r="H3" s="78"/>
      <c r="I3" s="78"/>
      <c r="J3" s="78"/>
      <c r="K3" s="78"/>
      <c r="L3" s="78"/>
      <c r="M3" s="78"/>
      <c r="N3" s="78"/>
      <c r="O3" s="78"/>
      <c r="P3" s="78"/>
      <c r="Q3" s="78"/>
      <c r="R3" s="78"/>
      <c r="S3" s="78"/>
      <c r="T3" s="202"/>
      <c r="U3"/>
      <c r="V3"/>
    </row>
    <row r="4" spans="1:22">
      <c r="A4" s="492"/>
      <c r="B4" s="493"/>
      <c r="C4" s="77" t="s">
        <v>417</v>
      </c>
      <c r="D4" s="78"/>
      <c r="E4" s="78"/>
      <c r="F4" s="78"/>
      <c r="G4" s="78"/>
      <c r="H4" s="78"/>
      <c r="I4" s="77" t="s">
        <v>336</v>
      </c>
      <c r="J4" s="77" t="s">
        <v>418</v>
      </c>
      <c r="K4" s="78"/>
      <c r="L4" s="78"/>
      <c r="M4" s="78"/>
      <c r="N4" s="78"/>
      <c r="O4" s="77" t="s">
        <v>336</v>
      </c>
      <c r="P4" s="77" t="s">
        <v>387</v>
      </c>
      <c r="Q4" s="78"/>
      <c r="R4" s="78"/>
      <c r="S4" s="77" t="s">
        <v>336</v>
      </c>
      <c r="T4" s="494" t="s">
        <v>341</v>
      </c>
      <c r="U4"/>
      <c r="V4"/>
    </row>
    <row r="5" spans="1:22">
      <c r="A5" s="495" t="s">
        <v>433</v>
      </c>
      <c r="B5" s="490" t="s">
        <v>342</v>
      </c>
      <c r="C5" s="130">
        <v>1</v>
      </c>
      <c r="D5" s="131">
        <v>2</v>
      </c>
      <c r="E5" s="131">
        <v>3</v>
      </c>
      <c r="F5" s="131">
        <v>4</v>
      </c>
      <c r="G5" s="131">
        <v>5</v>
      </c>
      <c r="H5" s="131">
        <v>6</v>
      </c>
      <c r="I5" s="79"/>
      <c r="J5" s="130">
        <v>7</v>
      </c>
      <c r="K5" s="131">
        <v>8</v>
      </c>
      <c r="L5" s="131">
        <v>9</v>
      </c>
      <c r="M5" s="131">
        <v>10</v>
      </c>
      <c r="N5" s="131">
        <v>11</v>
      </c>
      <c r="O5" s="79"/>
      <c r="P5" s="130">
        <v>12</v>
      </c>
      <c r="Q5" s="131">
        <v>13</v>
      </c>
      <c r="R5" s="131">
        <v>14</v>
      </c>
      <c r="S5" s="79"/>
      <c r="T5" s="203"/>
      <c r="U5"/>
      <c r="V5"/>
    </row>
    <row r="6" spans="1:22">
      <c r="A6" s="488" t="s">
        <v>432</v>
      </c>
      <c r="B6" s="77" t="s">
        <v>388</v>
      </c>
      <c r="C6" s="130">
        <v>1010</v>
      </c>
      <c r="D6" s="131">
        <v>75</v>
      </c>
      <c r="E6" s="131">
        <v>324</v>
      </c>
      <c r="F6" s="131">
        <v>179</v>
      </c>
      <c r="G6" s="131">
        <v>49</v>
      </c>
      <c r="H6" s="131">
        <v>21</v>
      </c>
      <c r="I6" s="130">
        <v>1658</v>
      </c>
      <c r="J6" s="130">
        <v>0</v>
      </c>
      <c r="K6" s="131">
        <v>0</v>
      </c>
      <c r="L6" s="131">
        <v>0</v>
      </c>
      <c r="M6" s="131">
        <v>0</v>
      </c>
      <c r="N6" s="131">
        <v>0</v>
      </c>
      <c r="O6" s="130">
        <v>0</v>
      </c>
      <c r="P6" s="130">
        <v>0</v>
      </c>
      <c r="Q6" s="131">
        <v>0</v>
      </c>
      <c r="R6" s="131">
        <v>0</v>
      </c>
      <c r="S6" s="130">
        <v>0</v>
      </c>
      <c r="T6" s="128">
        <v>1658</v>
      </c>
      <c r="U6"/>
      <c r="V6"/>
    </row>
    <row r="7" spans="1:22">
      <c r="A7" s="492"/>
      <c r="B7" s="80" t="s">
        <v>343</v>
      </c>
      <c r="C7" s="453">
        <v>866</v>
      </c>
      <c r="D7" s="496">
        <v>92</v>
      </c>
      <c r="E7" s="496">
        <v>341</v>
      </c>
      <c r="F7" s="496">
        <v>168</v>
      </c>
      <c r="G7" s="496">
        <v>59</v>
      </c>
      <c r="H7" s="496">
        <v>20</v>
      </c>
      <c r="I7" s="453">
        <v>1546</v>
      </c>
      <c r="J7" s="453">
        <v>0</v>
      </c>
      <c r="K7" s="496">
        <v>0</v>
      </c>
      <c r="L7" s="496">
        <v>0</v>
      </c>
      <c r="M7" s="496">
        <v>0</v>
      </c>
      <c r="N7" s="496">
        <v>0</v>
      </c>
      <c r="O7" s="453">
        <v>0</v>
      </c>
      <c r="P7" s="453">
        <v>0</v>
      </c>
      <c r="Q7" s="496">
        <v>0</v>
      </c>
      <c r="R7" s="496">
        <v>0</v>
      </c>
      <c r="S7" s="453">
        <v>0</v>
      </c>
      <c r="T7" s="460">
        <v>1546</v>
      </c>
      <c r="U7"/>
      <c r="V7"/>
    </row>
    <row r="8" spans="1:22">
      <c r="A8" s="492"/>
      <c r="B8" s="80" t="s">
        <v>391</v>
      </c>
      <c r="C8" s="453">
        <v>842</v>
      </c>
      <c r="D8" s="496">
        <v>88</v>
      </c>
      <c r="E8" s="496">
        <v>519</v>
      </c>
      <c r="F8" s="496">
        <v>206</v>
      </c>
      <c r="G8" s="496">
        <v>92</v>
      </c>
      <c r="H8" s="496">
        <v>36</v>
      </c>
      <c r="I8" s="453">
        <v>1783</v>
      </c>
      <c r="J8" s="453">
        <v>0</v>
      </c>
      <c r="K8" s="496">
        <v>0</v>
      </c>
      <c r="L8" s="496">
        <v>0</v>
      </c>
      <c r="M8" s="496">
        <v>0</v>
      </c>
      <c r="N8" s="496">
        <v>0</v>
      </c>
      <c r="O8" s="453">
        <v>0</v>
      </c>
      <c r="P8" s="453">
        <v>0</v>
      </c>
      <c r="Q8" s="496">
        <v>0</v>
      </c>
      <c r="R8" s="496">
        <v>0</v>
      </c>
      <c r="S8" s="453">
        <v>0</v>
      </c>
      <c r="T8" s="460">
        <v>1783</v>
      </c>
      <c r="U8"/>
      <c r="V8"/>
    </row>
    <row r="9" spans="1:22">
      <c r="A9" s="492"/>
      <c r="B9" s="80" t="s">
        <v>393</v>
      </c>
      <c r="C9" s="453">
        <v>345</v>
      </c>
      <c r="D9" s="496">
        <v>7</v>
      </c>
      <c r="E9" s="496">
        <v>297</v>
      </c>
      <c r="F9" s="496">
        <v>105</v>
      </c>
      <c r="G9" s="496">
        <v>28</v>
      </c>
      <c r="H9" s="496">
        <v>3</v>
      </c>
      <c r="I9" s="453">
        <v>785</v>
      </c>
      <c r="J9" s="453">
        <v>0</v>
      </c>
      <c r="K9" s="496">
        <v>0</v>
      </c>
      <c r="L9" s="496">
        <v>0</v>
      </c>
      <c r="M9" s="496">
        <v>0</v>
      </c>
      <c r="N9" s="496">
        <v>0</v>
      </c>
      <c r="O9" s="453">
        <v>0</v>
      </c>
      <c r="P9" s="453">
        <v>0</v>
      </c>
      <c r="Q9" s="496">
        <v>0</v>
      </c>
      <c r="R9" s="496">
        <v>0</v>
      </c>
      <c r="S9" s="453">
        <v>0</v>
      </c>
      <c r="T9" s="460">
        <v>785</v>
      </c>
      <c r="U9"/>
      <c r="V9"/>
    </row>
    <row r="10" spans="1:22">
      <c r="A10" s="492"/>
      <c r="B10" s="80" t="s">
        <v>395</v>
      </c>
      <c r="C10" s="453">
        <v>29</v>
      </c>
      <c r="D10" s="496">
        <v>40</v>
      </c>
      <c r="E10" s="496">
        <v>36</v>
      </c>
      <c r="F10" s="496">
        <v>3</v>
      </c>
      <c r="G10" s="496">
        <v>13</v>
      </c>
      <c r="H10" s="496">
        <v>3</v>
      </c>
      <c r="I10" s="453">
        <v>124</v>
      </c>
      <c r="J10" s="453">
        <v>0</v>
      </c>
      <c r="K10" s="496">
        <v>0</v>
      </c>
      <c r="L10" s="496">
        <v>0</v>
      </c>
      <c r="M10" s="496">
        <v>0</v>
      </c>
      <c r="N10" s="496">
        <v>0</v>
      </c>
      <c r="O10" s="453">
        <v>0</v>
      </c>
      <c r="P10" s="453">
        <v>0</v>
      </c>
      <c r="Q10" s="496">
        <v>0</v>
      </c>
      <c r="R10" s="496">
        <v>0</v>
      </c>
      <c r="S10" s="453">
        <v>0</v>
      </c>
      <c r="T10" s="460">
        <v>124</v>
      </c>
      <c r="U10"/>
      <c r="V10"/>
    </row>
    <row r="11" spans="1:22">
      <c r="A11" s="492"/>
      <c r="B11" s="80" t="s">
        <v>397</v>
      </c>
      <c r="C11" s="453">
        <v>0</v>
      </c>
      <c r="D11" s="496">
        <v>0</v>
      </c>
      <c r="E11" s="496">
        <v>0</v>
      </c>
      <c r="F11" s="496">
        <v>0</v>
      </c>
      <c r="G11" s="496">
        <v>0</v>
      </c>
      <c r="H11" s="496">
        <v>0</v>
      </c>
      <c r="I11" s="453">
        <v>0</v>
      </c>
      <c r="J11" s="453">
        <v>0</v>
      </c>
      <c r="K11" s="496">
        <v>292</v>
      </c>
      <c r="L11" s="496">
        <v>1044</v>
      </c>
      <c r="M11" s="496">
        <v>426</v>
      </c>
      <c r="N11" s="496">
        <v>0</v>
      </c>
      <c r="O11" s="453">
        <v>1762</v>
      </c>
      <c r="P11" s="453">
        <v>66</v>
      </c>
      <c r="Q11" s="496">
        <v>89</v>
      </c>
      <c r="R11" s="496">
        <v>0</v>
      </c>
      <c r="S11" s="453">
        <v>155</v>
      </c>
      <c r="T11" s="460">
        <v>1917</v>
      </c>
      <c r="U11"/>
      <c r="V11"/>
    </row>
    <row r="12" spans="1:22">
      <c r="A12" s="492"/>
      <c r="B12" s="80" t="s">
        <v>399</v>
      </c>
      <c r="C12" s="497">
        <v>3092</v>
      </c>
      <c r="D12" s="498">
        <v>302</v>
      </c>
      <c r="E12" s="498">
        <v>1517</v>
      </c>
      <c r="F12" s="498">
        <v>661</v>
      </c>
      <c r="G12" s="498">
        <v>241</v>
      </c>
      <c r="H12" s="498">
        <v>83</v>
      </c>
      <c r="I12" s="497">
        <v>5896</v>
      </c>
      <c r="J12" s="497">
        <v>0</v>
      </c>
      <c r="K12" s="498">
        <v>292</v>
      </c>
      <c r="L12" s="498">
        <v>1044</v>
      </c>
      <c r="M12" s="498">
        <v>426</v>
      </c>
      <c r="N12" s="498">
        <v>0</v>
      </c>
      <c r="O12" s="497">
        <v>1762</v>
      </c>
      <c r="P12" s="497">
        <v>66</v>
      </c>
      <c r="Q12" s="498">
        <v>89</v>
      </c>
      <c r="R12" s="498">
        <v>0</v>
      </c>
      <c r="S12" s="497">
        <v>155</v>
      </c>
      <c r="T12" s="500">
        <v>7813</v>
      </c>
      <c r="U12"/>
      <c r="V12"/>
    </row>
    <row r="13" spans="1:22">
      <c r="A13" s="488" t="s">
        <v>441</v>
      </c>
      <c r="B13" s="77" t="s">
        <v>388</v>
      </c>
      <c r="C13" s="130">
        <v>351</v>
      </c>
      <c r="D13" s="131">
        <v>0</v>
      </c>
      <c r="E13" s="131">
        <v>337</v>
      </c>
      <c r="F13" s="131">
        <v>103</v>
      </c>
      <c r="G13" s="131">
        <v>43</v>
      </c>
      <c r="H13" s="131">
        <v>42</v>
      </c>
      <c r="I13" s="130">
        <v>876</v>
      </c>
      <c r="J13" s="130">
        <v>0</v>
      </c>
      <c r="K13" s="131">
        <v>0</v>
      </c>
      <c r="L13" s="131">
        <v>5</v>
      </c>
      <c r="M13" s="131">
        <v>0</v>
      </c>
      <c r="N13" s="131">
        <v>0</v>
      </c>
      <c r="O13" s="130">
        <v>5</v>
      </c>
      <c r="P13" s="130">
        <v>0</v>
      </c>
      <c r="Q13" s="131">
        <v>0</v>
      </c>
      <c r="R13" s="131">
        <v>0</v>
      </c>
      <c r="S13" s="130">
        <v>0</v>
      </c>
      <c r="T13" s="128">
        <v>881</v>
      </c>
      <c r="U13"/>
      <c r="V13"/>
    </row>
    <row r="14" spans="1:22">
      <c r="A14" s="492"/>
      <c r="B14" s="80" t="s">
        <v>343</v>
      </c>
      <c r="C14" s="453">
        <v>219</v>
      </c>
      <c r="D14" s="496">
        <v>0</v>
      </c>
      <c r="E14" s="496">
        <v>329</v>
      </c>
      <c r="F14" s="496">
        <v>105</v>
      </c>
      <c r="G14" s="496">
        <v>61</v>
      </c>
      <c r="H14" s="496">
        <v>72</v>
      </c>
      <c r="I14" s="453">
        <v>786</v>
      </c>
      <c r="J14" s="453">
        <v>0</v>
      </c>
      <c r="K14" s="496">
        <v>0</v>
      </c>
      <c r="L14" s="496">
        <v>11</v>
      </c>
      <c r="M14" s="496">
        <v>0</v>
      </c>
      <c r="N14" s="496">
        <v>0</v>
      </c>
      <c r="O14" s="453">
        <v>11</v>
      </c>
      <c r="P14" s="453">
        <v>0</v>
      </c>
      <c r="Q14" s="496">
        <v>0</v>
      </c>
      <c r="R14" s="496">
        <v>0</v>
      </c>
      <c r="S14" s="453">
        <v>0</v>
      </c>
      <c r="T14" s="460">
        <v>797</v>
      </c>
      <c r="U14"/>
      <c r="V14"/>
    </row>
    <row r="15" spans="1:22">
      <c r="A15" s="492"/>
      <c r="B15" s="80" t="s">
        <v>391</v>
      </c>
      <c r="C15" s="453">
        <v>164.00065779856746</v>
      </c>
      <c r="D15" s="496">
        <v>0</v>
      </c>
      <c r="E15" s="496">
        <v>431.99910325782923</v>
      </c>
      <c r="F15" s="496">
        <v>148.99960788223353</v>
      </c>
      <c r="G15" s="496">
        <v>99.000323587195197</v>
      </c>
      <c r="H15" s="496">
        <v>147.00000786955428</v>
      </c>
      <c r="I15" s="453">
        <v>990.9997003953797</v>
      </c>
      <c r="J15" s="453">
        <v>0</v>
      </c>
      <c r="K15" s="496">
        <v>0</v>
      </c>
      <c r="L15" s="496">
        <v>34.999891065164817</v>
      </c>
      <c r="M15" s="496">
        <v>33.00011891201877</v>
      </c>
      <c r="N15" s="496">
        <v>0</v>
      </c>
      <c r="O15" s="453">
        <v>68.000009977183595</v>
      </c>
      <c r="P15" s="453">
        <v>0</v>
      </c>
      <c r="Q15" s="496">
        <v>0</v>
      </c>
      <c r="R15" s="496">
        <v>0</v>
      </c>
      <c r="S15" s="453">
        <v>0</v>
      </c>
      <c r="T15" s="460">
        <v>1058.9997103725632</v>
      </c>
      <c r="U15"/>
      <c r="V15"/>
    </row>
    <row r="16" spans="1:22">
      <c r="A16" s="492"/>
      <c r="B16" s="80" t="s">
        <v>393</v>
      </c>
      <c r="C16" s="453">
        <v>115</v>
      </c>
      <c r="D16" s="496">
        <v>0</v>
      </c>
      <c r="E16" s="496">
        <v>342</v>
      </c>
      <c r="F16" s="496">
        <v>65</v>
      </c>
      <c r="G16" s="496">
        <v>72</v>
      </c>
      <c r="H16" s="496">
        <v>110</v>
      </c>
      <c r="I16" s="453">
        <v>704</v>
      </c>
      <c r="J16" s="453">
        <v>0</v>
      </c>
      <c r="K16" s="496">
        <v>0</v>
      </c>
      <c r="L16" s="496">
        <v>70</v>
      </c>
      <c r="M16" s="496">
        <v>82</v>
      </c>
      <c r="N16" s="496">
        <v>0</v>
      </c>
      <c r="O16" s="453">
        <v>152</v>
      </c>
      <c r="P16" s="453">
        <v>0</v>
      </c>
      <c r="Q16" s="496">
        <v>0</v>
      </c>
      <c r="R16" s="496">
        <v>0</v>
      </c>
      <c r="S16" s="453">
        <v>0</v>
      </c>
      <c r="T16" s="460">
        <v>856</v>
      </c>
      <c r="U16"/>
      <c r="V16"/>
    </row>
    <row r="17" spans="1:22">
      <c r="A17" s="492"/>
      <c r="B17" s="80" t="s">
        <v>395</v>
      </c>
      <c r="C17" s="453">
        <v>0</v>
      </c>
      <c r="D17" s="496">
        <v>0</v>
      </c>
      <c r="E17" s="496">
        <v>10</v>
      </c>
      <c r="F17" s="496">
        <v>36</v>
      </c>
      <c r="G17" s="496">
        <v>27</v>
      </c>
      <c r="H17" s="496">
        <v>11</v>
      </c>
      <c r="I17" s="453">
        <v>84</v>
      </c>
      <c r="J17" s="453">
        <v>0</v>
      </c>
      <c r="K17" s="496">
        <v>0</v>
      </c>
      <c r="L17" s="496">
        <v>0</v>
      </c>
      <c r="M17" s="496">
        <v>369</v>
      </c>
      <c r="N17" s="496">
        <v>0</v>
      </c>
      <c r="O17" s="453">
        <v>369</v>
      </c>
      <c r="P17" s="453">
        <v>0</v>
      </c>
      <c r="Q17" s="496">
        <v>0</v>
      </c>
      <c r="R17" s="496">
        <v>0</v>
      </c>
      <c r="S17" s="453">
        <v>0</v>
      </c>
      <c r="T17" s="460">
        <v>453</v>
      </c>
      <c r="U17"/>
      <c r="V17"/>
    </row>
    <row r="18" spans="1:22">
      <c r="A18" s="492"/>
      <c r="B18" s="80" t="s">
        <v>397</v>
      </c>
      <c r="C18" s="453">
        <v>0</v>
      </c>
      <c r="D18" s="496">
        <v>0</v>
      </c>
      <c r="E18" s="496">
        <v>0</v>
      </c>
      <c r="F18" s="496">
        <v>0</v>
      </c>
      <c r="G18" s="496">
        <v>0</v>
      </c>
      <c r="H18" s="496">
        <v>0</v>
      </c>
      <c r="I18" s="453">
        <v>0</v>
      </c>
      <c r="J18" s="453">
        <v>0</v>
      </c>
      <c r="K18" s="496">
        <v>151</v>
      </c>
      <c r="L18" s="496">
        <v>132</v>
      </c>
      <c r="M18" s="496">
        <v>491</v>
      </c>
      <c r="N18" s="496">
        <v>0</v>
      </c>
      <c r="O18" s="453">
        <v>774</v>
      </c>
      <c r="P18" s="453">
        <v>0</v>
      </c>
      <c r="Q18" s="496">
        <v>0</v>
      </c>
      <c r="R18" s="496">
        <v>0</v>
      </c>
      <c r="S18" s="453">
        <v>0</v>
      </c>
      <c r="T18" s="460">
        <v>774</v>
      </c>
      <c r="U18"/>
      <c r="V18"/>
    </row>
    <row r="19" spans="1:22">
      <c r="A19" s="492"/>
      <c r="B19" s="80" t="s">
        <v>399</v>
      </c>
      <c r="C19" s="453">
        <v>849.00065779856743</v>
      </c>
      <c r="D19" s="496">
        <v>0</v>
      </c>
      <c r="E19" s="496">
        <v>1449.9991032578291</v>
      </c>
      <c r="F19" s="496">
        <v>457.99960788223353</v>
      </c>
      <c r="G19" s="496">
        <v>302.00032358719523</v>
      </c>
      <c r="H19" s="496">
        <v>382.00000786955428</v>
      </c>
      <c r="I19" s="453">
        <v>3440.9997003953795</v>
      </c>
      <c r="J19" s="453">
        <v>0</v>
      </c>
      <c r="K19" s="496">
        <v>151</v>
      </c>
      <c r="L19" s="496">
        <v>252.99989106516483</v>
      </c>
      <c r="M19" s="496">
        <v>975.00011891201871</v>
      </c>
      <c r="N19" s="496">
        <v>0</v>
      </c>
      <c r="O19" s="453">
        <v>1379.0000099771837</v>
      </c>
      <c r="P19" s="453">
        <v>0</v>
      </c>
      <c r="Q19" s="496">
        <v>0</v>
      </c>
      <c r="R19" s="496">
        <v>0</v>
      </c>
      <c r="S19" s="453">
        <v>0</v>
      </c>
      <c r="T19" s="460">
        <v>4819.9997103725636</v>
      </c>
      <c r="U19"/>
      <c r="V19"/>
    </row>
    <row r="20" spans="1:22">
      <c r="A20" s="488" t="s">
        <v>442</v>
      </c>
      <c r="B20" s="77" t="s">
        <v>388</v>
      </c>
      <c r="C20" s="130">
        <v>382</v>
      </c>
      <c r="D20" s="131">
        <v>0</v>
      </c>
      <c r="E20" s="131">
        <v>0</v>
      </c>
      <c r="F20" s="131">
        <v>39</v>
      </c>
      <c r="G20" s="131">
        <v>0</v>
      </c>
      <c r="H20" s="131">
        <v>0</v>
      </c>
      <c r="I20" s="130">
        <v>421</v>
      </c>
      <c r="J20" s="130">
        <v>0</v>
      </c>
      <c r="K20" s="131">
        <v>0</v>
      </c>
      <c r="L20" s="131">
        <v>0</v>
      </c>
      <c r="M20" s="131">
        <v>0</v>
      </c>
      <c r="N20" s="131">
        <v>0</v>
      </c>
      <c r="O20" s="130">
        <v>0</v>
      </c>
      <c r="P20" s="130">
        <v>0</v>
      </c>
      <c r="Q20" s="131">
        <v>0</v>
      </c>
      <c r="R20" s="131">
        <v>0</v>
      </c>
      <c r="S20" s="130">
        <v>0</v>
      </c>
      <c r="T20" s="128">
        <v>421</v>
      </c>
      <c r="U20"/>
      <c r="V20"/>
    </row>
    <row r="21" spans="1:22">
      <c r="A21" s="492"/>
      <c r="B21" s="80" t="s">
        <v>343</v>
      </c>
      <c r="C21" s="453">
        <v>328</v>
      </c>
      <c r="D21" s="496">
        <v>0</v>
      </c>
      <c r="E21" s="496">
        <v>0</v>
      </c>
      <c r="F21" s="496">
        <v>85</v>
      </c>
      <c r="G21" s="496">
        <v>0</v>
      </c>
      <c r="H21" s="496">
        <v>0</v>
      </c>
      <c r="I21" s="453">
        <v>413</v>
      </c>
      <c r="J21" s="453">
        <v>0</v>
      </c>
      <c r="K21" s="496">
        <v>0</v>
      </c>
      <c r="L21" s="496">
        <v>0</v>
      </c>
      <c r="M21" s="496">
        <v>0</v>
      </c>
      <c r="N21" s="496">
        <v>0</v>
      </c>
      <c r="O21" s="453">
        <v>0</v>
      </c>
      <c r="P21" s="453">
        <v>0</v>
      </c>
      <c r="Q21" s="496">
        <v>0</v>
      </c>
      <c r="R21" s="496">
        <v>0</v>
      </c>
      <c r="S21" s="453">
        <v>0</v>
      </c>
      <c r="T21" s="460">
        <v>413</v>
      </c>
      <c r="U21"/>
      <c r="V21"/>
    </row>
    <row r="22" spans="1:22">
      <c r="A22" s="492"/>
      <c r="B22" s="80" t="s">
        <v>391</v>
      </c>
      <c r="C22" s="453">
        <v>302</v>
      </c>
      <c r="D22" s="496">
        <v>0</v>
      </c>
      <c r="E22" s="496">
        <v>0</v>
      </c>
      <c r="F22" s="496">
        <v>61</v>
      </c>
      <c r="G22" s="496">
        <v>0</v>
      </c>
      <c r="H22" s="496">
        <v>0</v>
      </c>
      <c r="I22" s="453">
        <v>363</v>
      </c>
      <c r="J22" s="453">
        <v>0</v>
      </c>
      <c r="K22" s="496">
        <v>0</v>
      </c>
      <c r="L22" s="496">
        <v>0</v>
      </c>
      <c r="M22" s="496">
        <v>0</v>
      </c>
      <c r="N22" s="496">
        <v>0</v>
      </c>
      <c r="O22" s="453">
        <v>0</v>
      </c>
      <c r="P22" s="453">
        <v>0</v>
      </c>
      <c r="Q22" s="496">
        <v>0</v>
      </c>
      <c r="R22" s="496">
        <v>0</v>
      </c>
      <c r="S22" s="453">
        <v>0</v>
      </c>
      <c r="T22" s="460">
        <v>363</v>
      </c>
      <c r="U22"/>
      <c r="V22"/>
    </row>
    <row r="23" spans="1:22">
      <c r="A23" s="492"/>
      <c r="B23" s="80" t="s">
        <v>393</v>
      </c>
      <c r="C23" s="453">
        <v>105</v>
      </c>
      <c r="D23" s="496">
        <v>0</v>
      </c>
      <c r="E23" s="496">
        <v>0</v>
      </c>
      <c r="F23" s="496">
        <v>7</v>
      </c>
      <c r="G23" s="496">
        <v>0</v>
      </c>
      <c r="H23" s="496">
        <v>0</v>
      </c>
      <c r="I23" s="453">
        <v>112</v>
      </c>
      <c r="J23" s="453">
        <v>0</v>
      </c>
      <c r="K23" s="496">
        <v>0</v>
      </c>
      <c r="L23" s="496">
        <v>0</v>
      </c>
      <c r="M23" s="496">
        <v>0</v>
      </c>
      <c r="N23" s="496">
        <v>0</v>
      </c>
      <c r="O23" s="453">
        <v>0</v>
      </c>
      <c r="P23" s="453">
        <v>0</v>
      </c>
      <c r="Q23" s="496">
        <v>0</v>
      </c>
      <c r="R23" s="496">
        <v>0</v>
      </c>
      <c r="S23" s="453">
        <v>0</v>
      </c>
      <c r="T23" s="460">
        <v>112</v>
      </c>
      <c r="U23"/>
      <c r="V23"/>
    </row>
    <row r="24" spans="1:22">
      <c r="A24" s="492"/>
      <c r="B24" s="80" t="s">
        <v>395</v>
      </c>
      <c r="C24" s="453">
        <v>0</v>
      </c>
      <c r="D24" s="496">
        <v>0</v>
      </c>
      <c r="E24" s="496">
        <v>0</v>
      </c>
      <c r="F24" s="496">
        <v>1</v>
      </c>
      <c r="G24" s="496">
        <v>0</v>
      </c>
      <c r="H24" s="496">
        <v>0</v>
      </c>
      <c r="I24" s="453">
        <v>1</v>
      </c>
      <c r="J24" s="453">
        <v>0</v>
      </c>
      <c r="K24" s="496">
        <v>0</v>
      </c>
      <c r="L24" s="496">
        <v>0</v>
      </c>
      <c r="M24" s="496">
        <v>0</v>
      </c>
      <c r="N24" s="496">
        <v>0</v>
      </c>
      <c r="O24" s="453">
        <v>0</v>
      </c>
      <c r="P24" s="453">
        <v>0</v>
      </c>
      <c r="Q24" s="496">
        <v>0</v>
      </c>
      <c r="R24" s="496">
        <v>0</v>
      </c>
      <c r="S24" s="453">
        <v>0</v>
      </c>
      <c r="T24" s="460">
        <v>1</v>
      </c>
      <c r="U24"/>
      <c r="V24"/>
    </row>
    <row r="25" spans="1:22">
      <c r="A25" s="492"/>
      <c r="B25" s="80" t="s">
        <v>397</v>
      </c>
      <c r="C25" s="453">
        <v>0</v>
      </c>
      <c r="D25" s="496">
        <v>0</v>
      </c>
      <c r="E25" s="496">
        <v>0</v>
      </c>
      <c r="F25" s="496">
        <v>0</v>
      </c>
      <c r="G25" s="496">
        <v>0</v>
      </c>
      <c r="H25" s="496">
        <v>0</v>
      </c>
      <c r="I25" s="453">
        <v>0</v>
      </c>
      <c r="J25" s="453">
        <v>0</v>
      </c>
      <c r="K25" s="496">
        <v>0</v>
      </c>
      <c r="L25" s="496">
        <v>292</v>
      </c>
      <c r="M25" s="496">
        <v>81</v>
      </c>
      <c r="N25" s="496">
        <v>0</v>
      </c>
      <c r="O25" s="453">
        <v>373</v>
      </c>
      <c r="P25" s="453">
        <v>0</v>
      </c>
      <c r="Q25" s="496">
        <v>0</v>
      </c>
      <c r="R25" s="496">
        <v>0</v>
      </c>
      <c r="S25" s="453">
        <v>0</v>
      </c>
      <c r="T25" s="460">
        <v>373</v>
      </c>
      <c r="U25"/>
      <c r="V25"/>
    </row>
    <row r="26" spans="1:22">
      <c r="A26" s="492"/>
      <c r="B26" s="80" t="s">
        <v>399</v>
      </c>
      <c r="C26" s="453">
        <v>1117</v>
      </c>
      <c r="D26" s="496">
        <v>0</v>
      </c>
      <c r="E26" s="496">
        <v>0</v>
      </c>
      <c r="F26" s="496">
        <v>193</v>
      </c>
      <c r="G26" s="496">
        <v>0</v>
      </c>
      <c r="H26" s="496">
        <v>0</v>
      </c>
      <c r="I26" s="453">
        <v>1310</v>
      </c>
      <c r="J26" s="453">
        <v>0</v>
      </c>
      <c r="K26" s="496">
        <v>0</v>
      </c>
      <c r="L26" s="496">
        <v>292</v>
      </c>
      <c r="M26" s="496">
        <v>81</v>
      </c>
      <c r="N26" s="496">
        <v>0</v>
      </c>
      <c r="O26" s="453">
        <v>373</v>
      </c>
      <c r="P26" s="453">
        <v>0</v>
      </c>
      <c r="Q26" s="496">
        <v>0</v>
      </c>
      <c r="R26" s="496">
        <v>0</v>
      </c>
      <c r="S26" s="453">
        <v>0</v>
      </c>
      <c r="T26" s="460">
        <v>1683</v>
      </c>
      <c r="U26"/>
      <c r="V26"/>
    </row>
    <row r="27" spans="1:22">
      <c r="A27" s="488" t="s">
        <v>450</v>
      </c>
      <c r="B27" s="77" t="s">
        <v>388</v>
      </c>
      <c r="C27" s="130">
        <v>1709</v>
      </c>
      <c r="D27" s="131">
        <v>436</v>
      </c>
      <c r="E27" s="131">
        <v>332</v>
      </c>
      <c r="F27" s="131">
        <v>49</v>
      </c>
      <c r="G27" s="131">
        <v>0</v>
      </c>
      <c r="H27" s="131">
        <v>19</v>
      </c>
      <c r="I27" s="130">
        <v>2545</v>
      </c>
      <c r="J27" s="130">
        <v>0</v>
      </c>
      <c r="K27" s="131">
        <v>0</v>
      </c>
      <c r="L27" s="131">
        <v>0</v>
      </c>
      <c r="M27" s="131">
        <v>0</v>
      </c>
      <c r="N27" s="131">
        <v>0</v>
      </c>
      <c r="O27" s="130">
        <v>0</v>
      </c>
      <c r="P27" s="130">
        <v>0</v>
      </c>
      <c r="Q27" s="131">
        <v>0</v>
      </c>
      <c r="R27" s="131">
        <v>0</v>
      </c>
      <c r="S27" s="130">
        <v>0</v>
      </c>
      <c r="T27" s="128">
        <v>2545</v>
      </c>
      <c r="U27"/>
      <c r="V27"/>
    </row>
    <row r="28" spans="1:22">
      <c r="A28" s="492"/>
      <c r="B28" s="80" t="s">
        <v>343</v>
      </c>
      <c r="C28" s="453">
        <v>1556</v>
      </c>
      <c r="D28" s="496">
        <v>544</v>
      </c>
      <c r="E28" s="496">
        <v>461</v>
      </c>
      <c r="F28" s="496">
        <v>79</v>
      </c>
      <c r="G28" s="496">
        <v>0</v>
      </c>
      <c r="H28" s="496">
        <v>28</v>
      </c>
      <c r="I28" s="453">
        <v>2668</v>
      </c>
      <c r="J28" s="453">
        <v>0</v>
      </c>
      <c r="K28" s="496">
        <v>0</v>
      </c>
      <c r="L28" s="496">
        <v>0</v>
      </c>
      <c r="M28" s="496">
        <v>0</v>
      </c>
      <c r="N28" s="496">
        <v>0</v>
      </c>
      <c r="O28" s="453">
        <v>0</v>
      </c>
      <c r="P28" s="453">
        <v>0</v>
      </c>
      <c r="Q28" s="496">
        <v>0</v>
      </c>
      <c r="R28" s="496">
        <v>0</v>
      </c>
      <c r="S28" s="453">
        <v>0</v>
      </c>
      <c r="T28" s="460">
        <v>2668</v>
      </c>
      <c r="U28"/>
      <c r="V28"/>
    </row>
    <row r="29" spans="1:22">
      <c r="A29" s="492"/>
      <c r="B29" s="80" t="s">
        <v>391</v>
      </c>
      <c r="C29" s="453">
        <v>1448</v>
      </c>
      <c r="D29" s="496">
        <v>516</v>
      </c>
      <c r="E29" s="496">
        <v>500</v>
      </c>
      <c r="F29" s="496">
        <v>94</v>
      </c>
      <c r="G29" s="496">
        <v>0</v>
      </c>
      <c r="H29" s="496">
        <v>25</v>
      </c>
      <c r="I29" s="453">
        <v>2583</v>
      </c>
      <c r="J29" s="453">
        <v>0</v>
      </c>
      <c r="K29" s="496">
        <v>0</v>
      </c>
      <c r="L29" s="496">
        <v>0</v>
      </c>
      <c r="M29" s="496">
        <v>0</v>
      </c>
      <c r="N29" s="496">
        <v>0</v>
      </c>
      <c r="O29" s="453">
        <v>0</v>
      </c>
      <c r="P29" s="453">
        <v>0</v>
      </c>
      <c r="Q29" s="496">
        <v>0</v>
      </c>
      <c r="R29" s="496">
        <v>0</v>
      </c>
      <c r="S29" s="453">
        <v>0</v>
      </c>
      <c r="T29" s="460">
        <v>2583</v>
      </c>
      <c r="U29"/>
      <c r="V29"/>
    </row>
    <row r="30" spans="1:22">
      <c r="A30" s="492"/>
      <c r="B30" s="80" t="s">
        <v>393</v>
      </c>
      <c r="C30" s="453">
        <v>484</v>
      </c>
      <c r="D30" s="496">
        <v>342</v>
      </c>
      <c r="E30" s="496">
        <v>241</v>
      </c>
      <c r="F30" s="496">
        <v>59</v>
      </c>
      <c r="G30" s="496">
        <v>0</v>
      </c>
      <c r="H30" s="496">
        <v>1</v>
      </c>
      <c r="I30" s="453">
        <v>1127</v>
      </c>
      <c r="J30" s="453">
        <v>0</v>
      </c>
      <c r="K30" s="496">
        <v>0</v>
      </c>
      <c r="L30" s="496">
        <v>0</v>
      </c>
      <c r="M30" s="496">
        <v>0</v>
      </c>
      <c r="N30" s="496">
        <v>0</v>
      </c>
      <c r="O30" s="453">
        <v>0</v>
      </c>
      <c r="P30" s="453">
        <v>0</v>
      </c>
      <c r="Q30" s="496">
        <v>0</v>
      </c>
      <c r="R30" s="496">
        <v>0</v>
      </c>
      <c r="S30" s="453">
        <v>0</v>
      </c>
      <c r="T30" s="460">
        <v>1127</v>
      </c>
      <c r="U30"/>
      <c r="V30"/>
    </row>
    <row r="31" spans="1:22">
      <c r="A31" s="492"/>
      <c r="B31" s="80" t="s">
        <v>395</v>
      </c>
      <c r="C31" s="453">
        <v>440</v>
      </c>
      <c r="D31" s="496">
        <v>57</v>
      </c>
      <c r="E31" s="496">
        <v>64</v>
      </c>
      <c r="F31" s="496">
        <v>0</v>
      </c>
      <c r="G31" s="496">
        <v>0</v>
      </c>
      <c r="H31" s="496">
        <v>0</v>
      </c>
      <c r="I31" s="453">
        <v>561</v>
      </c>
      <c r="J31" s="453">
        <v>0</v>
      </c>
      <c r="K31" s="496">
        <v>0</v>
      </c>
      <c r="L31" s="496">
        <v>0</v>
      </c>
      <c r="M31" s="496">
        <v>0</v>
      </c>
      <c r="N31" s="496">
        <v>0</v>
      </c>
      <c r="O31" s="453">
        <v>0</v>
      </c>
      <c r="P31" s="453">
        <v>0</v>
      </c>
      <c r="Q31" s="496">
        <v>0</v>
      </c>
      <c r="R31" s="496">
        <v>0</v>
      </c>
      <c r="S31" s="453">
        <v>0</v>
      </c>
      <c r="T31" s="460">
        <v>561</v>
      </c>
      <c r="U31"/>
      <c r="V31"/>
    </row>
    <row r="32" spans="1:22">
      <c r="A32" s="492"/>
      <c r="B32" s="80" t="s">
        <v>397</v>
      </c>
      <c r="C32" s="453">
        <v>0</v>
      </c>
      <c r="D32" s="496">
        <v>0</v>
      </c>
      <c r="E32" s="496">
        <v>0</v>
      </c>
      <c r="F32" s="496">
        <v>0</v>
      </c>
      <c r="G32" s="496">
        <v>0</v>
      </c>
      <c r="H32" s="496">
        <v>0</v>
      </c>
      <c r="I32" s="453">
        <v>0</v>
      </c>
      <c r="J32" s="453">
        <v>1137</v>
      </c>
      <c r="K32" s="496">
        <v>3479</v>
      </c>
      <c r="L32" s="496">
        <v>656</v>
      </c>
      <c r="M32" s="496">
        <v>56</v>
      </c>
      <c r="N32" s="496">
        <v>0</v>
      </c>
      <c r="O32" s="453">
        <v>5328</v>
      </c>
      <c r="P32" s="453">
        <v>0</v>
      </c>
      <c r="Q32" s="496">
        <v>0</v>
      </c>
      <c r="R32" s="496">
        <v>0</v>
      </c>
      <c r="S32" s="453">
        <v>0</v>
      </c>
      <c r="T32" s="460">
        <v>5328</v>
      </c>
      <c r="U32"/>
      <c r="V32"/>
    </row>
    <row r="33" spans="1:22">
      <c r="A33" s="492"/>
      <c r="B33" s="80" t="s">
        <v>399</v>
      </c>
      <c r="C33" s="453">
        <v>5637</v>
      </c>
      <c r="D33" s="496">
        <v>1895</v>
      </c>
      <c r="E33" s="496">
        <v>1598</v>
      </c>
      <c r="F33" s="496">
        <v>281</v>
      </c>
      <c r="G33" s="496">
        <v>0</v>
      </c>
      <c r="H33" s="496">
        <v>73</v>
      </c>
      <c r="I33" s="453">
        <v>9484</v>
      </c>
      <c r="J33" s="453">
        <v>1137</v>
      </c>
      <c r="K33" s="496">
        <v>3479</v>
      </c>
      <c r="L33" s="496">
        <v>656</v>
      </c>
      <c r="M33" s="496">
        <v>56</v>
      </c>
      <c r="N33" s="496">
        <v>0</v>
      </c>
      <c r="O33" s="453">
        <v>5328</v>
      </c>
      <c r="P33" s="453">
        <v>0</v>
      </c>
      <c r="Q33" s="496">
        <v>0</v>
      </c>
      <c r="R33" s="496">
        <v>0</v>
      </c>
      <c r="S33" s="453">
        <v>0</v>
      </c>
      <c r="T33" s="460">
        <v>14812</v>
      </c>
      <c r="U33"/>
      <c r="V33"/>
    </row>
    <row r="34" spans="1:22">
      <c r="A34" s="488" t="s">
        <v>448</v>
      </c>
      <c r="B34" s="77" t="s">
        <v>388</v>
      </c>
      <c r="C34" s="130">
        <v>943</v>
      </c>
      <c r="D34" s="131">
        <v>415</v>
      </c>
      <c r="E34" s="131">
        <v>361</v>
      </c>
      <c r="F34" s="131">
        <v>339</v>
      </c>
      <c r="G34" s="131">
        <v>157</v>
      </c>
      <c r="H34" s="131">
        <v>48</v>
      </c>
      <c r="I34" s="130">
        <v>2263</v>
      </c>
      <c r="J34" s="130">
        <v>17</v>
      </c>
      <c r="K34" s="131">
        <v>40</v>
      </c>
      <c r="L34" s="131">
        <v>120</v>
      </c>
      <c r="M34" s="131">
        <v>18</v>
      </c>
      <c r="N34" s="131">
        <v>0</v>
      </c>
      <c r="O34" s="130">
        <v>195</v>
      </c>
      <c r="P34" s="130">
        <v>0</v>
      </c>
      <c r="Q34" s="131">
        <v>0</v>
      </c>
      <c r="R34" s="131">
        <v>0</v>
      </c>
      <c r="S34" s="130">
        <v>0</v>
      </c>
      <c r="T34" s="128">
        <v>2458</v>
      </c>
      <c r="U34"/>
      <c r="V34"/>
    </row>
    <row r="35" spans="1:22">
      <c r="A35" s="492"/>
      <c r="B35" s="80" t="s">
        <v>343</v>
      </c>
      <c r="C35" s="453">
        <v>835</v>
      </c>
      <c r="D35" s="496">
        <v>243</v>
      </c>
      <c r="E35" s="496">
        <v>383</v>
      </c>
      <c r="F35" s="496">
        <v>388</v>
      </c>
      <c r="G35" s="496">
        <v>195</v>
      </c>
      <c r="H35" s="496">
        <v>99</v>
      </c>
      <c r="I35" s="453">
        <v>2143</v>
      </c>
      <c r="J35" s="453">
        <v>51</v>
      </c>
      <c r="K35" s="496">
        <v>142</v>
      </c>
      <c r="L35" s="496">
        <v>179</v>
      </c>
      <c r="M35" s="496">
        <v>42</v>
      </c>
      <c r="N35" s="496">
        <v>0</v>
      </c>
      <c r="O35" s="453">
        <v>414</v>
      </c>
      <c r="P35" s="453">
        <v>0</v>
      </c>
      <c r="Q35" s="496">
        <v>0</v>
      </c>
      <c r="R35" s="496">
        <v>0</v>
      </c>
      <c r="S35" s="453">
        <v>0</v>
      </c>
      <c r="T35" s="460">
        <v>2557</v>
      </c>
      <c r="U35"/>
      <c r="V35"/>
    </row>
    <row r="36" spans="1:22">
      <c r="A36" s="492"/>
      <c r="B36" s="80" t="s">
        <v>391</v>
      </c>
      <c r="C36" s="453">
        <v>725</v>
      </c>
      <c r="D36" s="496">
        <v>242</v>
      </c>
      <c r="E36" s="496">
        <v>543</v>
      </c>
      <c r="F36" s="496">
        <v>640</v>
      </c>
      <c r="G36" s="496">
        <v>329</v>
      </c>
      <c r="H36" s="496">
        <v>204</v>
      </c>
      <c r="I36" s="453">
        <v>2683</v>
      </c>
      <c r="J36" s="453">
        <v>52</v>
      </c>
      <c r="K36" s="496">
        <v>109</v>
      </c>
      <c r="L36" s="496">
        <v>329</v>
      </c>
      <c r="M36" s="496">
        <v>56</v>
      </c>
      <c r="N36" s="496">
        <v>0</v>
      </c>
      <c r="O36" s="453">
        <v>546</v>
      </c>
      <c r="P36" s="453">
        <v>0</v>
      </c>
      <c r="Q36" s="496">
        <v>0</v>
      </c>
      <c r="R36" s="496">
        <v>0</v>
      </c>
      <c r="S36" s="453">
        <v>0</v>
      </c>
      <c r="T36" s="460">
        <v>3229</v>
      </c>
      <c r="U36"/>
      <c r="V36"/>
    </row>
    <row r="37" spans="1:22">
      <c r="A37" s="492"/>
      <c r="B37" s="80" t="s">
        <v>393</v>
      </c>
      <c r="C37" s="453">
        <v>114</v>
      </c>
      <c r="D37" s="496">
        <v>14</v>
      </c>
      <c r="E37" s="496">
        <v>245</v>
      </c>
      <c r="F37" s="496">
        <v>83</v>
      </c>
      <c r="G37" s="496">
        <v>90</v>
      </c>
      <c r="H37" s="496">
        <v>25</v>
      </c>
      <c r="I37" s="453">
        <v>571</v>
      </c>
      <c r="J37" s="453">
        <v>20</v>
      </c>
      <c r="K37" s="496">
        <v>189</v>
      </c>
      <c r="L37" s="496">
        <v>191</v>
      </c>
      <c r="M37" s="496">
        <v>49</v>
      </c>
      <c r="N37" s="496">
        <v>0</v>
      </c>
      <c r="O37" s="453">
        <v>449</v>
      </c>
      <c r="P37" s="453">
        <v>0</v>
      </c>
      <c r="Q37" s="496">
        <v>0</v>
      </c>
      <c r="R37" s="496">
        <v>0</v>
      </c>
      <c r="S37" s="453">
        <v>0</v>
      </c>
      <c r="T37" s="460">
        <v>1020</v>
      </c>
      <c r="U37"/>
      <c r="V37"/>
    </row>
    <row r="38" spans="1:22">
      <c r="A38" s="492"/>
      <c r="B38" s="80" t="s">
        <v>395</v>
      </c>
      <c r="C38" s="453">
        <v>220</v>
      </c>
      <c r="D38" s="496">
        <v>9</v>
      </c>
      <c r="E38" s="496">
        <v>54</v>
      </c>
      <c r="F38" s="496">
        <v>95</v>
      </c>
      <c r="G38" s="496">
        <v>19</v>
      </c>
      <c r="H38" s="496">
        <v>6</v>
      </c>
      <c r="I38" s="453">
        <v>403</v>
      </c>
      <c r="J38" s="453">
        <v>0</v>
      </c>
      <c r="K38" s="496">
        <v>0</v>
      </c>
      <c r="L38" s="496">
        <v>0</v>
      </c>
      <c r="M38" s="496">
        <v>0</v>
      </c>
      <c r="N38" s="496">
        <v>0</v>
      </c>
      <c r="O38" s="453">
        <v>0</v>
      </c>
      <c r="P38" s="453">
        <v>0</v>
      </c>
      <c r="Q38" s="496">
        <v>0</v>
      </c>
      <c r="R38" s="496">
        <v>0</v>
      </c>
      <c r="S38" s="453">
        <v>0</v>
      </c>
      <c r="T38" s="460">
        <v>403</v>
      </c>
      <c r="U38"/>
      <c r="V38"/>
    </row>
    <row r="39" spans="1:22">
      <c r="A39" s="492"/>
      <c r="B39" s="80" t="s">
        <v>397</v>
      </c>
      <c r="C39" s="453">
        <v>0</v>
      </c>
      <c r="D39" s="496">
        <v>0</v>
      </c>
      <c r="E39" s="496">
        <v>0</v>
      </c>
      <c r="F39" s="496">
        <v>0</v>
      </c>
      <c r="G39" s="496">
        <v>0</v>
      </c>
      <c r="H39" s="496">
        <v>0</v>
      </c>
      <c r="I39" s="453">
        <v>0</v>
      </c>
      <c r="J39" s="453">
        <v>0</v>
      </c>
      <c r="K39" s="496">
        <v>0</v>
      </c>
      <c r="L39" s="496">
        <v>0</v>
      </c>
      <c r="M39" s="496">
        <v>0</v>
      </c>
      <c r="N39" s="496">
        <v>0</v>
      </c>
      <c r="O39" s="453">
        <v>0</v>
      </c>
      <c r="P39" s="453">
        <v>2017</v>
      </c>
      <c r="Q39" s="496">
        <v>207</v>
      </c>
      <c r="R39" s="496">
        <v>0</v>
      </c>
      <c r="S39" s="453">
        <v>2224</v>
      </c>
      <c r="T39" s="460">
        <v>2224</v>
      </c>
      <c r="U39"/>
      <c r="V39"/>
    </row>
    <row r="40" spans="1:22">
      <c r="A40" s="492"/>
      <c r="B40" s="80" t="s">
        <v>399</v>
      </c>
      <c r="C40" s="453">
        <v>2837</v>
      </c>
      <c r="D40" s="496">
        <v>923</v>
      </c>
      <c r="E40" s="496">
        <v>1586</v>
      </c>
      <c r="F40" s="496">
        <v>1545</v>
      </c>
      <c r="G40" s="496">
        <v>790</v>
      </c>
      <c r="H40" s="496">
        <v>382</v>
      </c>
      <c r="I40" s="453">
        <v>8063</v>
      </c>
      <c r="J40" s="453">
        <v>140</v>
      </c>
      <c r="K40" s="496">
        <v>480</v>
      </c>
      <c r="L40" s="496">
        <v>819</v>
      </c>
      <c r="M40" s="496">
        <v>165</v>
      </c>
      <c r="N40" s="496">
        <v>0</v>
      </c>
      <c r="O40" s="453">
        <v>1604</v>
      </c>
      <c r="P40" s="453">
        <v>2017</v>
      </c>
      <c r="Q40" s="496">
        <v>207</v>
      </c>
      <c r="R40" s="496">
        <v>0</v>
      </c>
      <c r="S40" s="453">
        <v>2224</v>
      </c>
      <c r="T40" s="460">
        <v>11891</v>
      </c>
      <c r="U40"/>
      <c r="V40"/>
    </row>
    <row r="41" spans="1:22">
      <c r="A41" s="488" t="s">
        <v>451</v>
      </c>
      <c r="B41" s="77" t="s">
        <v>388</v>
      </c>
      <c r="C41" s="130">
        <v>737</v>
      </c>
      <c r="D41" s="131">
        <v>0</v>
      </c>
      <c r="E41" s="131">
        <v>367</v>
      </c>
      <c r="F41" s="131">
        <v>153</v>
      </c>
      <c r="G41" s="131">
        <v>25</v>
      </c>
      <c r="H41" s="131">
        <v>0</v>
      </c>
      <c r="I41" s="130">
        <v>1282</v>
      </c>
      <c r="J41" s="130">
        <v>0</v>
      </c>
      <c r="K41" s="131">
        <v>144</v>
      </c>
      <c r="L41" s="131">
        <v>353</v>
      </c>
      <c r="M41" s="131">
        <v>87</v>
      </c>
      <c r="N41" s="131">
        <v>0</v>
      </c>
      <c r="O41" s="130">
        <v>584</v>
      </c>
      <c r="P41" s="130">
        <v>8</v>
      </c>
      <c r="Q41" s="131">
        <v>0</v>
      </c>
      <c r="R41" s="131">
        <v>0</v>
      </c>
      <c r="S41" s="130">
        <v>8</v>
      </c>
      <c r="T41" s="128">
        <v>1874</v>
      </c>
      <c r="U41"/>
      <c r="V41"/>
    </row>
    <row r="42" spans="1:22">
      <c r="A42" s="492"/>
      <c r="B42" s="80" t="s">
        <v>343</v>
      </c>
      <c r="C42" s="453">
        <v>637</v>
      </c>
      <c r="D42" s="496">
        <v>0</v>
      </c>
      <c r="E42" s="496">
        <v>412</v>
      </c>
      <c r="F42" s="496">
        <v>256</v>
      </c>
      <c r="G42" s="496">
        <v>38</v>
      </c>
      <c r="H42" s="496">
        <v>0</v>
      </c>
      <c r="I42" s="453">
        <v>1343</v>
      </c>
      <c r="J42" s="453">
        <v>0</v>
      </c>
      <c r="K42" s="496">
        <v>215</v>
      </c>
      <c r="L42" s="496">
        <v>296</v>
      </c>
      <c r="M42" s="496">
        <v>74</v>
      </c>
      <c r="N42" s="496">
        <v>0</v>
      </c>
      <c r="O42" s="453">
        <v>585</v>
      </c>
      <c r="P42" s="453">
        <v>33</v>
      </c>
      <c r="Q42" s="496">
        <v>0</v>
      </c>
      <c r="R42" s="496">
        <v>0</v>
      </c>
      <c r="S42" s="453">
        <v>33</v>
      </c>
      <c r="T42" s="460">
        <v>1961</v>
      </c>
      <c r="U42"/>
      <c r="V42"/>
    </row>
    <row r="43" spans="1:22">
      <c r="A43" s="492"/>
      <c r="B43" s="80" t="s">
        <v>391</v>
      </c>
      <c r="C43" s="453">
        <v>533</v>
      </c>
      <c r="D43" s="496">
        <v>0</v>
      </c>
      <c r="E43" s="496">
        <v>510</v>
      </c>
      <c r="F43" s="496">
        <v>250</v>
      </c>
      <c r="G43" s="496">
        <v>52</v>
      </c>
      <c r="H43" s="496">
        <v>0</v>
      </c>
      <c r="I43" s="453">
        <v>1345</v>
      </c>
      <c r="J43" s="453">
        <v>0</v>
      </c>
      <c r="K43" s="496">
        <v>111</v>
      </c>
      <c r="L43" s="496">
        <v>165</v>
      </c>
      <c r="M43" s="496">
        <v>22</v>
      </c>
      <c r="N43" s="496">
        <v>0</v>
      </c>
      <c r="O43" s="453">
        <v>298</v>
      </c>
      <c r="P43" s="453">
        <v>39</v>
      </c>
      <c r="Q43" s="496">
        <v>0</v>
      </c>
      <c r="R43" s="496">
        <v>0</v>
      </c>
      <c r="S43" s="453">
        <v>39</v>
      </c>
      <c r="T43" s="460">
        <v>1682</v>
      </c>
      <c r="U43"/>
      <c r="V43"/>
    </row>
    <row r="44" spans="1:22">
      <c r="A44" s="492"/>
      <c r="B44" s="80" t="s">
        <v>393</v>
      </c>
      <c r="C44" s="453">
        <v>93</v>
      </c>
      <c r="D44" s="496">
        <v>0</v>
      </c>
      <c r="E44" s="496">
        <v>206</v>
      </c>
      <c r="F44" s="496">
        <v>72</v>
      </c>
      <c r="G44" s="496">
        <v>16</v>
      </c>
      <c r="H44" s="496">
        <v>0</v>
      </c>
      <c r="I44" s="453">
        <v>387</v>
      </c>
      <c r="J44" s="453">
        <v>0</v>
      </c>
      <c r="K44" s="496">
        <v>65</v>
      </c>
      <c r="L44" s="496">
        <v>185</v>
      </c>
      <c r="M44" s="496">
        <v>33</v>
      </c>
      <c r="N44" s="496">
        <v>0</v>
      </c>
      <c r="O44" s="453">
        <v>283</v>
      </c>
      <c r="P44" s="453">
        <v>55</v>
      </c>
      <c r="Q44" s="496">
        <v>0</v>
      </c>
      <c r="R44" s="496">
        <v>0</v>
      </c>
      <c r="S44" s="453">
        <v>55</v>
      </c>
      <c r="T44" s="460">
        <v>725</v>
      </c>
      <c r="U44"/>
      <c r="V44"/>
    </row>
    <row r="45" spans="1:22">
      <c r="A45" s="492"/>
      <c r="B45" s="80" t="s">
        <v>395</v>
      </c>
      <c r="C45" s="453">
        <v>107</v>
      </c>
      <c r="D45" s="496">
        <v>0</v>
      </c>
      <c r="E45" s="496">
        <v>257</v>
      </c>
      <c r="F45" s="496">
        <v>173</v>
      </c>
      <c r="G45" s="496">
        <v>0</v>
      </c>
      <c r="H45" s="496">
        <v>0</v>
      </c>
      <c r="I45" s="453">
        <v>537</v>
      </c>
      <c r="J45" s="453">
        <v>0</v>
      </c>
      <c r="K45" s="496">
        <v>0</v>
      </c>
      <c r="L45" s="496">
        <v>0</v>
      </c>
      <c r="M45" s="496">
        <v>0</v>
      </c>
      <c r="N45" s="496">
        <v>0</v>
      </c>
      <c r="O45" s="453">
        <v>0</v>
      </c>
      <c r="P45" s="453">
        <v>0</v>
      </c>
      <c r="Q45" s="496">
        <v>0</v>
      </c>
      <c r="R45" s="496">
        <v>0</v>
      </c>
      <c r="S45" s="453">
        <v>0</v>
      </c>
      <c r="T45" s="460">
        <v>537</v>
      </c>
      <c r="U45"/>
      <c r="V45"/>
    </row>
    <row r="46" spans="1:22">
      <c r="A46" s="492"/>
      <c r="B46" s="80" t="s">
        <v>397</v>
      </c>
      <c r="C46" s="453">
        <v>0</v>
      </c>
      <c r="D46" s="496">
        <v>0</v>
      </c>
      <c r="E46" s="496">
        <v>0</v>
      </c>
      <c r="F46" s="496">
        <v>0</v>
      </c>
      <c r="G46" s="496">
        <v>0</v>
      </c>
      <c r="H46" s="496">
        <v>0</v>
      </c>
      <c r="I46" s="453">
        <v>0</v>
      </c>
      <c r="J46" s="453">
        <v>0</v>
      </c>
      <c r="K46" s="496">
        <v>0</v>
      </c>
      <c r="L46" s="496">
        <v>0</v>
      </c>
      <c r="M46" s="496">
        <v>0</v>
      </c>
      <c r="N46" s="496">
        <v>0</v>
      </c>
      <c r="O46" s="453">
        <v>0</v>
      </c>
      <c r="P46" s="453">
        <v>0</v>
      </c>
      <c r="Q46" s="496">
        <v>0</v>
      </c>
      <c r="R46" s="496">
        <v>0</v>
      </c>
      <c r="S46" s="453">
        <v>0</v>
      </c>
      <c r="T46" s="460">
        <v>0</v>
      </c>
      <c r="U46"/>
      <c r="V46"/>
    </row>
    <row r="47" spans="1:22">
      <c r="A47" s="492"/>
      <c r="B47" s="80" t="s">
        <v>399</v>
      </c>
      <c r="C47" s="453">
        <v>2107</v>
      </c>
      <c r="D47" s="496">
        <v>0</v>
      </c>
      <c r="E47" s="496">
        <v>1752</v>
      </c>
      <c r="F47" s="496">
        <v>904</v>
      </c>
      <c r="G47" s="496">
        <v>131</v>
      </c>
      <c r="H47" s="496">
        <v>0</v>
      </c>
      <c r="I47" s="453">
        <v>4894</v>
      </c>
      <c r="J47" s="453">
        <v>0</v>
      </c>
      <c r="K47" s="496">
        <v>535</v>
      </c>
      <c r="L47" s="496">
        <v>999</v>
      </c>
      <c r="M47" s="496">
        <v>216</v>
      </c>
      <c r="N47" s="496">
        <v>0</v>
      </c>
      <c r="O47" s="453">
        <v>1750</v>
      </c>
      <c r="P47" s="453">
        <v>135</v>
      </c>
      <c r="Q47" s="496">
        <v>0</v>
      </c>
      <c r="R47" s="496">
        <v>0</v>
      </c>
      <c r="S47" s="453">
        <v>135</v>
      </c>
      <c r="T47" s="460">
        <v>6779</v>
      </c>
      <c r="U47"/>
      <c r="V47"/>
    </row>
    <row r="48" spans="1:22">
      <c r="A48" s="488" t="s">
        <v>407</v>
      </c>
      <c r="B48" s="77" t="s">
        <v>388</v>
      </c>
      <c r="C48" s="130">
        <v>436</v>
      </c>
      <c r="D48" s="131">
        <v>360</v>
      </c>
      <c r="E48" s="131">
        <v>277</v>
      </c>
      <c r="F48" s="131">
        <v>254</v>
      </c>
      <c r="G48" s="131">
        <v>13</v>
      </c>
      <c r="H48" s="131">
        <v>0</v>
      </c>
      <c r="I48" s="130">
        <v>1340</v>
      </c>
      <c r="J48" s="130">
        <v>23</v>
      </c>
      <c r="K48" s="131">
        <v>77</v>
      </c>
      <c r="L48" s="131">
        <v>30</v>
      </c>
      <c r="M48" s="131">
        <v>3</v>
      </c>
      <c r="N48" s="131">
        <v>0</v>
      </c>
      <c r="O48" s="130">
        <v>133</v>
      </c>
      <c r="P48" s="130">
        <v>0</v>
      </c>
      <c r="Q48" s="131">
        <v>0</v>
      </c>
      <c r="R48" s="131">
        <v>0</v>
      </c>
      <c r="S48" s="130">
        <v>0</v>
      </c>
      <c r="T48" s="128">
        <v>1473</v>
      </c>
      <c r="U48"/>
      <c r="V48"/>
    </row>
    <row r="49" spans="1:22">
      <c r="A49" s="492"/>
      <c r="B49" s="80" t="s">
        <v>343</v>
      </c>
      <c r="C49" s="453">
        <v>288</v>
      </c>
      <c r="D49" s="496">
        <v>318</v>
      </c>
      <c r="E49" s="496">
        <v>276</v>
      </c>
      <c r="F49" s="496">
        <v>270</v>
      </c>
      <c r="G49" s="496">
        <v>29</v>
      </c>
      <c r="H49" s="496">
        <v>0</v>
      </c>
      <c r="I49" s="453">
        <v>1181</v>
      </c>
      <c r="J49" s="453">
        <v>25</v>
      </c>
      <c r="K49" s="496">
        <v>53</v>
      </c>
      <c r="L49" s="496">
        <v>87</v>
      </c>
      <c r="M49" s="496">
        <v>30</v>
      </c>
      <c r="N49" s="496">
        <v>0</v>
      </c>
      <c r="O49" s="453">
        <v>195</v>
      </c>
      <c r="P49" s="453">
        <v>0</v>
      </c>
      <c r="Q49" s="496">
        <v>0</v>
      </c>
      <c r="R49" s="496">
        <v>0</v>
      </c>
      <c r="S49" s="453">
        <v>0</v>
      </c>
      <c r="T49" s="460">
        <v>1376</v>
      </c>
      <c r="U49"/>
      <c r="V49"/>
    </row>
    <row r="50" spans="1:22">
      <c r="A50" s="492"/>
      <c r="B50" s="80" t="s">
        <v>391</v>
      </c>
      <c r="C50" s="453">
        <v>327</v>
      </c>
      <c r="D50" s="496">
        <v>415</v>
      </c>
      <c r="E50" s="496">
        <v>441</v>
      </c>
      <c r="F50" s="496">
        <v>539</v>
      </c>
      <c r="G50" s="496">
        <v>53</v>
      </c>
      <c r="H50" s="496">
        <v>0</v>
      </c>
      <c r="I50" s="453">
        <v>1775</v>
      </c>
      <c r="J50" s="453">
        <v>46</v>
      </c>
      <c r="K50" s="496">
        <v>85</v>
      </c>
      <c r="L50" s="496">
        <v>73</v>
      </c>
      <c r="M50" s="496">
        <v>54</v>
      </c>
      <c r="N50" s="496">
        <v>0</v>
      </c>
      <c r="O50" s="453">
        <v>258</v>
      </c>
      <c r="P50" s="453">
        <v>0</v>
      </c>
      <c r="Q50" s="496">
        <v>0</v>
      </c>
      <c r="R50" s="496">
        <v>0</v>
      </c>
      <c r="S50" s="453">
        <v>0</v>
      </c>
      <c r="T50" s="460">
        <v>2033</v>
      </c>
      <c r="U50"/>
      <c r="V50"/>
    </row>
    <row r="51" spans="1:22">
      <c r="A51" s="492"/>
      <c r="B51" s="80" t="s">
        <v>393</v>
      </c>
      <c r="C51" s="453">
        <v>247</v>
      </c>
      <c r="D51" s="496">
        <v>344</v>
      </c>
      <c r="E51" s="496">
        <v>377</v>
      </c>
      <c r="F51" s="496">
        <v>271</v>
      </c>
      <c r="G51" s="496">
        <v>4</v>
      </c>
      <c r="H51" s="496">
        <v>0</v>
      </c>
      <c r="I51" s="453">
        <v>1243</v>
      </c>
      <c r="J51" s="453">
        <v>17</v>
      </c>
      <c r="K51" s="496">
        <v>139</v>
      </c>
      <c r="L51" s="496">
        <v>125</v>
      </c>
      <c r="M51" s="496">
        <v>108</v>
      </c>
      <c r="N51" s="496">
        <v>0</v>
      </c>
      <c r="O51" s="453">
        <v>389</v>
      </c>
      <c r="P51" s="453">
        <v>71</v>
      </c>
      <c r="Q51" s="496">
        <v>44</v>
      </c>
      <c r="R51" s="496">
        <v>0</v>
      </c>
      <c r="S51" s="453">
        <v>115</v>
      </c>
      <c r="T51" s="460">
        <v>1747</v>
      </c>
      <c r="U51"/>
      <c r="V51"/>
    </row>
    <row r="52" spans="1:22">
      <c r="A52" s="492"/>
      <c r="B52" s="80" t="s">
        <v>395</v>
      </c>
      <c r="C52" s="453">
        <v>21</v>
      </c>
      <c r="D52" s="496">
        <v>47</v>
      </c>
      <c r="E52" s="496">
        <v>29</v>
      </c>
      <c r="F52" s="496">
        <v>21</v>
      </c>
      <c r="G52" s="496">
        <v>0</v>
      </c>
      <c r="H52" s="496">
        <v>0</v>
      </c>
      <c r="I52" s="453">
        <v>118</v>
      </c>
      <c r="J52" s="453">
        <v>0</v>
      </c>
      <c r="K52" s="496">
        <v>122</v>
      </c>
      <c r="L52" s="496">
        <v>0</v>
      </c>
      <c r="M52" s="496">
        <v>3</v>
      </c>
      <c r="N52" s="496">
        <v>0</v>
      </c>
      <c r="O52" s="453">
        <v>125</v>
      </c>
      <c r="P52" s="453">
        <v>0</v>
      </c>
      <c r="Q52" s="496">
        <v>1</v>
      </c>
      <c r="R52" s="496">
        <v>0</v>
      </c>
      <c r="S52" s="453">
        <v>1</v>
      </c>
      <c r="T52" s="460">
        <v>244</v>
      </c>
      <c r="U52"/>
      <c r="V52"/>
    </row>
    <row r="53" spans="1:22">
      <c r="A53" s="492"/>
      <c r="B53" s="80" t="s">
        <v>397</v>
      </c>
      <c r="C53" s="453">
        <v>0</v>
      </c>
      <c r="D53" s="496">
        <v>0</v>
      </c>
      <c r="E53" s="496">
        <v>0</v>
      </c>
      <c r="F53" s="496">
        <v>0</v>
      </c>
      <c r="G53" s="496">
        <v>0</v>
      </c>
      <c r="H53" s="496">
        <v>0</v>
      </c>
      <c r="I53" s="453">
        <v>0</v>
      </c>
      <c r="J53" s="453">
        <v>0</v>
      </c>
      <c r="K53" s="496">
        <v>0</v>
      </c>
      <c r="L53" s="496">
        <v>0</v>
      </c>
      <c r="M53" s="496">
        <v>0</v>
      </c>
      <c r="N53" s="496">
        <v>0</v>
      </c>
      <c r="O53" s="453">
        <v>0</v>
      </c>
      <c r="P53" s="453">
        <v>0</v>
      </c>
      <c r="Q53" s="496">
        <v>0</v>
      </c>
      <c r="R53" s="496">
        <v>518</v>
      </c>
      <c r="S53" s="453">
        <v>518</v>
      </c>
      <c r="T53" s="460">
        <v>518</v>
      </c>
      <c r="U53"/>
      <c r="V53"/>
    </row>
    <row r="54" spans="1:22">
      <c r="A54" s="492"/>
      <c r="B54" s="80" t="s">
        <v>399</v>
      </c>
      <c r="C54" s="453">
        <v>1319</v>
      </c>
      <c r="D54" s="496">
        <v>1484</v>
      </c>
      <c r="E54" s="496">
        <v>1400</v>
      </c>
      <c r="F54" s="496">
        <v>1355</v>
      </c>
      <c r="G54" s="496">
        <v>99</v>
      </c>
      <c r="H54" s="496">
        <v>0</v>
      </c>
      <c r="I54" s="453">
        <v>5657</v>
      </c>
      <c r="J54" s="453">
        <v>111</v>
      </c>
      <c r="K54" s="496">
        <v>476</v>
      </c>
      <c r="L54" s="496">
        <v>315</v>
      </c>
      <c r="M54" s="496">
        <v>198</v>
      </c>
      <c r="N54" s="496">
        <v>0</v>
      </c>
      <c r="O54" s="453">
        <v>1100</v>
      </c>
      <c r="P54" s="453">
        <v>71</v>
      </c>
      <c r="Q54" s="496">
        <v>45</v>
      </c>
      <c r="R54" s="496">
        <v>518</v>
      </c>
      <c r="S54" s="453">
        <v>634</v>
      </c>
      <c r="T54" s="460">
        <v>7391</v>
      </c>
      <c r="U54"/>
      <c r="V54"/>
    </row>
    <row r="55" spans="1:22">
      <c r="A55" s="488" t="s">
        <v>443</v>
      </c>
      <c r="B55" s="77" t="s">
        <v>388</v>
      </c>
      <c r="C55" s="130">
        <v>644</v>
      </c>
      <c r="D55" s="131">
        <v>138</v>
      </c>
      <c r="E55" s="131">
        <v>226</v>
      </c>
      <c r="F55" s="131">
        <v>296</v>
      </c>
      <c r="G55" s="131">
        <v>0</v>
      </c>
      <c r="H55" s="131">
        <v>41</v>
      </c>
      <c r="I55" s="130">
        <v>1345</v>
      </c>
      <c r="J55" s="130">
        <v>0</v>
      </c>
      <c r="K55" s="131">
        <v>501</v>
      </c>
      <c r="L55" s="131">
        <v>248</v>
      </c>
      <c r="M55" s="131">
        <v>57</v>
      </c>
      <c r="N55" s="131">
        <v>0</v>
      </c>
      <c r="O55" s="130">
        <v>806</v>
      </c>
      <c r="P55" s="130">
        <v>0</v>
      </c>
      <c r="Q55" s="131">
        <v>0</v>
      </c>
      <c r="R55" s="131">
        <v>0</v>
      </c>
      <c r="S55" s="130">
        <v>0</v>
      </c>
      <c r="T55" s="128">
        <v>2151</v>
      </c>
      <c r="U55"/>
      <c r="V55"/>
    </row>
    <row r="56" spans="1:22">
      <c r="A56" s="492"/>
      <c r="B56" s="80" t="s">
        <v>343</v>
      </c>
      <c r="C56" s="453">
        <v>423</v>
      </c>
      <c r="D56" s="496">
        <v>154</v>
      </c>
      <c r="E56" s="496">
        <v>270</v>
      </c>
      <c r="F56" s="496">
        <v>316</v>
      </c>
      <c r="G56" s="496">
        <v>0</v>
      </c>
      <c r="H56" s="496">
        <v>43</v>
      </c>
      <c r="I56" s="453">
        <v>1206</v>
      </c>
      <c r="J56" s="453">
        <v>0</v>
      </c>
      <c r="K56" s="496">
        <v>413</v>
      </c>
      <c r="L56" s="496">
        <v>156</v>
      </c>
      <c r="M56" s="496">
        <v>63</v>
      </c>
      <c r="N56" s="496">
        <v>0</v>
      </c>
      <c r="O56" s="453">
        <v>632</v>
      </c>
      <c r="P56" s="453">
        <v>0</v>
      </c>
      <c r="Q56" s="496">
        <v>0</v>
      </c>
      <c r="R56" s="496">
        <v>0</v>
      </c>
      <c r="S56" s="453">
        <v>0</v>
      </c>
      <c r="T56" s="460">
        <v>1838</v>
      </c>
      <c r="U56"/>
      <c r="V56"/>
    </row>
    <row r="57" spans="1:22">
      <c r="A57" s="492"/>
      <c r="B57" s="80" t="s">
        <v>391</v>
      </c>
      <c r="C57" s="453">
        <v>314</v>
      </c>
      <c r="D57" s="496">
        <v>107</v>
      </c>
      <c r="E57" s="496">
        <v>384</v>
      </c>
      <c r="F57" s="496">
        <v>443</v>
      </c>
      <c r="G57" s="496">
        <v>0</v>
      </c>
      <c r="H57" s="496">
        <v>61</v>
      </c>
      <c r="I57" s="453">
        <v>1309</v>
      </c>
      <c r="J57" s="453">
        <v>0</v>
      </c>
      <c r="K57" s="496">
        <v>395</v>
      </c>
      <c r="L57" s="496">
        <v>261</v>
      </c>
      <c r="M57" s="496">
        <v>80</v>
      </c>
      <c r="N57" s="496">
        <v>0</v>
      </c>
      <c r="O57" s="453">
        <v>736</v>
      </c>
      <c r="P57" s="453">
        <v>0</v>
      </c>
      <c r="Q57" s="496">
        <v>0</v>
      </c>
      <c r="R57" s="496">
        <v>0</v>
      </c>
      <c r="S57" s="453">
        <v>0</v>
      </c>
      <c r="T57" s="460">
        <v>2045</v>
      </c>
      <c r="U57"/>
      <c r="V57"/>
    </row>
    <row r="58" spans="1:22">
      <c r="A58" s="492"/>
      <c r="B58" s="80" t="s">
        <v>393</v>
      </c>
      <c r="C58" s="453">
        <v>22</v>
      </c>
      <c r="D58" s="496">
        <v>12</v>
      </c>
      <c r="E58" s="496">
        <v>27</v>
      </c>
      <c r="F58" s="496">
        <v>36</v>
      </c>
      <c r="G58" s="496">
        <v>0</v>
      </c>
      <c r="H58" s="496">
        <v>9</v>
      </c>
      <c r="I58" s="453">
        <v>106</v>
      </c>
      <c r="J58" s="453">
        <v>0</v>
      </c>
      <c r="K58" s="496">
        <v>76</v>
      </c>
      <c r="L58" s="496">
        <v>67</v>
      </c>
      <c r="M58" s="496">
        <v>53</v>
      </c>
      <c r="N58" s="496">
        <v>0</v>
      </c>
      <c r="O58" s="453">
        <v>196</v>
      </c>
      <c r="P58" s="453">
        <v>0</v>
      </c>
      <c r="Q58" s="496">
        <v>0</v>
      </c>
      <c r="R58" s="496">
        <v>0</v>
      </c>
      <c r="S58" s="453">
        <v>0</v>
      </c>
      <c r="T58" s="460">
        <v>302</v>
      </c>
      <c r="U58"/>
      <c r="V58"/>
    </row>
    <row r="59" spans="1:22">
      <c r="A59" s="492"/>
      <c r="B59" s="80" t="s">
        <v>395</v>
      </c>
      <c r="C59" s="453">
        <v>239</v>
      </c>
      <c r="D59" s="496">
        <v>72</v>
      </c>
      <c r="E59" s="496">
        <v>317</v>
      </c>
      <c r="F59" s="496">
        <v>254</v>
      </c>
      <c r="G59" s="496">
        <v>0</v>
      </c>
      <c r="H59" s="496">
        <v>0</v>
      </c>
      <c r="I59" s="453">
        <v>882</v>
      </c>
      <c r="J59" s="453">
        <v>0</v>
      </c>
      <c r="K59" s="496">
        <v>0</v>
      </c>
      <c r="L59" s="496">
        <v>4</v>
      </c>
      <c r="M59" s="496">
        <v>1</v>
      </c>
      <c r="N59" s="496">
        <v>0</v>
      </c>
      <c r="O59" s="453">
        <v>5</v>
      </c>
      <c r="P59" s="453">
        <v>0</v>
      </c>
      <c r="Q59" s="496">
        <v>0</v>
      </c>
      <c r="R59" s="496">
        <v>0</v>
      </c>
      <c r="S59" s="453">
        <v>0</v>
      </c>
      <c r="T59" s="460">
        <v>887</v>
      </c>
      <c r="U59"/>
      <c r="V59"/>
    </row>
    <row r="60" spans="1:22">
      <c r="A60" s="492"/>
      <c r="B60" s="80" t="s">
        <v>397</v>
      </c>
      <c r="C60" s="453">
        <v>0</v>
      </c>
      <c r="D60" s="496">
        <v>0</v>
      </c>
      <c r="E60" s="496">
        <v>0</v>
      </c>
      <c r="F60" s="496">
        <v>0</v>
      </c>
      <c r="G60" s="496">
        <v>0</v>
      </c>
      <c r="H60" s="496">
        <v>0</v>
      </c>
      <c r="I60" s="453">
        <v>0</v>
      </c>
      <c r="J60" s="453">
        <v>0</v>
      </c>
      <c r="K60" s="496">
        <v>0</v>
      </c>
      <c r="L60" s="496">
        <v>0</v>
      </c>
      <c r="M60" s="496">
        <v>0</v>
      </c>
      <c r="N60" s="496">
        <v>0</v>
      </c>
      <c r="O60" s="453">
        <v>0</v>
      </c>
      <c r="P60" s="453">
        <v>0</v>
      </c>
      <c r="Q60" s="496">
        <v>0</v>
      </c>
      <c r="R60" s="496">
        <v>0</v>
      </c>
      <c r="S60" s="453">
        <v>0</v>
      </c>
      <c r="T60" s="460">
        <v>0</v>
      </c>
      <c r="U60"/>
      <c r="V60"/>
    </row>
    <row r="61" spans="1:22">
      <c r="A61" s="492"/>
      <c r="B61" s="80" t="s">
        <v>399</v>
      </c>
      <c r="C61" s="453">
        <v>1642</v>
      </c>
      <c r="D61" s="496">
        <v>483</v>
      </c>
      <c r="E61" s="496">
        <v>1224</v>
      </c>
      <c r="F61" s="496">
        <v>1345</v>
      </c>
      <c r="G61" s="496">
        <v>0</v>
      </c>
      <c r="H61" s="496">
        <v>154</v>
      </c>
      <c r="I61" s="453">
        <v>4848</v>
      </c>
      <c r="J61" s="453">
        <v>0</v>
      </c>
      <c r="K61" s="496">
        <v>1385</v>
      </c>
      <c r="L61" s="496">
        <v>736</v>
      </c>
      <c r="M61" s="496">
        <v>254</v>
      </c>
      <c r="N61" s="496">
        <v>0</v>
      </c>
      <c r="O61" s="453">
        <v>2375</v>
      </c>
      <c r="P61" s="453">
        <v>0</v>
      </c>
      <c r="Q61" s="496">
        <v>0</v>
      </c>
      <c r="R61" s="496">
        <v>0</v>
      </c>
      <c r="S61" s="453">
        <v>0</v>
      </c>
      <c r="T61" s="460">
        <v>7223</v>
      </c>
      <c r="U61"/>
      <c r="V61"/>
    </row>
    <row r="62" spans="1:22">
      <c r="A62" s="488" t="s">
        <v>444</v>
      </c>
      <c r="B62" s="77" t="s">
        <v>388</v>
      </c>
      <c r="C62" s="130">
        <v>391</v>
      </c>
      <c r="D62" s="131">
        <v>215</v>
      </c>
      <c r="E62" s="131">
        <v>0</v>
      </c>
      <c r="F62" s="131">
        <v>76</v>
      </c>
      <c r="G62" s="131">
        <v>47</v>
      </c>
      <c r="H62" s="131">
        <v>0</v>
      </c>
      <c r="I62" s="130">
        <v>729</v>
      </c>
      <c r="J62" s="130">
        <v>0</v>
      </c>
      <c r="K62" s="131">
        <v>0</v>
      </c>
      <c r="L62" s="131">
        <v>0</v>
      </c>
      <c r="M62" s="131">
        <v>0</v>
      </c>
      <c r="N62" s="131">
        <v>0</v>
      </c>
      <c r="O62" s="130">
        <v>0</v>
      </c>
      <c r="P62" s="130">
        <v>0</v>
      </c>
      <c r="Q62" s="131">
        <v>0</v>
      </c>
      <c r="R62" s="131">
        <v>0</v>
      </c>
      <c r="S62" s="130">
        <v>0</v>
      </c>
      <c r="T62" s="128">
        <v>729</v>
      </c>
      <c r="U62"/>
      <c r="V62"/>
    </row>
    <row r="63" spans="1:22">
      <c r="A63" s="492"/>
      <c r="B63" s="80" t="s">
        <v>343</v>
      </c>
      <c r="C63" s="453">
        <v>346</v>
      </c>
      <c r="D63" s="496">
        <v>281</v>
      </c>
      <c r="E63" s="496">
        <v>0</v>
      </c>
      <c r="F63" s="496">
        <v>67</v>
      </c>
      <c r="G63" s="496">
        <v>38</v>
      </c>
      <c r="H63" s="496">
        <v>0</v>
      </c>
      <c r="I63" s="453">
        <v>732</v>
      </c>
      <c r="J63" s="453">
        <v>0</v>
      </c>
      <c r="K63" s="496">
        <v>0</v>
      </c>
      <c r="L63" s="496">
        <v>0</v>
      </c>
      <c r="M63" s="496">
        <v>0</v>
      </c>
      <c r="N63" s="496">
        <v>0</v>
      </c>
      <c r="O63" s="453">
        <v>0</v>
      </c>
      <c r="P63" s="453">
        <v>0</v>
      </c>
      <c r="Q63" s="496">
        <v>0</v>
      </c>
      <c r="R63" s="496">
        <v>0</v>
      </c>
      <c r="S63" s="453">
        <v>0</v>
      </c>
      <c r="T63" s="460">
        <v>732</v>
      </c>
      <c r="U63"/>
      <c r="V63"/>
    </row>
    <row r="64" spans="1:22">
      <c r="A64" s="492"/>
      <c r="B64" s="80" t="s">
        <v>391</v>
      </c>
      <c r="C64" s="453">
        <v>540</v>
      </c>
      <c r="D64" s="496">
        <v>372</v>
      </c>
      <c r="E64" s="496">
        <v>0</v>
      </c>
      <c r="F64" s="496">
        <v>128</v>
      </c>
      <c r="G64" s="496">
        <v>109</v>
      </c>
      <c r="H64" s="496">
        <v>0</v>
      </c>
      <c r="I64" s="453">
        <v>1149</v>
      </c>
      <c r="J64" s="453">
        <v>0</v>
      </c>
      <c r="K64" s="496">
        <v>0</v>
      </c>
      <c r="L64" s="496">
        <v>0</v>
      </c>
      <c r="M64" s="496">
        <v>0</v>
      </c>
      <c r="N64" s="496">
        <v>0</v>
      </c>
      <c r="O64" s="453">
        <v>0</v>
      </c>
      <c r="P64" s="453">
        <v>0</v>
      </c>
      <c r="Q64" s="496">
        <v>0</v>
      </c>
      <c r="R64" s="496">
        <v>0</v>
      </c>
      <c r="S64" s="453">
        <v>0</v>
      </c>
      <c r="T64" s="460">
        <v>1149</v>
      </c>
      <c r="U64"/>
      <c r="V64"/>
    </row>
    <row r="65" spans="1:22">
      <c r="A65" s="492"/>
      <c r="B65" s="80" t="s">
        <v>393</v>
      </c>
      <c r="C65" s="453">
        <v>271</v>
      </c>
      <c r="D65" s="496">
        <v>168</v>
      </c>
      <c r="E65" s="496">
        <v>0</v>
      </c>
      <c r="F65" s="496">
        <v>96</v>
      </c>
      <c r="G65" s="496">
        <v>79</v>
      </c>
      <c r="H65" s="496">
        <v>0</v>
      </c>
      <c r="I65" s="453">
        <v>614</v>
      </c>
      <c r="J65" s="453">
        <v>0</v>
      </c>
      <c r="K65" s="496">
        <v>0</v>
      </c>
      <c r="L65" s="496">
        <v>0</v>
      </c>
      <c r="M65" s="496">
        <v>0</v>
      </c>
      <c r="N65" s="496">
        <v>0</v>
      </c>
      <c r="O65" s="453">
        <v>0</v>
      </c>
      <c r="P65" s="453">
        <v>0</v>
      </c>
      <c r="Q65" s="496">
        <v>0</v>
      </c>
      <c r="R65" s="496">
        <v>0</v>
      </c>
      <c r="S65" s="453">
        <v>0</v>
      </c>
      <c r="T65" s="460">
        <v>614</v>
      </c>
      <c r="U65"/>
      <c r="V65"/>
    </row>
    <row r="66" spans="1:22">
      <c r="A66" s="492"/>
      <c r="B66" s="80" t="s">
        <v>395</v>
      </c>
      <c r="C66" s="453">
        <v>49</v>
      </c>
      <c r="D66" s="496">
        <v>10</v>
      </c>
      <c r="E66" s="496">
        <v>0</v>
      </c>
      <c r="F66" s="496">
        <v>0</v>
      </c>
      <c r="G66" s="496">
        <v>0</v>
      </c>
      <c r="H66" s="496">
        <v>0</v>
      </c>
      <c r="I66" s="453">
        <v>59</v>
      </c>
      <c r="J66" s="453">
        <v>0</v>
      </c>
      <c r="K66" s="496">
        <v>0</v>
      </c>
      <c r="L66" s="496">
        <v>0</v>
      </c>
      <c r="M66" s="496">
        <v>0</v>
      </c>
      <c r="N66" s="496">
        <v>0</v>
      </c>
      <c r="O66" s="453">
        <v>0</v>
      </c>
      <c r="P66" s="453">
        <v>0</v>
      </c>
      <c r="Q66" s="496">
        <v>0</v>
      </c>
      <c r="R66" s="496">
        <v>0</v>
      </c>
      <c r="S66" s="453">
        <v>0</v>
      </c>
      <c r="T66" s="460">
        <v>59</v>
      </c>
      <c r="U66"/>
      <c r="V66"/>
    </row>
    <row r="67" spans="1:22">
      <c r="A67" s="492"/>
      <c r="B67" s="80" t="s">
        <v>397</v>
      </c>
      <c r="C67" s="453">
        <v>0</v>
      </c>
      <c r="D67" s="496">
        <v>0</v>
      </c>
      <c r="E67" s="496">
        <v>0</v>
      </c>
      <c r="F67" s="496">
        <v>0</v>
      </c>
      <c r="G67" s="496">
        <v>0</v>
      </c>
      <c r="H67" s="496">
        <v>0</v>
      </c>
      <c r="I67" s="453">
        <v>0</v>
      </c>
      <c r="J67" s="453">
        <v>0</v>
      </c>
      <c r="K67" s="496">
        <v>1025</v>
      </c>
      <c r="L67" s="496">
        <v>1394.9</v>
      </c>
      <c r="M67" s="496">
        <v>152</v>
      </c>
      <c r="N67" s="496">
        <v>0</v>
      </c>
      <c r="O67" s="453">
        <v>2571.9</v>
      </c>
      <c r="P67" s="453">
        <v>0</v>
      </c>
      <c r="Q67" s="496">
        <v>0</v>
      </c>
      <c r="R67" s="496">
        <v>0</v>
      </c>
      <c r="S67" s="453">
        <v>0</v>
      </c>
      <c r="T67" s="460">
        <v>2571.9</v>
      </c>
      <c r="U67"/>
      <c r="V67"/>
    </row>
    <row r="68" spans="1:22">
      <c r="A68" s="492"/>
      <c r="B68" s="80" t="s">
        <v>399</v>
      </c>
      <c r="C68" s="453">
        <v>1597</v>
      </c>
      <c r="D68" s="496">
        <v>1046</v>
      </c>
      <c r="E68" s="496">
        <v>0</v>
      </c>
      <c r="F68" s="496">
        <v>367</v>
      </c>
      <c r="G68" s="496">
        <v>273</v>
      </c>
      <c r="H68" s="496">
        <v>0</v>
      </c>
      <c r="I68" s="453">
        <v>3283</v>
      </c>
      <c r="J68" s="453">
        <v>0</v>
      </c>
      <c r="K68" s="496">
        <v>1025</v>
      </c>
      <c r="L68" s="496">
        <v>1394.9</v>
      </c>
      <c r="M68" s="496">
        <v>152</v>
      </c>
      <c r="N68" s="496">
        <v>0</v>
      </c>
      <c r="O68" s="453">
        <v>2571.9</v>
      </c>
      <c r="P68" s="453">
        <v>0</v>
      </c>
      <c r="Q68" s="496">
        <v>0</v>
      </c>
      <c r="R68" s="496">
        <v>0</v>
      </c>
      <c r="S68" s="453">
        <v>0</v>
      </c>
      <c r="T68" s="460">
        <v>5854.9</v>
      </c>
      <c r="U68"/>
      <c r="V68"/>
    </row>
    <row r="69" spans="1:22">
      <c r="A69" s="488" t="s">
        <v>445</v>
      </c>
      <c r="B69" s="77" t="s">
        <v>388</v>
      </c>
      <c r="C69" s="130">
        <v>1252</v>
      </c>
      <c r="D69" s="131">
        <v>382</v>
      </c>
      <c r="E69" s="131">
        <v>871</v>
      </c>
      <c r="F69" s="131">
        <v>40</v>
      </c>
      <c r="G69" s="131">
        <v>88</v>
      </c>
      <c r="H69" s="131">
        <v>92</v>
      </c>
      <c r="I69" s="130">
        <v>2725</v>
      </c>
      <c r="J69" s="130">
        <v>0</v>
      </c>
      <c r="K69" s="131">
        <v>0</v>
      </c>
      <c r="L69" s="131">
        <v>0</v>
      </c>
      <c r="M69" s="131">
        <v>0</v>
      </c>
      <c r="N69" s="131">
        <v>0</v>
      </c>
      <c r="O69" s="130">
        <v>0</v>
      </c>
      <c r="P69" s="130">
        <v>0</v>
      </c>
      <c r="Q69" s="131">
        <v>0</v>
      </c>
      <c r="R69" s="131">
        <v>0</v>
      </c>
      <c r="S69" s="130">
        <v>0</v>
      </c>
      <c r="T69" s="128">
        <v>2725</v>
      </c>
      <c r="U69"/>
      <c r="V69"/>
    </row>
    <row r="70" spans="1:22">
      <c r="A70" s="492"/>
      <c r="B70" s="80" t="s">
        <v>343</v>
      </c>
      <c r="C70" s="453">
        <v>782</v>
      </c>
      <c r="D70" s="496">
        <v>474</v>
      </c>
      <c r="E70" s="496">
        <v>1043</v>
      </c>
      <c r="F70" s="496">
        <v>60</v>
      </c>
      <c r="G70" s="496">
        <v>177</v>
      </c>
      <c r="H70" s="496">
        <v>94</v>
      </c>
      <c r="I70" s="453">
        <v>2630</v>
      </c>
      <c r="J70" s="453">
        <v>0</v>
      </c>
      <c r="K70" s="496">
        <v>0</v>
      </c>
      <c r="L70" s="496">
        <v>0</v>
      </c>
      <c r="M70" s="496">
        <v>0</v>
      </c>
      <c r="N70" s="496">
        <v>0</v>
      </c>
      <c r="O70" s="453">
        <v>0</v>
      </c>
      <c r="P70" s="453">
        <v>0</v>
      </c>
      <c r="Q70" s="496">
        <v>0</v>
      </c>
      <c r="R70" s="496">
        <v>0</v>
      </c>
      <c r="S70" s="453">
        <v>0</v>
      </c>
      <c r="T70" s="460">
        <v>2630</v>
      </c>
      <c r="U70"/>
      <c r="V70"/>
    </row>
    <row r="71" spans="1:22">
      <c r="A71" s="492"/>
      <c r="B71" s="80" t="s">
        <v>391</v>
      </c>
      <c r="C71" s="453">
        <v>697</v>
      </c>
      <c r="D71" s="496">
        <v>421</v>
      </c>
      <c r="E71" s="496">
        <v>1141</v>
      </c>
      <c r="F71" s="496">
        <v>145</v>
      </c>
      <c r="G71" s="496">
        <v>230</v>
      </c>
      <c r="H71" s="496">
        <v>91</v>
      </c>
      <c r="I71" s="453">
        <v>2725</v>
      </c>
      <c r="J71" s="453">
        <v>0</v>
      </c>
      <c r="K71" s="496">
        <v>0</v>
      </c>
      <c r="L71" s="496">
        <v>0</v>
      </c>
      <c r="M71" s="496">
        <v>0</v>
      </c>
      <c r="N71" s="496">
        <v>0</v>
      </c>
      <c r="O71" s="453">
        <v>0</v>
      </c>
      <c r="P71" s="453">
        <v>0</v>
      </c>
      <c r="Q71" s="496">
        <v>0</v>
      </c>
      <c r="R71" s="496">
        <v>0</v>
      </c>
      <c r="S71" s="453">
        <v>0</v>
      </c>
      <c r="T71" s="460">
        <v>2725</v>
      </c>
      <c r="U71"/>
      <c r="V71"/>
    </row>
    <row r="72" spans="1:22">
      <c r="A72" s="492"/>
      <c r="B72" s="80" t="s">
        <v>393</v>
      </c>
      <c r="C72" s="453">
        <v>23</v>
      </c>
      <c r="D72" s="496">
        <v>56</v>
      </c>
      <c r="E72" s="496">
        <v>47</v>
      </c>
      <c r="F72" s="496">
        <v>8</v>
      </c>
      <c r="G72" s="496">
        <v>36</v>
      </c>
      <c r="H72" s="496">
        <v>4</v>
      </c>
      <c r="I72" s="453">
        <v>174</v>
      </c>
      <c r="J72" s="453">
        <v>0</v>
      </c>
      <c r="K72" s="496">
        <v>0</v>
      </c>
      <c r="L72" s="496">
        <v>0</v>
      </c>
      <c r="M72" s="496">
        <v>0</v>
      </c>
      <c r="N72" s="496">
        <v>0</v>
      </c>
      <c r="O72" s="453">
        <v>0</v>
      </c>
      <c r="P72" s="453">
        <v>0</v>
      </c>
      <c r="Q72" s="496">
        <v>0</v>
      </c>
      <c r="R72" s="496">
        <v>0</v>
      </c>
      <c r="S72" s="453">
        <v>0</v>
      </c>
      <c r="T72" s="460">
        <v>174</v>
      </c>
      <c r="U72"/>
      <c r="V72"/>
    </row>
    <row r="73" spans="1:22">
      <c r="A73" s="492"/>
      <c r="B73" s="80" t="s">
        <v>395</v>
      </c>
      <c r="C73" s="453">
        <v>614</v>
      </c>
      <c r="D73" s="496">
        <v>434</v>
      </c>
      <c r="E73" s="496">
        <v>847</v>
      </c>
      <c r="F73" s="496">
        <v>53</v>
      </c>
      <c r="G73" s="496">
        <v>98</v>
      </c>
      <c r="H73" s="496">
        <v>87</v>
      </c>
      <c r="I73" s="453">
        <v>2133</v>
      </c>
      <c r="J73" s="453">
        <v>0</v>
      </c>
      <c r="K73" s="496">
        <v>0</v>
      </c>
      <c r="L73" s="496">
        <v>0</v>
      </c>
      <c r="M73" s="496">
        <v>0</v>
      </c>
      <c r="N73" s="496">
        <v>0</v>
      </c>
      <c r="O73" s="453">
        <v>0</v>
      </c>
      <c r="P73" s="453">
        <v>0</v>
      </c>
      <c r="Q73" s="496">
        <v>0</v>
      </c>
      <c r="R73" s="496">
        <v>0</v>
      </c>
      <c r="S73" s="453">
        <v>0</v>
      </c>
      <c r="T73" s="460">
        <v>2133</v>
      </c>
      <c r="U73"/>
      <c r="V73"/>
    </row>
    <row r="74" spans="1:22">
      <c r="A74" s="492"/>
      <c r="B74" s="80" t="s">
        <v>397</v>
      </c>
      <c r="C74" s="453">
        <v>0</v>
      </c>
      <c r="D74" s="496">
        <v>0</v>
      </c>
      <c r="E74" s="496">
        <v>0</v>
      </c>
      <c r="F74" s="496">
        <v>0</v>
      </c>
      <c r="G74" s="496">
        <v>0</v>
      </c>
      <c r="H74" s="496">
        <v>0</v>
      </c>
      <c r="I74" s="453">
        <v>0</v>
      </c>
      <c r="J74" s="453">
        <v>0</v>
      </c>
      <c r="K74" s="496">
        <v>2533</v>
      </c>
      <c r="L74" s="496">
        <v>2732</v>
      </c>
      <c r="M74" s="496">
        <v>555</v>
      </c>
      <c r="N74" s="496">
        <v>0</v>
      </c>
      <c r="O74" s="453">
        <v>5820</v>
      </c>
      <c r="P74" s="453">
        <v>0</v>
      </c>
      <c r="Q74" s="496">
        <v>0</v>
      </c>
      <c r="R74" s="496">
        <v>0</v>
      </c>
      <c r="S74" s="453">
        <v>0</v>
      </c>
      <c r="T74" s="460">
        <v>5820</v>
      </c>
      <c r="U74"/>
      <c r="V74"/>
    </row>
    <row r="75" spans="1:22">
      <c r="A75" s="492"/>
      <c r="B75" s="80" t="s">
        <v>399</v>
      </c>
      <c r="C75" s="453">
        <v>3368</v>
      </c>
      <c r="D75" s="496">
        <v>1767</v>
      </c>
      <c r="E75" s="496">
        <v>3949</v>
      </c>
      <c r="F75" s="496">
        <v>306</v>
      </c>
      <c r="G75" s="496">
        <v>629</v>
      </c>
      <c r="H75" s="496">
        <v>368</v>
      </c>
      <c r="I75" s="453">
        <v>10387</v>
      </c>
      <c r="J75" s="453">
        <v>0</v>
      </c>
      <c r="K75" s="496">
        <v>2533</v>
      </c>
      <c r="L75" s="496">
        <v>2732</v>
      </c>
      <c r="M75" s="496">
        <v>555</v>
      </c>
      <c r="N75" s="496">
        <v>0</v>
      </c>
      <c r="O75" s="453">
        <v>5820</v>
      </c>
      <c r="P75" s="453">
        <v>0</v>
      </c>
      <c r="Q75" s="496">
        <v>0</v>
      </c>
      <c r="R75" s="496">
        <v>0</v>
      </c>
      <c r="S75" s="453">
        <v>0</v>
      </c>
      <c r="T75" s="460">
        <v>16207</v>
      </c>
      <c r="U75"/>
      <c r="V75"/>
    </row>
    <row r="76" spans="1:22">
      <c r="A76" s="488" t="s">
        <v>410</v>
      </c>
      <c r="B76" s="77" t="s">
        <v>388</v>
      </c>
      <c r="C76" s="130">
        <v>680</v>
      </c>
      <c r="D76" s="131">
        <v>0</v>
      </c>
      <c r="E76" s="131">
        <v>226</v>
      </c>
      <c r="F76" s="131">
        <v>0</v>
      </c>
      <c r="G76" s="131">
        <v>207</v>
      </c>
      <c r="H76" s="131">
        <v>32</v>
      </c>
      <c r="I76" s="130">
        <v>1145</v>
      </c>
      <c r="J76" s="130">
        <v>0</v>
      </c>
      <c r="K76" s="131">
        <v>0</v>
      </c>
      <c r="L76" s="131">
        <v>0</v>
      </c>
      <c r="M76" s="131">
        <v>0</v>
      </c>
      <c r="N76" s="131">
        <v>0</v>
      </c>
      <c r="O76" s="130">
        <v>0</v>
      </c>
      <c r="P76" s="130">
        <v>0</v>
      </c>
      <c r="Q76" s="131">
        <v>0</v>
      </c>
      <c r="R76" s="131">
        <v>0</v>
      </c>
      <c r="S76" s="130">
        <v>0</v>
      </c>
      <c r="T76" s="128">
        <v>1145</v>
      </c>
      <c r="U76"/>
      <c r="V76"/>
    </row>
    <row r="77" spans="1:22">
      <c r="A77" s="492"/>
      <c r="B77" s="80" t="s">
        <v>343</v>
      </c>
      <c r="C77" s="453">
        <v>560</v>
      </c>
      <c r="D77" s="496">
        <v>0</v>
      </c>
      <c r="E77" s="496">
        <v>124</v>
      </c>
      <c r="F77" s="496">
        <v>0</v>
      </c>
      <c r="G77" s="496">
        <v>167</v>
      </c>
      <c r="H77" s="496">
        <v>44</v>
      </c>
      <c r="I77" s="453">
        <v>895</v>
      </c>
      <c r="J77" s="453">
        <v>0</v>
      </c>
      <c r="K77" s="496">
        <v>0</v>
      </c>
      <c r="L77" s="496">
        <v>0</v>
      </c>
      <c r="M77" s="496">
        <v>0</v>
      </c>
      <c r="N77" s="496">
        <v>0</v>
      </c>
      <c r="O77" s="453">
        <v>0</v>
      </c>
      <c r="P77" s="453">
        <v>0</v>
      </c>
      <c r="Q77" s="496">
        <v>0</v>
      </c>
      <c r="R77" s="496">
        <v>0</v>
      </c>
      <c r="S77" s="453">
        <v>0</v>
      </c>
      <c r="T77" s="460">
        <v>895</v>
      </c>
      <c r="U77"/>
      <c r="V77"/>
    </row>
    <row r="78" spans="1:22">
      <c r="A78" s="492"/>
      <c r="B78" s="80" t="s">
        <v>391</v>
      </c>
      <c r="C78" s="453">
        <v>511</v>
      </c>
      <c r="D78" s="496">
        <v>0</v>
      </c>
      <c r="E78" s="496">
        <v>221</v>
      </c>
      <c r="F78" s="496">
        <v>0</v>
      </c>
      <c r="G78" s="496">
        <v>280</v>
      </c>
      <c r="H78" s="496">
        <v>68</v>
      </c>
      <c r="I78" s="453">
        <v>1080</v>
      </c>
      <c r="J78" s="453">
        <v>0</v>
      </c>
      <c r="K78" s="496">
        <v>0</v>
      </c>
      <c r="L78" s="496">
        <v>0</v>
      </c>
      <c r="M78" s="496">
        <v>0</v>
      </c>
      <c r="N78" s="496">
        <v>0</v>
      </c>
      <c r="O78" s="453">
        <v>0</v>
      </c>
      <c r="P78" s="453">
        <v>0</v>
      </c>
      <c r="Q78" s="496">
        <v>0</v>
      </c>
      <c r="R78" s="496">
        <v>0</v>
      </c>
      <c r="S78" s="453">
        <v>0</v>
      </c>
      <c r="T78" s="460">
        <v>1080</v>
      </c>
      <c r="U78"/>
      <c r="V78"/>
    </row>
    <row r="79" spans="1:22">
      <c r="A79" s="492"/>
      <c r="B79" s="80" t="s">
        <v>393</v>
      </c>
      <c r="C79" s="453">
        <v>281</v>
      </c>
      <c r="D79" s="496">
        <v>0</v>
      </c>
      <c r="E79" s="496">
        <v>189</v>
      </c>
      <c r="F79" s="496">
        <v>0</v>
      </c>
      <c r="G79" s="496">
        <v>235</v>
      </c>
      <c r="H79" s="496">
        <v>51</v>
      </c>
      <c r="I79" s="453">
        <v>756</v>
      </c>
      <c r="J79" s="453">
        <v>0</v>
      </c>
      <c r="K79" s="496">
        <v>0</v>
      </c>
      <c r="L79" s="496">
        <v>0</v>
      </c>
      <c r="M79" s="496">
        <v>0</v>
      </c>
      <c r="N79" s="496">
        <v>0</v>
      </c>
      <c r="O79" s="453">
        <v>0</v>
      </c>
      <c r="P79" s="453">
        <v>0</v>
      </c>
      <c r="Q79" s="496">
        <v>0</v>
      </c>
      <c r="R79" s="496">
        <v>0</v>
      </c>
      <c r="S79" s="453">
        <v>0</v>
      </c>
      <c r="T79" s="460">
        <v>756</v>
      </c>
      <c r="U79"/>
      <c r="V79"/>
    </row>
    <row r="80" spans="1:22">
      <c r="A80" s="492"/>
      <c r="B80" s="80" t="s">
        <v>395</v>
      </c>
      <c r="C80" s="453">
        <v>0</v>
      </c>
      <c r="D80" s="496">
        <v>0</v>
      </c>
      <c r="E80" s="496">
        <v>0</v>
      </c>
      <c r="F80" s="496">
        <v>0</v>
      </c>
      <c r="G80" s="496">
        <v>0</v>
      </c>
      <c r="H80" s="496">
        <v>0</v>
      </c>
      <c r="I80" s="453">
        <v>0</v>
      </c>
      <c r="J80" s="453">
        <v>0</v>
      </c>
      <c r="K80" s="496">
        <v>0</v>
      </c>
      <c r="L80" s="496">
        <v>0</v>
      </c>
      <c r="M80" s="496">
        <v>0</v>
      </c>
      <c r="N80" s="496">
        <v>0</v>
      </c>
      <c r="O80" s="453">
        <v>0</v>
      </c>
      <c r="P80" s="453">
        <v>0</v>
      </c>
      <c r="Q80" s="496">
        <v>0</v>
      </c>
      <c r="R80" s="496">
        <v>0</v>
      </c>
      <c r="S80" s="453">
        <v>0</v>
      </c>
      <c r="T80" s="460">
        <v>0</v>
      </c>
      <c r="U80"/>
      <c r="V80"/>
    </row>
    <row r="81" spans="1:22">
      <c r="A81" s="492"/>
      <c r="B81" s="80" t="s">
        <v>397</v>
      </c>
      <c r="C81" s="453">
        <v>0</v>
      </c>
      <c r="D81" s="496">
        <v>0</v>
      </c>
      <c r="E81" s="496">
        <v>0</v>
      </c>
      <c r="F81" s="496">
        <v>0</v>
      </c>
      <c r="G81" s="496">
        <v>0</v>
      </c>
      <c r="H81" s="496">
        <v>0</v>
      </c>
      <c r="I81" s="453">
        <v>0</v>
      </c>
      <c r="J81" s="453">
        <v>124</v>
      </c>
      <c r="K81" s="496">
        <v>444</v>
      </c>
      <c r="L81" s="496">
        <v>270</v>
      </c>
      <c r="M81" s="496">
        <v>403</v>
      </c>
      <c r="N81" s="496">
        <v>0</v>
      </c>
      <c r="O81" s="453">
        <v>1241</v>
      </c>
      <c r="P81" s="453">
        <v>225</v>
      </c>
      <c r="Q81" s="496">
        <v>849</v>
      </c>
      <c r="R81" s="496">
        <v>0</v>
      </c>
      <c r="S81" s="453">
        <v>1074</v>
      </c>
      <c r="T81" s="460">
        <v>2315</v>
      </c>
      <c r="U81"/>
      <c r="V81"/>
    </row>
    <row r="82" spans="1:22">
      <c r="A82" s="492"/>
      <c r="B82" s="80" t="s">
        <v>399</v>
      </c>
      <c r="C82" s="453">
        <v>2032</v>
      </c>
      <c r="D82" s="496">
        <v>0</v>
      </c>
      <c r="E82" s="496">
        <v>760</v>
      </c>
      <c r="F82" s="496">
        <v>0</v>
      </c>
      <c r="G82" s="496">
        <v>889</v>
      </c>
      <c r="H82" s="496">
        <v>195</v>
      </c>
      <c r="I82" s="453">
        <v>3876</v>
      </c>
      <c r="J82" s="453">
        <v>124</v>
      </c>
      <c r="K82" s="496">
        <v>444</v>
      </c>
      <c r="L82" s="496">
        <v>270</v>
      </c>
      <c r="M82" s="496">
        <v>403</v>
      </c>
      <c r="N82" s="496">
        <v>0</v>
      </c>
      <c r="O82" s="453">
        <v>1241</v>
      </c>
      <c r="P82" s="453">
        <v>225</v>
      </c>
      <c r="Q82" s="496">
        <v>849</v>
      </c>
      <c r="R82" s="496">
        <v>0</v>
      </c>
      <c r="S82" s="453">
        <v>1074</v>
      </c>
      <c r="T82" s="460">
        <v>6191</v>
      </c>
      <c r="U82"/>
      <c r="V82"/>
    </row>
    <row r="83" spans="1:22">
      <c r="A83" s="488" t="s">
        <v>449</v>
      </c>
      <c r="B83" s="77" t="s">
        <v>388</v>
      </c>
      <c r="C83" s="130">
        <v>663</v>
      </c>
      <c r="D83" s="131">
        <v>0</v>
      </c>
      <c r="E83" s="131">
        <v>187</v>
      </c>
      <c r="F83" s="131">
        <v>59</v>
      </c>
      <c r="G83" s="131">
        <v>173</v>
      </c>
      <c r="H83" s="131">
        <v>68</v>
      </c>
      <c r="I83" s="130">
        <v>1150</v>
      </c>
      <c r="J83" s="130">
        <v>9</v>
      </c>
      <c r="K83" s="131">
        <v>0</v>
      </c>
      <c r="L83" s="131">
        <v>0</v>
      </c>
      <c r="M83" s="131">
        <v>15</v>
      </c>
      <c r="N83" s="131">
        <v>0</v>
      </c>
      <c r="O83" s="130">
        <v>24</v>
      </c>
      <c r="P83" s="130">
        <v>0</v>
      </c>
      <c r="Q83" s="131">
        <v>0</v>
      </c>
      <c r="R83" s="131">
        <v>0</v>
      </c>
      <c r="S83" s="130">
        <v>0</v>
      </c>
      <c r="T83" s="128">
        <v>1174</v>
      </c>
      <c r="U83"/>
      <c r="V83"/>
    </row>
    <row r="84" spans="1:22">
      <c r="A84" s="492"/>
      <c r="B84" s="80" t="s">
        <v>343</v>
      </c>
      <c r="C84" s="453">
        <v>561</v>
      </c>
      <c r="D84" s="496">
        <v>0</v>
      </c>
      <c r="E84" s="496">
        <v>250</v>
      </c>
      <c r="F84" s="496">
        <v>52</v>
      </c>
      <c r="G84" s="496">
        <v>192</v>
      </c>
      <c r="H84" s="496">
        <v>75</v>
      </c>
      <c r="I84" s="453">
        <v>1130</v>
      </c>
      <c r="J84" s="453">
        <v>15</v>
      </c>
      <c r="K84" s="496">
        <v>0</v>
      </c>
      <c r="L84" s="496">
        <v>0</v>
      </c>
      <c r="M84" s="496">
        <v>25</v>
      </c>
      <c r="N84" s="496">
        <v>0</v>
      </c>
      <c r="O84" s="453">
        <v>40</v>
      </c>
      <c r="P84" s="453">
        <v>0</v>
      </c>
      <c r="Q84" s="496">
        <v>0</v>
      </c>
      <c r="R84" s="496">
        <v>0</v>
      </c>
      <c r="S84" s="453">
        <v>0</v>
      </c>
      <c r="T84" s="460">
        <v>1170</v>
      </c>
      <c r="U84"/>
      <c r="V84"/>
    </row>
    <row r="85" spans="1:22">
      <c r="A85" s="492"/>
      <c r="B85" s="80" t="s">
        <v>391</v>
      </c>
      <c r="C85" s="453">
        <v>686</v>
      </c>
      <c r="D85" s="496">
        <v>0</v>
      </c>
      <c r="E85" s="496">
        <v>247</v>
      </c>
      <c r="F85" s="496">
        <v>62</v>
      </c>
      <c r="G85" s="496">
        <v>343</v>
      </c>
      <c r="H85" s="496">
        <v>108</v>
      </c>
      <c r="I85" s="453">
        <v>1446</v>
      </c>
      <c r="J85" s="453">
        <v>14</v>
      </c>
      <c r="K85" s="496">
        <v>0</v>
      </c>
      <c r="L85" s="496">
        <v>0</v>
      </c>
      <c r="M85" s="496">
        <v>40</v>
      </c>
      <c r="N85" s="496">
        <v>0</v>
      </c>
      <c r="O85" s="453">
        <v>54</v>
      </c>
      <c r="P85" s="453">
        <v>0</v>
      </c>
      <c r="Q85" s="496">
        <v>0</v>
      </c>
      <c r="R85" s="496">
        <v>0</v>
      </c>
      <c r="S85" s="453">
        <v>0</v>
      </c>
      <c r="T85" s="460">
        <v>1500</v>
      </c>
      <c r="U85"/>
      <c r="V85"/>
    </row>
    <row r="86" spans="1:22">
      <c r="A86" s="492"/>
      <c r="B86" s="80" t="s">
        <v>393</v>
      </c>
      <c r="C86" s="453">
        <v>156</v>
      </c>
      <c r="D86" s="496">
        <v>0</v>
      </c>
      <c r="E86" s="496">
        <v>109</v>
      </c>
      <c r="F86" s="496">
        <v>0</v>
      </c>
      <c r="G86" s="496">
        <v>90</v>
      </c>
      <c r="H86" s="496">
        <v>114</v>
      </c>
      <c r="I86" s="453">
        <v>469</v>
      </c>
      <c r="J86" s="453">
        <v>15</v>
      </c>
      <c r="K86" s="496">
        <v>0</v>
      </c>
      <c r="L86" s="496">
        <v>0</v>
      </c>
      <c r="M86" s="496">
        <v>46</v>
      </c>
      <c r="N86" s="496">
        <v>0</v>
      </c>
      <c r="O86" s="453">
        <v>61</v>
      </c>
      <c r="P86" s="453">
        <v>0</v>
      </c>
      <c r="Q86" s="496">
        <v>0</v>
      </c>
      <c r="R86" s="496">
        <v>0</v>
      </c>
      <c r="S86" s="453">
        <v>0</v>
      </c>
      <c r="T86" s="460">
        <v>530</v>
      </c>
      <c r="U86"/>
      <c r="V86"/>
    </row>
    <row r="87" spans="1:22">
      <c r="A87" s="492"/>
      <c r="B87" s="80" t="s">
        <v>395</v>
      </c>
      <c r="C87" s="453">
        <v>229</v>
      </c>
      <c r="D87" s="496">
        <v>0</v>
      </c>
      <c r="E87" s="496">
        <v>6</v>
      </c>
      <c r="F87" s="496">
        <v>0</v>
      </c>
      <c r="G87" s="496">
        <v>58</v>
      </c>
      <c r="H87" s="496">
        <v>0</v>
      </c>
      <c r="I87" s="453">
        <v>293</v>
      </c>
      <c r="J87" s="453">
        <v>0</v>
      </c>
      <c r="K87" s="496">
        <v>851</v>
      </c>
      <c r="L87" s="496">
        <v>931</v>
      </c>
      <c r="M87" s="496">
        <v>137</v>
      </c>
      <c r="N87" s="496">
        <v>0</v>
      </c>
      <c r="O87" s="453">
        <v>1919</v>
      </c>
      <c r="P87" s="453">
        <v>0</v>
      </c>
      <c r="Q87" s="496">
        <v>0</v>
      </c>
      <c r="R87" s="496">
        <v>0</v>
      </c>
      <c r="S87" s="453">
        <v>0</v>
      </c>
      <c r="T87" s="460">
        <v>2212</v>
      </c>
      <c r="U87"/>
      <c r="V87"/>
    </row>
    <row r="88" spans="1:22">
      <c r="A88" s="492"/>
      <c r="B88" s="80" t="s">
        <v>397</v>
      </c>
      <c r="C88" s="453">
        <v>0</v>
      </c>
      <c r="D88" s="496">
        <v>0</v>
      </c>
      <c r="E88" s="496">
        <v>0</v>
      </c>
      <c r="F88" s="496">
        <v>0</v>
      </c>
      <c r="G88" s="496">
        <v>0</v>
      </c>
      <c r="H88" s="496">
        <v>0</v>
      </c>
      <c r="I88" s="453">
        <v>0</v>
      </c>
      <c r="J88" s="453">
        <v>0</v>
      </c>
      <c r="K88" s="496">
        <v>0</v>
      </c>
      <c r="L88" s="496">
        <v>0</v>
      </c>
      <c r="M88" s="496">
        <v>0</v>
      </c>
      <c r="N88" s="496">
        <v>0</v>
      </c>
      <c r="O88" s="453">
        <v>0</v>
      </c>
      <c r="P88" s="453">
        <v>0</v>
      </c>
      <c r="Q88" s="496">
        <v>0</v>
      </c>
      <c r="R88" s="496">
        <v>0</v>
      </c>
      <c r="S88" s="453">
        <v>0</v>
      </c>
      <c r="T88" s="460">
        <v>0</v>
      </c>
      <c r="U88"/>
      <c r="V88"/>
    </row>
    <row r="89" spans="1:22">
      <c r="A89" s="492"/>
      <c r="B89" s="80" t="s">
        <v>399</v>
      </c>
      <c r="C89" s="453">
        <v>2295</v>
      </c>
      <c r="D89" s="496">
        <v>0</v>
      </c>
      <c r="E89" s="496">
        <v>799</v>
      </c>
      <c r="F89" s="496">
        <v>173</v>
      </c>
      <c r="G89" s="496">
        <v>856</v>
      </c>
      <c r="H89" s="496">
        <v>365</v>
      </c>
      <c r="I89" s="453">
        <v>4488</v>
      </c>
      <c r="J89" s="453">
        <v>53</v>
      </c>
      <c r="K89" s="496">
        <v>851</v>
      </c>
      <c r="L89" s="496">
        <v>931</v>
      </c>
      <c r="M89" s="496">
        <v>263</v>
      </c>
      <c r="N89" s="496">
        <v>0</v>
      </c>
      <c r="O89" s="453">
        <v>2098</v>
      </c>
      <c r="P89" s="453">
        <v>0</v>
      </c>
      <c r="Q89" s="496">
        <v>0</v>
      </c>
      <c r="R89" s="496">
        <v>0</v>
      </c>
      <c r="S89" s="453">
        <v>0</v>
      </c>
      <c r="T89" s="460">
        <v>6586</v>
      </c>
      <c r="U89"/>
      <c r="V89"/>
    </row>
    <row r="90" spans="1:22">
      <c r="A90" s="488" t="s">
        <v>409</v>
      </c>
      <c r="B90" s="77" t="s">
        <v>388</v>
      </c>
      <c r="C90" s="130">
        <v>529</v>
      </c>
      <c r="D90" s="131">
        <v>257</v>
      </c>
      <c r="E90" s="131">
        <v>663</v>
      </c>
      <c r="F90" s="131">
        <v>248</v>
      </c>
      <c r="G90" s="131">
        <v>74</v>
      </c>
      <c r="H90" s="131">
        <v>0</v>
      </c>
      <c r="I90" s="130">
        <v>1771</v>
      </c>
      <c r="J90" s="130">
        <v>0</v>
      </c>
      <c r="K90" s="131">
        <v>91</v>
      </c>
      <c r="L90" s="131">
        <v>114</v>
      </c>
      <c r="M90" s="131">
        <v>11</v>
      </c>
      <c r="N90" s="131">
        <v>0</v>
      </c>
      <c r="O90" s="130">
        <v>216</v>
      </c>
      <c r="P90" s="130">
        <v>0</v>
      </c>
      <c r="Q90" s="131">
        <v>0</v>
      </c>
      <c r="R90" s="131">
        <v>0</v>
      </c>
      <c r="S90" s="130">
        <v>0</v>
      </c>
      <c r="T90" s="128">
        <v>1987</v>
      </c>
      <c r="U90"/>
      <c r="V90"/>
    </row>
    <row r="91" spans="1:22">
      <c r="A91" s="492"/>
      <c r="B91" s="80" t="s">
        <v>343</v>
      </c>
      <c r="C91" s="453">
        <v>401</v>
      </c>
      <c r="D91" s="496">
        <v>250</v>
      </c>
      <c r="E91" s="496">
        <v>583</v>
      </c>
      <c r="F91" s="496">
        <v>152</v>
      </c>
      <c r="G91" s="496">
        <v>39</v>
      </c>
      <c r="H91" s="496">
        <v>0</v>
      </c>
      <c r="I91" s="453">
        <v>1425</v>
      </c>
      <c r="J91" s="453">
        <v>0</v>
      </c>
      <c r="K91" s="496">
        <v>323</v>
      </c>
      <c r="L91" s="496">
        <v>441</v>
      </c>
      <c r="M91" s="496">
        <v>24</v>
      </c>
      <c r="N91" s="496">
        <v>0</v>
      </c>
      <c r="O91" s="453">
        <v>788</v>
      </c>
      <c r="P91" s="453">
        <v>0</v>
      </c>
      <c r="Q91" s="496">
        <v>0</v>
      </c>
      <c r="R91" s="496">
        <v>0</v>
      </c>
      <c r="S91" s="453">
        <v>0</v>
      </c>
      <c r="T91" s="460">
        <v>2213</v>
      </c>
      <c r="U91"/>
      <c r="V91"/>
    </row>
    <row r="92" spans="1:22">
      <c r="A92" s="492"/>
      <c r="B92" s="80" t="s">
        <v>391</v>
      </c>
      <c r="C92" s="453">
        <v>389</v>
      </c>
      <c r="D92" s="496">
        <v>242</v>
      </c>
      <c r="E92" s="496">
        <v>668</v>
      </c>
      <c r="F92" s="496">
        <v>198</v>
      </c>
      <c r="G92" s="496">
        <v>87</v>
      </c>
      <c r="H92" s="496">
        <v>0</v>
      </c>
      <c r="I92" s="453">
        <v>1584</v>
      </c>
      <c r="J92" s="453">
        <v>0</v>
      </c>
      <c r="K92" s="496">
        <v>112</v>
      </c>
      <c r="L92" s="496">
        <v>246</v>
      </c>
      <c r="M92" s="496">
        <v>7</v>
      </c>
      <c r="N92" s="496">
        <v>0</v>
      </c>
      <c r="O92" s="453">
        <v>365</v>
      </c>
      <c r="P92" s="453">
        <v>0</v>
      </c>
      <c r="Q92" s="496">
        <v>0</v>
      </c>
      <c r="R92" s="496">
        <v>0</v>
      </c>
      <c r="S92" s="453">
        <v>0</v>
      </c>
      <c r="T92" s="460">
        <v>1949</v>
      </c>
      <c r="U92"/>
      <c r="V92"/>
    </row>
    <row r="93" spans="1:22">
      <c r="A93" s="492"/>
      <c r="B93" s="80" t="s">
        <v>393</v>
      </c>
      <c r="C93" s="453">
        <v>38</v>
      </c>
      <c r="D93" s="496">
        <v>102</v>
      </c>
      <c r="E93" s="496">
        <v>162</v>
      </c>
      <c r="F93" s="496">
        <v>67</v>
      </c>
      <c r="G93" s="496">
        <v>24</v>
      </c>
      <c r="H93" s="496">
        <v>0</v>
      </c>
      <c r="I93" s="453">
        <v>393</v>
      </c>
      <c r="J93" s="453">
        <v>0</v>
      </c>
      <c r="K93" s="496">
        <v>115</v>
      </c>
      <c r="L93" s="496">
        <v>241</v>
      </c>
      <c r="M93" s="496">
        <v>14</v>
      </c>
      <c r="N93" s="496">
        <v>0</v>
      </c>
      <c r="O93" s="453">
        <v>370</v>
      </c>
      <c r="P93" s="453">
        <v>0</v>
      </c>
      <c r="Q93" s="496">
        <v>0</v>
      </c>
      <c r="R93" s="496">
        <v>0</v>
      </c>
      <c r="S93" s="453">
        <v>0</v>
      </c>
      <c r="T93" s="460">
        <v>763</v>
      </c>
      <c r="U93"/>
      <c r="V93"/>
    </row>
    <row r="94" spans="1:22">
      <c r="A94" s="492"/>
      <c r="B94" s="80" t="s">
        <v>395</v>
      </c>
      <c r="C94" s="453">
        <v>223</v>
      </c>
      <c r="D94" s="496">
        <v>28</v>
      </c>
      <c r="E94" s="496">
        <v>108</v>
      </c>
      <c r="F94" s="496">
        <v>5</v>
      </c>
      <c r="G94" s="496">
        <v>44</v>
      </c>
      <c r="H94" s="496">
        <v>0</v>
      </c>
      <c r="I94" s="453">
        <v>408</v>
      </c>
      <c r="J94" s="453">
        <v>0</v>
      </c>
      <c r="K94" s="496">
        <v>1</v>
      </c>
      <c r="L94" s="496">
        <v>0</v>
      </c>
      <c r="M94" s="496">
        <v>0</v>
      </c>
      <c r="N94" s="496">
        <v>0</v>
      </c>
      <c r="O94" s="453">
        <v>1</v>
      </c>
      <c r="P94" s="453">
        <v>0</v>
      </c>
      <c r="Q94" s="496">
        <v>0</v>
      </c>
      <c r="R94" s="496">
        <v>0</v>
      </c>
      <c r="S94" s="453">
        <v>0</v>
      </c>
      <c r="T94" s="460">
        <v>409</v>
      </c>
      <c r="U94"/>
      <c r="V94"/>
    </row>
    <row r="95" spans="1:22">
      <c r="A95" s="492"/>
      <c r="B95" s="80" t="s">
        <v>397</v>
      </c>
      <c r="C95" s="453">
        <v>0</v>
      </c>
      <c r="D95" s="496">
        <v>0</v>
      </c>
      <c r="E95" s="496">
        <v>0</v>
      </c>
      <c r="F95" s="496">
        <v>0</v>
      </c>
      <c r="G95" s="496">
        <v>0</v>
      </c>
      <c r="H95" s="496">
        <v>0</v>
      </c>
      <c r="I95" s="453">
        <v>0</v>
      </c>
      <c r="J95" s="453">
        <v>0</v>
      </c>
      <c r="K95" s="496">
        <v>0</v>
      </c>
      <c r="L95" s="496">
        <v>0</v>
      </c>
      <c r="M95" s="496">
        <v>0</v>
      </c>
      <c r="N95" s="496">
        <v>0</v>
      </c>
      <c r="O95" s="453">
        <v>0</v>
      </c>
      <c r="P95" s="453">
        <v>0</v>
      </c>
      <c r="Q95" s="496">
        <v>433</v>
      </c>
      <c r="R95" s="496">
        <v>0</v>
      </c>
      <c r="S95" s="453">
        <v>433</v>
      </c>
      <c r="T95" s="460">
        <v>433</v>
      </c>
      <c r="U95"/>
      <c r="V95"/>
    </row>
    <row r="96" spans="1:22">
      <c r="A96" s="492"/>
      <c r="B96" s="80" t="s">
        <v>399</v>
      </c>
      <c r="C96" s="453">
        <v>1580</v>
      </c>
      <c r="D96" s="496">
        <v>879</v>
      </c>
      <c r="E96" s="496">
        <v>2184</v>
      </c>
      <c r="F96" s="496">
        <v>670</v>
      </c>
      <c r="G96" s="496">
        <v>268</v>
      </c>
      <c r="H96" s="496">
        <v>0</v>
      </c>
      <c r="I96" s="453">
        <v>5581</v>
      </c>
      <c r="J96" s="453">
        <v>0</v>
      </c>
      <c r="K96" s="496">
        <v>642</v>
      </c>
      <c r="L96" s="496">
        <v>1042</v>
      </c>
      <c r="M96" s="496">
        <v>56</v>
      </c>
      <c r="N96" s="496">
        <v>0</v>
      </c>
      <c r="O96" s="453">
        <v>1740</v>
      </c>
      <c r="P96" s="453">
        <v>0</v>
      </c>
      <c r="Q96" s="496">
        <v>433</v>
      </c>
      <c r="R96" s="496">
        <v>0</v>
      </c>
      <c r="S96" s="453">
        <v>433</v>
      </c>
      <c r="T96" s="460">
        <v>7754</v>
      </c>
      <c r="U96"/>
      <c r="V96"/>
    </row>
    <row r="97" spans="1:22">
      <c r="A97" s="488" t="s">
        <v>408</v>
      </c>
      <c r="B97" s="77" t="s">
        <v>388</v>
      </c>
      <c r="C97" s="130">
        <v>3121</v>
      </c>
      <c r="D97" s="131">
        <v>209</v>
      </c>
      <c r="E97" s="131">
        <v>1471</v>
      </c>
      <c r="F97" s="131">
        <v>108</v>
      </c>
      <c r="G97" s="131">
        <v>64</v>
      </c>
      <c r="H97" s="131">
        <v>23</v>
      </c>
      <c r="I97" s="130">
        <v>4996</v>
      </c>
      <c r="J97" s="130">
        <v>0</v>
      </c>
      <c r="K97" s="131">
        <v>1717</v>
      </c>
      <c r="L97" s="131">
        <v>585</v>
      </c>
      <c r="M97" s="131">
        <v>42</v>
      </c>
      <c r="N97" s="131">
        <v>0</v>
      </c>
      <c r="O97" s="130">
        <v>2344</v>
      </c>
      <c r="P97" s="130">
        <v>0</v>
      </c>
      <c r="Q97" s="131">
        <v>0</v>
      </c>
      <c r="R97" s="131">
        <v>0</v>
      </c>
      <c r="S97" s="130">
        <v>0</v>
      </c>
      <c r="T97" s="128">
        <v>7340</v>
      </c>
      <c r="U97"/>
      <c r="V97"/>
    </row>
    <row r="98" spans="1:22">
      <c r="A98" s="492"/>
      <c r="B98" s="80" t="s">
        <v>343</v>
      </c>
      <c r="C98" s="453">
        <v>2254</v>
      </c>
      <c r="D98" s="496">
        <v>254</v>
      </c>
      <c r="E98" s="496">
        <v>1535</v>
      </c>
      <c r="F98" s="496">
        <v>188</v>
      </c>
      <c r="G98" s="496">
        <v>118</v>
      </c>
      <c r="H98" s="496">
        <v>15</v>
      </c>
      <c r="I98" s="453">
        <v>4364</v>
      </c>
      <c r="J98" s="453">
        <v>0</v>
      </c>
      <c r="K98" s="496">
        <v>847</v>
      </c>
      <c r="L98" s="496">
        <v>179</v>
      </c>
      <c r="M98" s="496">
        <v>54</v>
      </c>
      <c r="N98" s="496">
        <v>0</v>
      </c>
      <c r="O98" s="453">
        <v>1080</v>
      </c>
      <c r="P98" s="453">
        <v>0</v>
      </c>
      <c r="Q98" s="496">
        <v>0</v>
      </c>
      <c r="R98" s="496">
        <v>0</v>
      </c>
      <c r="S98" s="453">
        <v>0</v>
      </c>
      <c r="T98" s="460">
        <v>5444</v>
      </c>
      <c r="U98"/>
      <c r="V98"/>
    </row>
    <row r="99" spans="1:22">
      <c r="A99" s="492"/>
      <c r="B99" s="80" t="s">
        <v>391</v>
      </c>
      <c r="C99" s="453">
        <v>2159</v>
      </c>
      <c r="D99" s="496">
        <v>272</v>
      </c>
      <c r="E99" s="496">
        <v>1949</v>
      </c>
      <c r="F99" s="496">
        <v>241</v>
      </c>
      <c r="G99" s="496">
        <v>123</v>
      </c>
      <c r="H99" s="496">
        <v>13</v>
      </c>
      <c r="I99" s="453">
        <v>4757</v>
      </c>
      <c r="J99" s="453">
        <v>0</v>
      </c>
      <c r="K99" s="496">
        <v>854</v>
      </c>
      <c r="L99" s="496">
        <v>185</v>
      </c>
      <c r="M99" s="496">
        <v>52</v>
      </c>
      <c r="N99" s="496">
        <v>0</v>
      </c>
      <c r="O99" s="453">
        <v>1091</v>
      </c>
      <c r="P99" s="453">
        <v>0</v>
      </c>
      <c r="Q99" s="496">
        <v>0</v>
      </c>
      <c r="R99" s="496">
        <v>0</v>
      </c>
      <c r="S99" s="453">
        <v>0</v>
      </c>
      <c r="T99" s="460">
        <v>5848</v>
      </c>
      <c r="U99"/>
      <c r="V99"/>
    </row>
    <row r="100" spans="1:22">
      <c r="A100" s="492"/>
      <c r="B100" s="80" t="s">
        <v>393</v>
      </c>
      <c r="C100" s="453">
        <v>203</v>
      </c>
      <c r="D100" s="496">
        <v>10</v>
      </c>
      <c r="E100" s="496">
        <v>431</v>
      </c>
      <c r="F100" s="496">
        <v>111</v>
      </c>
      <c r="G100" s="496">
        <v>6</v>
      </c>
      <c r="H100" s="496">
        <v>0</v>
      </c>
      <c r="I100" s="453">
        <v>761</v>
      </c>
      <c r="J100" s="453">
        <v>0</v>
      </c>
      <c r="K100" s="496">
        <v>2815</v>
      </c>
      <c r="L100" s="496">
        <v>1285</v>
      </c>
      <c r="M100" s="496">
        <v>406</v>
      </c>
      <c r="N100" s="496">
        <v>0</v>
      </c>
      <c r="O100" s="453">
        <v>4506</v>
      </c>
      <c r="P100" s="453">
        <v>0</v>
      </c>
      <c r="Q100" s="496">
        <v>0</v>
      </c>
      <c r="R100" s="496">
        <v>0</v>
      </c>
      <c r="S100" s="453">
        <v>0</v>
      </c>
      <c r="T100" s="460">
        <v>5267</v>
      </c>
      <c r="U100"/>
      <c r="V100"/>
    </row>
    <row r="101" spans="1:22">
      <c r="A101" s="492"/>
      <c r="B101" s="80" t="s">
        <v>395</v>
      </c>
      <c r="C101" s="453">
        <v>1796</v>
      </c>
      <c r="D101" s="496">
        <v>336</v>
      </c>
      <c r="E101" s="496">
        <v>1286</v>
      </c>
      <c r="F101" s="496">
        <v>105</v>
      </c>
      <c r="G101" s="496">
        <v>58</v>
      </c>
      <c r="H101" s="496">
        <v>42</v>
      </c>
      <c r="I101" s="453">
        <v>3623</v>
      </c>
      <c r="J101" s="453">
        <v>0</v>
      </c>
      <c r="K101" s="496">
        <v>256</v>
      </c>
      <c r="L101" s="496">
        <v>0</v>
      </c>
      <c r="M101" s="496">
        <v>0</v>
      </c>
      <c r="N101" s="496">
        <v>0</v>
      </c>
      <c r="O101" s="453">
        <v>256</v>
      </c>
      <c r="P101" s="453">
        <v>0</v>
      </c>
      <c r="Q101" s="496">
        <v>0</v>
      </c>
      <c r="R101" s="496">
        <v>0</v>
      </c>
      <c r="S101" s="453">
        <v>0</v>
      </c>
      <c r="T101" s="460">
        <v>3879</v>
      </c>
      <c r="U101"/>
      <c r="V101"/>
    </row>
    <row r="102" spans="1:22">
      <c r="A102" s="492"/>
      <c r="B102" s="80" t="s">
        <v>397</v>
      </c>
      <c r="C102" s="453">
        <v>0</v>
      </c>
      <c r="D102" s="496">
        <v>0</v>
      </c>
      <c r="E102" s="496">
        <v>0</v>
      </c>
      <c r="F102" s="496">
        <v>0</v>
      </c>
      <c r="G102" s="496">
        <v>0</v>
      </c>
      <c r="H102" s="496">
        <v>0</v>
      </c>
      <c r="I102" s="453">
        <v>0</v>
      </c>
      <c r="J102" s="453">
        <v>0</v>
      </c>
      <c r="K102" s="496">
        <v>1737</v>
      </c>
      <c r="L102" s="496">
        <v>1044</v>
      </c>
      <c r="M102" s="496">
        <v>7</v>
      </c>
      <c r="N102" s="496">
        <v>0</v>
      </c>
      <c r="O102" s="453">
        <v>2788</v>
      </c>
      <c r="P102" s="453">
        <v>0</v>
      </c>
      <c r="Q102" s="496">
        <v>0</v>
      </c>
      <c r="R102" s="496">
        <v>0</v>
      </c>
      <c r="S102" s="453">
        <v>0</v>
      </c>
      <c r="T102" s="460">
        <v>2788</v>
      </c>
      <c r="U102"/>
      <c r="V102"/>
    </row>
    <row r="103" spans="1:22">
      <c r="A103" s="492"/>
      <c r="B103" s="80" t="s">
        <v>399</v>
      </c>
      <c r="C103" s="453">
        <v>9533</v>
      </c>
      <c r="D103" s="496">
        <v>1081</v>
      </c>
      <c r="E103" s="496">
        <v>6672</v>
      </c>
      <c r="F103" s="496">
        <v>753</v>
      </c>
      <c r="G103" s="496">
        <v>369</v>
      </c>
      <c r="H103" s="496">
        <v>93</v>
      </c>
      <c r="I103" s="453">
        <v>18501</v>
      </c>
      <c r="J103" s="453">
        <v>0</v>
      </c>
      <c r="K103" s="496">
        <v>8226</v>
      </c>
      <c r="L103" s="496">
        <v>3278</v>
      </c>
      <c r="M103" s="496">
        <v>561</v>
      </c>
      <c r="N103" s="496">
        <v>0</v>
      </c>
      <c r="O103" s="453">
        <v>12065</v>
      </c>
      <c r="P103" s="453">
        <v>0</v>
      </c>
      <c r="Q103" s="496">
        <v>0</v>
      </c>
      <c r="R103" s="496">
        <v>0</v>
      </c>
      <c r="S103" s="453">
        <v>0</v>
      </c>
      <c r="T103" s="460">
        <v>30566</v>
      </c>
      <c r="U103"/>
      <c r="V103"/>
    </row>
    <row r="104" spans="1:22">
      <c r="A104" s="488" t="s">
        <v>447</v>
      </c>
      <c r="B104" s="77" t="s">
        <v>388</v>
      </c>
      <c r="C104" s="130">
        <v>1303</v>
      </c>
      <c r="D104" s="131">
        <v>625</v>
      </c>
      <c r="E104" s="131">
        <v>396</v>
      </c>
      <c r="F104" s="131">
        <v>168</v>
      </c>
      <c r="G104" s="131">
        <v>110</v>
      </c>
      <c r="H104" s="131">
        <v>18</v>
      </c>
      <c r="I104" s="130">
        <v>2620</v>
      </c>
      <c r="J104" s="130">
        <v>0</v>
      </c>
      <c r="K104" s="131">
        <v>0</v>
      </c>
      <c r="L104" s="131">
        <v>0</v>
      </c>
      <c r="M104" s="131">
        <v>8</v>
      </c>
      <c r="N104" s="131">
        <v>432</v>
      </c>
      <c r="O104" s="130">
        <v>440</v>
      </c>
      <c r="P104" s="130">
        <v>0</v>
      </c>
      <c r="Q104" s="131">
        <v>0</v>
      </c>
      <c r="R104" s="131">
        <v>0</v>
      </c>
      <c r="S104" s="130">
        <v>0</v>
      </c>
      <c r="T104" s="128">
        <v>3060</v>
      </c>
      <c r="U104"/>
      <c r="V104"/>
    </row>
    <row r="105" spans="1:22">
      <c r="A105" s="492"/>
      <c r="B105" s="80" t="s">
        <v>343</v>
      </c>
      <c r="C105" s="453">
        <v>1084</v>
      </c>
      <c r="D105" s="496">
        <v>699</v>
      </c>
      <c r="E105" s="496">
        <v>300</v>
      </c>
      <c r="F105" s="496">
        <v>218</v>
      </c>
      <c r="G105" s="496">
        <v>141</v>
      </c>
      <c r="H105" s="496">
        <v>25</v>
      </c>
      <c r="I105" s="453">
        <v>2467</v>
      </c>
      <c r="J105" s="453">
        <v>0</v>
      </c>
      <c r="K105" s="496">
        <v>0</v>
      </c>
      <c r="L105" s="496">
        <v>0</v>
      </c>
      <c r="M105" s="496">
        <v>19</v>
      </c>
      <c r="N105" s="496">
        <v>636</v>
      </c>
      <c r="O105" s="453">
        <v>655</v>
      </c>
      <c r="P105" s="453">
        <v>0</v>
      </c>
      <c r="Q105" s="496">
        <v>0</v>
      </c>
      <c r="R105" s="496">
        <v>0</v>
      </c>
      <c r="S105" s="453">
        <v>0</v>
      </c>
      <c r="T105" s="460">
        <v>3122</v>
      </c>
      <c r="U105"/>
      <c r="V105"/>
    </row>
    <row r="106" spans="1:22">
      <c r="A106" s="492"/>
      <c r="B106" s="80" t="s">
        <v>391</v>
      </c>
      <c r="C106" s="453">
        <v>965</v>
      </c>
      <c r="D106" s="496">
        <v>679</v>
      </c>
      <c r="E106" s="496">
        <v>413</v>
      </c>
      <c r="F106" s="496">
        <v>271</v>
      </c>
      <c r="G106" s="496">
        <v>151</v>
      </c>
      <c r="H106" s="496">
        <v>27</v>
      </c>
      <c r="I106" s="453">
        <v>2506</v>
      </c>
      <c r="J106" s="453">
        <v>0</v>
      </c>
      <c r="K106" s="496">
        <v>0</v>
      </c>
      <c r="L106" s="496">
        <v>0</v>
      </c>
      <c r="M106" s="496">
        <v>6</v>
      </c>
      <c r="N106" s="496">
        <v>690</v>
      </c>
      <c r="O106" s="453">
        <v>696</v>
      </c>
      <c r="P106" s="453">
        <v>0</v>
      </c>
      <c r="Q106" s="496">
        <v>0</v>
      </c>
      <c r="R106" s="496">
        <v>0</v>
      </c>
      <c r="S106" s="453">
        <v>0</v>
      </c>
      <c r="T106" s="460">
        <v>3202</v>
      </c>
      <c r="U106"/>
      <c r="V106"/>
    </row>
    <row r="107" spans="1:22">
      <c r="A107" s="492"/>
      <c r="B107" s="80" t="s">
        <v>393</v>
      </c>
      <c r="C107" s="453">
        <v>251</v>
      </c>
      <c r="D107" s="496">
        <v>273</v>
      </c>
      <c r="E107" s="496">
        <v>188</v>
      </c>
      <c r="F107" s="496">
        <v>108</v>
      </c>
      <c r="G107" s="496">
        <v>11</v>
      </c>
      <c r="H107" s="496">
        <v>23</v>
      </c>
      <c r="I107" s="453">
        <v>854</v>
      </c>
      <c r="J107" s="453">
        <v>0</v>
      </c>
      <c r="K107" s="496">
        <v>0</v>
      </c>
      <c r="L107" s="496">
        <v>0</v>
      </c>
      <c r="M107" s="496">
        <v>0</v>
      </c>
      <c r="N107" s="496">
        <v>414</v>
      </c>
      <c r="O107" s="453">
        <v>414</v>
      </c>
      <c r="P107" s="453">
        <v>0</v>
      </c>
      <c r="Q107" s="496">
        <v>0</v>
      </c>
      <c r="R107" s="496">
        <v>0</v>
      </c>
      <c r="S107" s="453">
        <v>0</v>
      </c>
      <c r="T107" s="460">
        <v>1268</v>
      </c>
      <c r="U107"/>
      <c r="V107"/>
    </row>
    <row r="108" spans="1:22">
      <c r="A108" s="492"/>
      <c r="B108" s="80" t="s">
        <v>395</v>
      </c>
      <c r="C108" s="453">
        <v>96</v>
      </c>
      <c r="D108" s="496">
        <v>131</v>
      </c>
      <c r="E108" s="496">
        <v>0</v>
      </c>
      <c r="F108" s="496">
        <v>0</v>
      </c>
      <c r="G108" s="496">
        <v>44</v>
      </c>
      <c r="H108" s="496">
        <v>1</v>
      </c>
      <c r="I108" s="453">
        <v>272</v>
      </c>
      <c r="J108" s="453">
        <v>0</v>
      </c>
      <c r="K108" s="496">
        <v>0</v>
      </c>
      <c r="L108" s="496">
        <v>0</v>
      </c>
      <c r="M108" s="496">
        <v>0</v>
      </c>
      <c r="N108" s="496">
        <v>0</v>
      </c>
      <c r="O108" s="453">
        <v>0</v>
      </c>
      <c r="P108" s="453">
        <v>0</v>
      </c>
      <c r="Q108" s="496">
        <v>0</v>
      </c>
      <c r="R108" s="496">
        <v>0</v>
      </c>
      <c r="S108" s="453">
        <v>0</v>
      </c>
      <c r="T108" s="460">
        <v>272</v>
      </c>
      <c r="U108"/>
      <c r="V108"/>
    </row>
    <row r="109" spans="1:22">
      <c r="A109" s="492"/>
      <c r="B109" s="80" t="s">
        <v>397</v>
      </c>
      <c r="C109" s="453">
        <v>0</v>
      </c>
      <c r="D109" s="496">
        <v>0</v>
      </c>
      <c r="E109" s="496">
        <v>0</v>
      </c>
      <c r="F109" s="496">
        <v>0</v>
      </c>
      <c r="G109" s="496">
        <v>0</v>
      </c>
      <c r="H109" s="496">
        <v>0</v>
      </c>
      <c r="I109" s="453">
        <v>0</v>
      </c>
      <c r="J109" s="453">
        <v>0</v>
      </c>
      <c r="K109" s="496">
        <v>0</v>
      </c>
      <c r="L109" s="496">
        <v>0</v>
      </c>
      <c r="M109" s="496">
        <v>0</v>
      </c>
      <c r="N109" s="496">
        <v>0</v>
      </c>
      <c r="O109" s="453">
        <v>0</v>
      </c>
      <c r="P109" s="453">
        <v>0</v>
      </c>
      <c r="Q109" s="496">
        <v>0</v>
      </c>
      <c r="R109" s="496">
        <v>0</v>
      </c>
      <c r="S109" s="453">
        <v>0</v>
      </c>
      <c r="T109" s="460">
        <v>0</v>
      </c>
      <c r="U109"/>
      <c r="V109"/>
    </row>
    <row r="110" spans="1:22">
      <c r="A110" s="492"/>
      <c r="B110" s="80" t="s">
        <v>399</v>
      </c>
      <c r="C110" s="453">
        <v>3699</v>
      </c>
      <c r="D110" s="496">
        <v>2407</v>
      </c>
      <c r="E110" s="496">
        <v>1297</v>
      </c>
      <c r="F110" s="496">
        <v>765</v>
      </c>
      <c r="G110" s="496">
        <v>457</v>
      </c>
      <c r="H110" s="496">
        <v>94</v>
      </c>
      <c r="I110" s="453">
        <v>8719</v>
      </c>
      <c r="J110" s="453">
        <v>0</v>
      </c>
      <c r="K110" s="496">
        <v>0</v>
      </c>
      <c r="L110" s="496">
        <v>0</v>
      </c>
      <c r="M110" s="496">
        <v>33</v>
      </c>
      <c r="N110" s="496">
        <v>2172</v>
      </c>
      <c r="O110" s="453">
        <v>2205</v>
      </c>
      <c r="P110" s="453">
        <v>0</v>
      </c>
      <c r="Q110" s="496">
        <v>0</v>
      </c>
      <c r="R110" s="496">
        <v>0</v>
      </c>
      <c r="S110" s="453">
        <v>0</v>
      </c>
      <c r="T110" s="460">
        <v>10924</v>
      </c>
      <c r="U110"/>
      <c r="V110"/>
    </row>
    <row r="111" spans="1:22">
      <c r="A111" s="488" t="s">
        <v>446</v>
      </c>
      <c r="B111" s="77" t="s">
        <v>388</v>
      </c>
      <c r="C111" s="130">
        <v>287</v>
      </c>
      <c r="D111" s="131">
        <v>0</v>
      </c>
      <c r="E111" s="131">
        <v>199</v>
      </c>
      <c r="F111" s="131">
        <v>0</v>
      </c>
      <c r="G111" s="131">
        <v>0</v>
      </c>
      <c r="H111" s="131">
        <v>208</v>
      </c>
      <c r="I111" s="130">
        <v>694</v>
      </c>
      <c r="J111" s="130">
        <v>31</v>
      </c>
      <c r="K111" s="131">
        <v>0</v>
      </c>
      <c r="L111" s="131">
        <v>9</v>
      </c>
      <c r="M111" s="131">
        <v>83</v>
      </c>
      <c r="N111" s="131">
        <v>0</v>
      </c>
      <c r="O111" s="130">
        <v>123</v>
      </c>
      <c r="P111" s="130">
        <v>0</v>
      </c>
      <c r="Q111" s="131">
        <v>0</v>
      </c>
      <c r="R111" s="131">
        <v>0</v>
      </c>
      <c r="S111" s="130">
        <v>0</v>
      </c>
      <c r="T111" s="128">
        <v>817</v>
      </c>
      <c r="U111"/>
      <c r="V111"/>
    </row>
    <row r="112" spans="1:22">
      <c r="A112" s="492"/>
      <c r="B112" s="80" t="s">
        <v>343</v>
      </c>
      <c r="C112" s="453">
        <v>234</v>
      </c>
      <c r="D112" s="496">
        <v>0</v>
      </c>
      <c r="E112" s="496">
        <v>115</v>
      </c>
      <c r="F112" s="496">
        <v>0</v>
      </c>
      <c r="G112" s="496">
        <v>0</v>
      </c>
      <c r="H112" s="496">
        <v>215</v>
      </c>
      <c r="I112" s="453">
        <v>564</v>
      </c>
      <c r="J112" s="453">
        <v>15</v>
      </c>
      <c r="K112" s="496">
        <v>0</v>
      </c>
      <c r="L112" s="496">
        <v>5</v>
      </c>
      <c r="M112" s="496">
        <v>51</v>
      </c>
      <c r="N112" s="496">
        <v>0</v>
      </c>
      <c r="O112" s="453">
        <v>71</v>
      </c>
      <c r="P112" s="453">
        <v>0</v>
      </c>
      <c r="Q112" s="496">
        <v>0</v>
      </c>
      <c r="R112" s="496">
        <v>0</v>
      </c>
      <c r="S112" s="453">
        <v>0</v>
      </c>
      <c r="T112" s="460">
        <v>635</v>
      </c>
      <c r="U112"/>
      <c r="V112"/>
    </row>
    <row r="113" spans="1:22">
      <c r="A113" s="492"/>
      <c r="B113" s="80" t="s">
        <v>391</v>
      </c>
      <c r="C113" s="453">
        <v>308</v>
      </c>
      <c r="D113" s="496">
        <v>0</v>
      </c>
      <c r="E113" s="496">
        <v>120</v>
      </c>
      <c r="F113" s="496">
        <v>0</v>
      </c>
      <c r="G113" s="496">
        <v>0</v>
      </c>
      <c r="H113" s="496">
        <v>294</v>
      </c>
      <c r="I113" s="453">
        <v>722</v>
      </c>
      <c r="J113" s="453">
        <v>13</v>
      </c>
      <c r="K113" s="496">
        <v>0</v>
      </c>
      <c r="L113" s="496">
        <v>30</v>
      </c>
      <c r="M113" s="496">
        <v>73</v>
      </c>
      <c r="N113" s="496">
        <v>0</v>
      </c>
      <c r="O113" s="453">
        <v>116</v>
      </c>
      <c r="P113" s="453">
        <v>0</v>
      </c>
      <c r="Q113" s="496">
        <v>0</v>
      </c>
      <c r="R113" s="496">
        <v>0</v>
      </c>
      <c r="S113" s="453">
        <v>0</v>
      </c>
      <c r="T113" s="460">
        <v>838</v>
      </c>
      <c r="U113"/>
      <c r="V113"/>
    </row>
    <row r="114" spans="1:22">
      <c r="A114" s="492"/>
      <c r="B114" s="80" t="s">
        <v>393</v>
      </c>
      <c r="C114" s="453">
        <v>42</v>
      </c>
      <c r="D114" s="496">
        <v>0</v>
      </c>
      <c r="E114" s="496">
        <v>28</v>
      </c>
      <c r="F114" s="496">
        <v>0</v>
      </c>
      <c r="G114" s="496">
        <v>0</v>
      </c>
      <c r="H114" s="496">
        <v>88</v>
      </c>
      <c r="I114" s="453">
        <v>158</v>
      </c>
      <c r="J114" s="453">
        <v>28</v>
      </c>
      <c r="K114" s="496">
        <v>0</v>
      </c>
      <c r="L114" s="496">
        <v>10</v>
      </c>
      <c r="M114" s="496">
        <v>137</v>
      </c>
      <c r="N114" s="496">
        <v>0</v>
      </c>
      <c r="O114" s="453">
        <v>175</v>
      </c>
      <c r="P114" s="453">
        <v>0</v>
      </c>
      <c r="Q114" s="496">
        <v>0</v>
      </c>
      <c r="R114" s="496">
        <v>0</v>
      </c>
      <c r="S114" s="453">
        <v>0</v>
      </c>
      <c r="T114" s="460">
        <v>333</v>
      </c>
      <c r="U114"/>
      <c r="V114"/>
    </row>
    <row r="115" spans="1:22">
      <c r="A115" s="492"/>
      <c r="B115" s="80" t="s">
        <v>395</v>
      </c>
      <c r="C115" s="453">
        <v>23</v>
      </c>
      <c r="D115" s="496">
        <v>0</v>
      </c>
      <c r="E115" s="496">
        <v>0</v>
      </c>
      <c r="F115" s="496">
        <v>0</v>
      </c>
      <c r="G115" s="496">
        <v>0</v>
      </c>
      <c r="H115" s="496">
        <v>30</v>
      </c>
      <c r="I115" s="453">
        <v>53</v>
      </c>
      <c r="J115" s="453">
        <v>0</v>
      </c>
      <c r="K115" s="496">
        <v>0</v>
      </c>
      <c r="L115" s="496">
        <v>6</v>
      </c>
      <c r="M115" s="496">
        <v>22</v>
      </c>
      <c r="N115" s="496">
        <v>0</v>
      </c>
      <c r="O115" s="453">
        <v>28</v>
      </c>
      <c r="P115" s="453">
        <v>0</v>
      </c>
      <c r="Q115" s="496">
        <v>0</v>
      </c>
      <c r="R115" s="496">
        <v>0</v>
      </c>
      <c r="S115" s="453">
        <v>0</v>
      </c>
      <c r="T115" s="460">
        <v>81</v>
      </c>
      <c r="U115"/>
      <c r="V115"/>
    </row>
    <row r="116" spans="1:22">
      <c r="A116" s="492"/>
      <c r="B116" s="80" t="s">
        <v>397</v>
      </c>
      <c r="C116" s="453">
        <v>0</v>
      </c>
      <c r="D116" s="496">
        <v>0</v>
      </c>
      <c r="E116" s="496">
        <v>0</v>
      </c>
      <c r="F116" s="496">
        <v>0</v>
      </c>
      <c r="G116" s="496">
        <v>0</v>
      </c>
      <c r="H116" s="496">
        <v>0</v>
      </c>
      <c r="I116" s="453">
        <v>0</v>
      </c>
      <c r="J116" s="453">
        <v>0</v>
      </c>
      <c r="K116" s="496">
        <v>0</v>
      </c>
      <c r="L116" s="496">
        <v>0</v>
      </c>
      <c r="M116" s="496">
        <v>0</v>
      </c>
      <c r="N116" s="496">
        <v>0</v>
      </c>
      <c r="O116" s="453">
        <v>0</v>
      </c>
      <c r="P116" s="453">
        <v>0</v>
      </c>
      <c r="Q116" s="496">
        <v>0</v>
      </c>
      <c r="R116" s="496">
        <v>0</v>
      </c>
      <c r="S116" s="453">
        <v>0</v>
      </c>
      <c r="T116" s="460">
        <v>0</v>
      </c>
      <c r="U116"/>
      <c r="V116"/>
    </row>
    <row r="117" spans="1:22">
      <c r="A117" s="492"/>
      <c r="B117" s="80" t="s">
        <v>399</v>
      </c>
      <c r="C117" s="453">
        <v>894</v>
      </c>
      <c r="D117" s="496">
        <v>0</v>
      </c>
      <c r="E117" s="496">
        <v>462</v>
      </c>
      <c r="F117" s="496">
        <v>0</v>
      </c>
      <c r="G117" s="496">
        <v>0</v>
      </c>
      <c r="H117" s="496">
        <v>835</v>
      </c>
      <c r="I117" s="453">
        <v>2191</v>
      </c>
      <c r="J117" s="453">
        <v>87</v>
      </c>
      <c r="K117" s="496">
        <v>0</v>
      </c>
      <c r="L117" s="496">
        <v>60</v>
      </c>
      <c r="M117" s="496">
        <v>366</v>
      </c>
      <c r="N117" s="496">
        <v>0</v>
      </c>
      <c r="O117" s="453">
        <v>513</v>
      </c>
      <c r="P117" s="453">
        <v>0</v>
      </c>
      <c r="Q117" s="496">
        <v>0</v>
      </c>
      <c r="R117" s="496">
        <v>0</v>
      </c>
      <c r="S117" s="453">
        <v>0</v>
      </c>
      <c r="T117" s="460">
        <v>2704</v>
      </c>
      <c r="U117"/>
      <c r="V117"/>
    </row>
    <row r="118" spans="1:22">
      <c r="A118" s="77" t="s">
        <v>389</v>
      </c>
      <c r="B118" s="78"/>
      <c r="C118" s="130">
        <v>14438</v>
      </c>
      <c r="D118" s="131">
        <v>3112</v>
      </c>
      <c r="E118" s="131">
        <v>6237</v>
      </c>
      <c r="F118" s="131">
        <v>2111</v>
      </c>
      <c r="G118" s="131">
        <v>1050</v>
      </c>
      <c r="H118" s="131">
        <v>612</v>
      </c>
      <c r="I118" s="130">
        <v>27560</v>
      </c>
      <c r="J118" s="130">
        <v>80</v>
      </c>
      <c r="K118" s="131">
        <v>2570</v>
      </c>
      <c r="L118" s="131">
        <v>1464</v>
      </c>
      <c r="M118" s="131">
        <v>324</v>
      </c>
      <c r="N118" s="131">
        <v>432</v>
      </c>
      <c r="O118" s="130">
        <v>4870</v>
      </c>
      <c r="P118" s="130">
        <v>8</v>
      </c>
      <c r="Q118" s="131">
        <v>0</v>
      </c>
      <c r="R118" s="131">
        <v>0</v>
      </c>
      <c r="S118" s="130">
        <v>8</v>
      </c>
      <c r="T118" s="128">
        <v>32438</v>
      </c>
      <c r="U118"/>
      <c r="V118"/>
    </row>
    <row r="119" spans="1:22">
      <c r="A119" s="77" t="s">
        <v>390</v>
      </c>
      <c r="B119" s="78"/>
      <c r="C119" s="130">
        <v>11374</v>
      </c>
      <c r="D119" s="131">
        <v>3309</v>
      </c>
      <c r="E119" s="131">
        <v>6422</v>
      </c>
      <c r="F119" s="131">
        <v>2404</v>
      </c>
      <c r="G119" s="131">
        <v>1254</v>
      </c>
      <c r="H119" s="131">
        <v>730</v>
      </c>
      <c r="I119" s="130">
        <v>25493</v>
      </c>
      <c r="J119" s="130">
        <v>106</v>
      </c>
      <c r="K119" s="131">
        <v>1993</v>
      </c>
      <c r="L119" s="131">
        <v>1354</v>
      </c>
      <c r="M119" s="131">
        <v>382</v>
      </c>
      <c r="N119" s="131">
        <v>636</v>
      </c>
      <c r="O119" s="130">
        <v>4471</v>
      </c>
      <c r="P119" s="130">
        <v>33</v>
      </c>
      <c r="Q119" s="131">
        <v>0</v>
      </c>
      <c r="R119" s="131">
        <v>0</v>
      </c>
      <c r="S119" s="130">
        <v>33</v>
      </c>
      <c r="T119" s="128">
        <v>29997</v>
      </c>
      <c r="U119"/>
      <c r="V119"/>
    </row>
    <row r="120" spans="1:22">
      <c r="A120" s="77" t="s">
        <v>392</v>
      </c>
      <c r="B120" s="78"/>
      <c r="C120" s="130">
        <v>10910.000657798568</v>
      </c>
      <c r="D120" s="131">
        <v>3354</v>
      </c>
      <c r="E120" s="131">
        <v>8087.9991032578291</v>
      </c>
      <c r="F120" s="131">
        <v>3426.9996078822332</v>
      </c>
      <c r="G120" s="131">
        <v>1948.0003235871952</v>
      </c>
      <c r="H120" s="131">
        <v>1074.0000078695543</v>
      </c>
      <c r="I120" s="130">
        <v>28800.999700395379</v>
      </c>
      <c r="J120" s="130">
        <v>125</v>
      </c>
      <c r="K120" s="131">
        <v>1666</v>
      </c>
      <c r="L120" s="131">
        <v>1323.9998910651648</v>
      </c>
      <c r="M120" s="131">
        <v>423.00011891201876</v>
      </c>
      <c r="N120" s="131">
        <v>690</v>
      </c>
      <c r="O120" s="130">
        <v>4228.0000099771842</v>
      </c>
      <c r="P120" s="130">
        <v>39</v>
      </c>
      <c r="Q120" s="131">
        <v>0</v>
      </c>
      <c r="R120" s="131">
        <v>0</v>
      </c>
      <c r="S120" s="130">
        <v>39</v>
      </c>
      <c r="T120" s="128">
        <v>33067.999710372562</v>
      </c>
      <c r="U120"/>
      <c r="V120"/>
    </row>
    <row r="121" spans="1:22">
      <c r="A121" s="77" t="s">
        <v>394</v>
      </c>
      <c r="B121" s="78"/>
      <c r="C121" s="130">
        <v>2790</v>
      </c>
      <c r="D121" s="131">
        <v>1328</v>
      </c>
      <c r="E121" s="131">
        <v>2889</v>
      </c>
      <c r="F121" s="131">
        <v>1088</v>
      </c>
      <c r="G121" s="131">
        <v>691</v>
      </c>
      <c r="H121" s="131">
        <v>428</v>
      </c>
      <c r="I121" s="130">
        <v>9214</v>
      </c>
      <c r="J121" s="130">
        <v>80</v>
      </c>
      <c r="K121" s="131">
        <v>3399</v>
      </c>
      <c r="L121" s="131">
        <v>2174</v>
      </c>
      <c r="M121" s="131">
        <v>928</v>
      </c>
      <c r="N121" s="131">
        <v>414</v>
      </c>
      <c r="O121" s="130">
        <v>6995</v>
      </c>
      <c r="P121" s="130">
        <v>126</v>
      </c>
      <c r="Q121" s="131">
        <v>44</v>
      </c>
      <c r="R121" s="131">
        <v>0</v>
      </c>
      <c r="S121" s="130">
        <v>170</v>
      </c>
      <c r="T121" s="128">
        <v>16379</v>
      </c>
      <c r="U121"/>
      <c r="V121"/>
    </row>
    <row r="122" spans="1:22">
      <c r="A122" s="77" t="s">
        <v>396</v>
      </c>
      <c r="B122" s="78"/>
      <c r="C122" s="130">
        <v>4086</v>
      </c>
      <c r="D122" s="131">
        <v>1164</v>
      </c>
      <c r="E122" s="131">
        <v>3014</v>
      </c>
      <c r="F122" s="131">
        <v>746</v>
      </c>
      <c r="G122" s="131">
        <v>361</v>
      </c>
      <c r="H122" s="131">
        <v>180</v>
      </c>
      <c r="I122" s="130">
        <v>9551</v>
      </c>
      <c r="J122" s="130">
        <v>0</v>
      </c>
      <c r="K122" s="131">
        <v>1230</v>
      </c>
      <c r="L122" s="131">
        <v>941</v>
      </c>
      <c r="M122" s="131">
        <v>532</v>
      </c>
      <c r="N122" s="131">
        <v>0</v>
      </c>
      <c r="O122" s="130">
        <v>2703</v>
      </c>
      <c r="P122" s="130">
        <v>0</v>
      </c>
      <c r="Q122" s="131">
        <v>1</v>
      </c>
      <c r="R122" s="131">
        <v>0</v>
      </c>
      <c r="S122" s="130">
        <v>1</v>
      </c>
      <c r="T122" s="128">
        <v>12255</v>
      </c>
      <c r="U122"/>
      <c r="V122"/>
    </row>
    <row r="123" spans="1:22">
      <c r="A123" s="77" t="s">
        <v>398</v>
      </c>
      <c r="B123" s="78"/>
      <c r="C123" s="130">
        <v>0</v>
      </c>
      <c r="D123" s="131">
        <v>0</v>
      </c>
      <c r="E123" s="131">
        <v>0</v>
      </c>
      <c r="F123" s="131">
        <v>0</v>
      </c>
      <c r="G123" s="131">
        <v>0</v>
      </c>
      <c r="H123" s="131">
        <v>0</v>
      </c>
      <c r="I123" s="130">
        <v>0</v>
      </c>
      <c r="J123" s="130">
        <v>1261</v>
      </c>
      <c r="K123" s="131">
        <v>9661</v>
      </c>
      <c r="L123" s="131">
        <v>7564.9</v>
      </c>
      <c r="M123" s="131">
        <v>2171</v>
      </c>
      <c r="N123" s="131">
        <v>0</v>
      </c>
      <c r="O123" s="130">
        <v>20657.900000000001</v>
      </c>
      <c r="P123" s="130">
        <v>2308</v>
      </c>
      <c r="Q123" s="131">
        <v>1578</v>
      </c>
      <c r="R123" s="131">
        <v>518</v>
      </c>
      <c r="S123" s="130">
        <v>4404</v>
      </c>
      <c r="T123" s="128">
        <v>25061.9</v>
      </c>
      <c r="U123"/>
      <c r="V123"/>
    </row>
    <row r="124" spans="1:22">
      <c r="A124" s="499" t="s">
        <v>400</v>
      </c>
      <c r="B124" s="82"/>
      <c r="C124" s="455">
        <v>43598.00065779857</v>
      </c>
      <c r="D124" s="456">
        <v>12267</v>
      </c>
      <c r="E124" s="456">
        <v>26649.999103257829</v>
      </c>
      <c r="F124" s="456">
        <v>9775.9996078822332</v>
      </c>
      <c r="G124" s="456">
        <v>5304.0003235871955</v>
      </c>
      <c r="H124" s="456">
        <v>3024.0000078695543</v>
      </c>
      <c r="I124" s="455">
        <v>100618.99970039538</v>
      </c>
      <c r="J124" s="455">
        <v>1652</v>
      </c>
      <c r="K124" s="456">
        <v>20519</v>
      </c>
      <c r="L124" s="456">
        <v>14821.899891065164</v>
      </c>
      <c r="M124" s="456">
        <v>4760.0001189120185</v>
      </c>
      <c r="N124" s="456">
        <v>2172</v>
      </c>
      <c r="O124" s="455">
        <v>43924.900009977187</v>
      </c>
      <c r="P124" s="455">
        <v>2514</v>
      </c>
      <c r="Q124" s="456">
        <v>1623</v>
      </c>
      <c r="R124" s="456">
        <v>518</v>
      </c>
      <c r="S124" s="455">
        <v>4655</v>
      </c>
      <c r="T124" s="501">
        <v>149198.89971037256</v>
      </c>
      <c r="U124"/>
      <c r="V124"/>
    </row>
  </sheetData>
  <phoneticPr fontId="15" type="noConversion"/>
  <pageMargins left="0.75" right="0.75" top="1" bottom="1" header="0.5" footer="0.5"/>
  <pageSetup scale="37" orientation="landscape" r:id="rId2"/>
  <headerFooter alignWithMargins="0">
    <oddHeader>&amp;LSREB-State Data Exchange&amp;CPreliminary Tables&amp;RSalaries</oddHeader>
    <oddFooter>&amp;LFor Agency Review Only&amp;RSeptember 2007</oddFooter>
  </headerFooter>
  <rowBreaks count="6" manualBreakCount="6">
    <brk id="80" max="16383" man="1"/>
    <brk id="82" max="16383" man="1"/>
    <brk id="89" max="16383" man="1"/>
    <brk id="96" max="16383" man="1"/>
    <brk id="103" max="16383" man="1"/>
    <brk id="11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Faculty Salary Data</vt:lpstr>
      <vt:lpstr>Table 106</vt:lpstr>
      <vt:lpstr>Tables 107-126</vt:lpstr>
      <vt:lpstr># Table</vt:lpstr>
      <vt:lpstr>Averages Pivot Table</vt:lpstr>
      <vt:lpstr>Format for avgs table</vt:lpstr>
      <vt:lpstr>Counts Pivot Table</vt:lpstr>
      <vt:lpstr>'# Table'!Print_Area</vt:lpstr>
      <vt:lpstr>'Averages Pivot Table'!Print_Area</vt:lpstr>
      <vt:lpstr>'Counts Pivot Table'!Print_Area</vt:lpstr>
      <vt:lpstr>'Table 106'!Print_Area</vt:lpstr>
      <vt:lpstr>'Tables 107-126'!Print_Area</vt:lpstr>
      <vt:lpstr>'# Table'!Print_Titles</vt:lpstr>
      <vt:lpstr>'Averages Pivot Table'!Print_Titles</vt:lpstr>
      <vt:lpstr>'Counts Pivot Table'!Print_Titles</vt:lpstr>
    </vt:vector>
  </TitlesOfParts>
  <Company>SREB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jmarks</cp:lastModifiedBy>
  <cp:lastPrinted>2010-07-05T18:06:20Z</cp:lastPrinted>
  <dcterms:created xsi:type="dcterms:W3CDTF">1999-02-24T13:58:47Z</dcterms:created>
  <dcterms:modified xsi:type="dcterms:W3CDTF">2010-07-05T18:12:57Z</dcterms:modified>
</cp:coreProperties>
</file>